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15330" windowHeight="4110" tabRatio="744" activeTab="4"/>
  </bookViews>
  <sheets>
    <sheet name="Summary Output" sheetId="2" r:id="rId1"/>
    <sheet name="Assumptions" sheetId="23" r:id="rId2"/>
    <sheet name="Power Price Assumption" sheetId="3" r:id="rId3"/>
    <sheet name="IS" sheetId="4" r:id="rId4"/>
    <sheet name="PE" sheetId="25" r:id="rId5"/>
    <sheet name="Debt" sheetId="22" r:id="rId6"/>
    <sheet name="CF" sheetId="5" r:id="rId7"/>
    <sheet name="Depreciation" sheetId="20" r:id="rId8"/>
    <sheet name="Tax" sheetId="8" r:id="rId9"/>
    <sheet name="Brownsville" sheetId="9" r:id="rId10"/>
    <sheet name="Caledonia" sheetId="10" r:id="rId11"/>
    <sheet name="New Albany" sheetId="11" r:id="rId12"/>
    <sheet name="Gleason" sheetId="12" r:id="rId13"/>
    <sheet name="Wheatland" sheetId="13" r:id="rId14"/>
    <sheet name="Wilton" sheetId="14" r:id="rId15"/>
    <sheet name="Amortization of Power Contract" sheetId="24" r:id="rId16"/>
    <sheet name="Allocation" sheetId="16" r:id="rId17"/>
  </sheets>
  <externalReferences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a" hidden="1">{"Income Statement",#N/A,FALSE,"CFMODEL";"Balance Sheet",#N/A,FALSE,"CFMODEL"}</definedName>
    <definedName name="AnnualHours" localSheetId="7">[8]Assumptions!#REF!</definedName>
    <definedName name="AnnualHours">[1]Assumptions!#REF!</definedName>
    <definedName name="b" hidden="1">{"SourcesUses",#N/A,TRUE,"CFMODEL";"TransOverview",#N/A,TRUE,"CFMODEL"}</definedName>
    <definedName name="Begin_Op" localSheetId="7">'[6]Consol Summary'!$N$7</definedName>
    <definedName name="Begin_Op">[4]Sum!$N$7</definedName>
    <definedName name="blm_share" localSheetId="12">Gleason!#REF!</definedName>
    <definedName name="blm_share" localSheetId="11">'New Albany'!#REF!</definedName>
    <definedName name="blm_share" localSheetId="13">Wheatland!#REF!</definedName>
    <definedName name="chillers" localSheetId="7">'[6]Consol Summary'!$M$65</definedName>
    <definedName name="chillers">[5]PROJECTCONFIGURATION!$M$65</definedName>
    <definedName name="coso" localSheetId="12">Gleason!#REF!</definedName>
    <definedName name="coso" localSheetId="11">'New Albany'!#REF!</definedName>
    <definedName name="coso" localSheetId="13">Wheatland!#REF!</definedName>
    <definedName name="Coso_Distributable_Cash" localSheetId="12">Gleason!$D$507:$U$507</definedName>
    <definedName name="Coso_Distributable_Cash" localSheetId="11">'New Albany'!$D$518:$U$518</definedName>
    <definedName name="Coso_Distributable_Cash" localSheetId="13">Wheatland!$D$484:$U$484</definedName>
    <definedName name="Coso_Net_ATCash" localSheetId="12">Gleason!$D$508:$U$508</definedName>
    <definedName name="Coso_Net_ATCash" localSheetId="11">'New Albany'!$D$519:$U$519</definedName>
    <definedName name="Coso_Net_ATCash" localSheetId="13">Wheatland!$D$485:$U$485</definedName>
    <definedName name="Coso_Net_Income" localSheetId="12">Gleason!$D$506:$U$506</definedName>
    <definedName name="Coso_Net_Income" localSheetId="11">'New Albany'!$D$517:$U$517</definedName>
    <definedName name="Coso_Net_Income" localSheetId="13">Wheatland!$D$483:$U$483</definedName>
    <definedName name="d" hidden="1">{"SourcesUses",#N/A,TRUE,#N/A;"TransOverview",#N/A,TRUE,"CFMODEL"}</definedName>
    <definedName name="Distributable_Cash" localSheetId="12">Gleason!#REF!</definedName>
    <definedName name="Distributable_Cash" localSheetId="11">'New Albany'!#REF!</definedName>
    <definedName name="Distributable_Cash" localSheetId="13">Wheatland!#REF!</definedName>
    <definedName name="e" hidden="1">{"SourcesUses",#N/A,TRUE,"FundsFlow";"TransOverview",#N/A,TRUE,"FundsFlow"}</definedName>
    <definedName name="Energy_Credit_Coso" localSheetId="12">Gleason!$D$501:$U$501</definedName>
    <definedName name="Energy_Credit_Coso" localSheetId="11">'New Albany'!$D$512:$U$512</definedName>
    <definedName name="Energy_Credit_Coso" localSheetId="13">Wheatland!$D$478:$U$478</definedName>
    <definedName name="Energy_Credit_Imperial" localSheetId="12">Gleason!#REF!</definedName>
    <definedName name="Energy_Credit_Imperial" localSheetId="11">'New Albany'!#REF!</definedName>
    <definedName name="Energy_Credit_Imperial" localSheetId="13">Wheatland!#REF!</definedName>
    <definedName name="FPOC_Distributable_Cash" localSheetId="12">Gleason!$D$448:$N$448</definedName>
    <definedName name="FPOC_Distributable_Cash" localSheetId="11">'New Albany'!$D$459:$N$459</definedName>
    <definedName name="FPOC_Distributable_Cash" localSheetId="13">Wheatland!$D$425:$N$425</definedName>
    <definedName name="FPOC_Net_ATCash" localSheetId="12">Gleason!$D$450:$N$450</definedName>
    <definedName name="FPOC_Net_ATCash" localSheetId="11">'New Albany'!$D$461:$N$461</definedName>
    <definedName name="FPOC_Net_ATCash" localSheetId="13">Wheatland!$D$427:$N$427</definedName>
    <definedName name="FPOC_Net_Income" localSheetId="12">Gleason!$D$450:$N$450</definedName>
    <definedName name="FPOC_Net_Income" localSheetId="11">'New Albany'!$D$461:$N$461</definedName>
    <definedName name="FPOC_Net_Income" localSheetId="13">Wheatland!$D$427:$N$427</definedName>
    <definedName name="FSGC_ATCash" localSheetId="12">Gleason!$D$285:$H$285</definedName>
    <definedName name="FSGC_ATCash" localSheetId="11">'New Albany'!$D$296:$H$296</definedName>
    <definedName name="FSGC_ATCash" localSheetId="13">Wheatland!$D$262:$H$262</definedName>
    <definedName name="FSGC_Distributable_Cash" localSheetId="12">Gleason!$C$283:$H$283</definedName>
    <definedName name="FSGC_Distributable_Cash" localSheetId="11">'New Albany'!$C$294:$H$294</definedName>
    <definedName name="FSGC_Distributable_Cash" localSheetId="13">Wheatland!$C$260:$H$260</definedName>
    <definedName name="FSGC_Net_Income" localSheetId="12">Gleason!$D$285:$H$285</definedName>
    <definedName name="FSGC_Net_Income" localSheetId="11">'New Albany'!$D$296:$H$296</definedName>
    <definedName name="FSGC_Net_Income" localSheetId="13">Wheatland!$D$262:$H$262</definedName>
    <definedName name="idc">#REF!</definedName>
    <definedName name="Imperial_Distributable_Cash" localSheetId="12">Gleason!#REF!</definedName>
    <definedName name="Imperial_Distributable_Cash" localSheetId="11">'New Albany'!#REF!</definedName>
    <definedName name="Imperial_Distributable_Cash" localSheetId="13">Wheatland!#REF!</definedName>
    <definedName name="Imperial_Geothermal" localSheetId="12">Gleason!#REF!</definedName>
    <definedName name="Imperial_Geothermal" localSheetId="11">'New Albany'!#REF!</definedName>
    <definedName name="Imperial_Geothermal" localSheetId="13">Wheatland!#REF!</definedName>
    <definedName name="Imperial_Net_ATCash" localSheetId="12">Gleason!#REF!</definedName>
    <definedName name="Imperial_Net_ATCash" localSheetId="11">'New Albany'!#REF!</definedName>
    <definedName name="Imperial_Net_ATCash" localSheetId="13">Wheatland!#REF!</definedName>
    <definedName name="Imperial_Net_Income" localSheetId="12">Gleason!#REF!</definedName>
    <definedName name="Imperial_Net_Income" localSheetId="11">'New Albany'!#REF!</definedName>
    <definedName name="Imperial_Net_Income" localSheetId="13">Wheatland!#REF!</definedName>
    <definedName name="Main_Table" localSheetId="7">'[6]Consol Summary'!$D$22:$I$45</definedName>
    <definedName name="Main_Table">'[2]Maintenance Reserves'!$D$22:$I$45</definedName>
    <definedName name="Maint_Accrual" localSheetId="7">[8]Assumptions!#REF!</definedName>
    <definedName name="Maint_Accrual">[1]Assumptions!#REF!</definedName>
    <definedName name="Minerals" localSheetId="12">Gleason!#REF!</definedName>
    <definedName name="Minerals" localSheetId="11">'New Albany'!#REF!</definedName>
    <definedName name="Minerals" localSheetId="13">Wheatland!#REF!</definedName>
    <definedName name="Minerals_Distributable_Cash" localSheetId="12">Gleason!$D$184:$U$184</definedName>
    <definedName name="Minerals_Distributable_Cash" localSheetId="11">'New Albany'!$D$195:$U$195</definedName>
    <definedName name="Minerals_Distributable_Cash" localSheetId="13">Wheatland!$D$161:$U$161</definedName>
    <definedName name="Minerals_Net_ATCash" localSheetId="12">Gleason!$D$185:$U$185</definedName>
    <definedName name="Minerals_Net_ATCash" localSheetId="11">'New Albany'!$D$196:$U$196</definedName>
    <definedName name="Minerals_Net_ATCash" localSheetId="13">Wheatland!$D$162:$U$162</definedName>
    <definedName name="Minerals_Net_Income" localSheetId="12">Gleason!$D$183:$U$183</definedName>
    <definedName name="Minerals_Net_Income" localSheetId="11">'New Albany'!$D$194:$U$194</definedName>
    <definedName name="Minerals_Net_Income" localSheetId="13">Wheatland!$D$160:$U$160</definedName>
    <definedName name="navyi_share" localSheetId="12">Gleason!#REF!</definedName>
    <definedName name="navyi_share" localSheetId="11">'New Albany'!#REF!</definedName>
    <definedName name="navyi_share" localSheetId="13">Wheatland!#REF!</definedName>
    <definedName name="navyII_share" localSheetId="12">Gleason!#REF!</definedName>
    <definedName name="navyII_share" localSheetId="11">'New Albany'!#REF!</definedName>
    <definedName name="navyII_share" localSheetId="13">Wheatland!#REF!</definedName>
    <definedName name="Net_ATCash" localSheetId="12">Gleason!#REF!</definedName>
    <definedName name="Net_ATCash" localSheetId="11">'New Albany'!#REF!</definedName>
    <definedName name="Net_ATCash" localSheetId="13">Wheatland!#REF!</definedName>
    <definedName name="Net_Income_Unlevered" localSheetId="12">Gleason!#REF!</definedName>
    <definedName name="Net_Income_Unlevered" localSheetId="11">'New Albany'!#REF!</definedName>
    <definedName name="Net_Income_Unlevered" localSheetId="13">Wheatland!#REF!</definedName>
    <definedName name="Norcon_Distributable_Cash" localSheetId="12">Gleason!$B$549:$L$549</definedName>
    <definedName name="Norcon_Distributable_Cash" localSheetId="11">'New Albany'!$B$560:$L$560</definedName>
    <definedName name="Norcon_Distributable_Cash" localSheetId="13">Wheatland!$B$526:$L$526</definedName>
    <definedName name="Norcon_Net_ATCash" localSheetId="12">Gleason!$B$550:$L$550</definedName>
    <definedName name="Norcon_Net_ATCash" localSheetId="11">'New Albany'!$B$561:$L$561</definedName>
    <definedName name="Norcon_Net_ATCash" localSheetId="13">Wheatland!$B$527:$L$527</definedName>
    <definedName name="Norcon_Net_Income" localSheetId="12">Gleason!$B$548:$L$548</definedName>
    <definedName name="Norcon_Net_Income" localSheetId="11">'New Albany'!$B$559:$L$559</definedName>
    <definedName name="Norcon_Net_Income" localSheetId="13">Wheatland!$B$525:$L$525</definedName>
    <definedName name="PERIOD1" localSheetId="7">'[6]Consol Summary'!#REF!</definedName>
    <definedName name="PERIOD1">'[3]Project Assumptions'!#REF!</definedName>
    <definedName name="PERIOD2" localSheetId="7">'[6]Consol Summary'!#REF!</definedName>
    <definedName name="PERIOD2">'[3]Project Assumptions'!#REF!</definedName>
    <definedName name="PRI_Cash_Taxes" localSheetId="12">Gleason!$D$228:$H$228</definedName>
    <definedName name="PRI_Cash_Taxes" localSheetId="11">'New Albany'!$D$239:$H$239</definedName>
    <definedName name="PRI_Cash_Taxes" localSheetId="13">Wheatland!$D$205:$H$205</definedName>
    <definedName name="PRI_Net_ATCash" localSheetId="12">Gleason!$D$236:$H$236</definedName>
    <definedName name="PRI_Net_ATCash" localSheetId="11">'New Albany'!$D$247:$H$247</definedName>
    <definedName name="PRI_Net_ATCash" localSheetId="13">Wheatland!$D$213:$H$213</definedName>
    <definedName name="PRI_Net_Income" localSheetId="12">Gleason!$D$235:$H$235</definedName>
    <definedName name="PRI_Net_Income" localSheetId="11">'New Albany'!$D$246:$H$246</definedName>
    <definedName name="PRI_Net_Income" localSheetId="13">Wheatland!$D$212:$H$212</definedName>
    <definedName name="principal" localSheetId="7">'[6]Consol Summary'!#REF!</definedName>
    <definedName name="principal">'[3]Debt Amortization'!#REF!</definedName>
    <definedName name="_xlnm.Print_Area" localSheetId="16">Allocation!$A$1:$E$17</definedName>
    <definedName name="_xlnm.Print_Area" localSheetId="15">'Amortization of Power Contract'!$A$2:$F$54</definedName>
    <definedName name="_xlnm.Print_Area" localSheetId="1">Assumptions!$A$1:$K$47</definedName>
    <definedName name="_xlnm.Print_Area" localSheetId="9">Brownsville!$A$2:$U$104</definedName>
    <definedName name="_xlnm.Print_Area" localSheetId="10">Caledonia!$A$2:$U$101</definedName>
    <definedName name="_xlnm.Print_Area" localSheetId="6">CF!$A$1:$V$40</definedName>
    <definedName name="_xlnm.Print_Area" localSheetId="5">Debt!$A$1:$U$88</definedName>
    <definedName name="_xlnm.Print_Area" localSheetId="7">Depreciation!$A$2:$V$107</definedName>
    <definedName name="_xlnm.Print_Area" localSheetId="12">Gleason!$A$2:$U$104</definedName>
    <definedName name="_xlnm.Print_Area" localSheetId="3">IS!$A$2:$U$46</definedName>
    <definedName name="_xlnm.Print_Area" localSheetId="11">'New Albany'!$A$2:$U$101</definedName>
    <definedName name="_xlnm.Print_Area" localSheetId="0">'Summary Output'!$A$3:$G$64</definedName>
    <definedName name="_xlnm.Print_Area" localSheetId="8">Tax!$A$2:$U$20</definedName>
    <definedName name="_xlnm.Print_Area" localSheetId="13">Wheatland!$A$2:$U$105</definedName>
    <definedName name="_xlnm.Print_Area" localSheetId="14">Wilton!$A$2:$U$98</definedName>
    <definedName name="ProjectLife">'[7]Project Assumptions'!$I$15</definedName>
    <definedName name="Saranac_Distributable_Cash" localSheetId="12">Gleason!$D$403:$N$403</definedName>
    <definedName name="Saranac_Distributable_Cash" localSheetId="11">'New Albany'!$D$414:$N$414</definedName>
    <definedName name="Saranac_Distributable_Cash" localSheetId="13">Wheatland!$D$380:$N$380</definedName>
    <definedName name="Saranac_Net_ATCash" localSheetId="12">Gleason!$D$404:$N$404</definedName>
    <definedName name="Saranac_Net_ATCash" localSheetId="11">'New Albany'!$D$415:$N$415</definedName>
    <definedName name="Saranac_Net_ATCash" localSheetId="13">Wheatland!$D$381:$N$381</definedName>
    <definedName name="Saranac_Net_Income" localSheetId="12">Gleason!$D$402:$N$402</definedName>
    <definedName name="Saranac_Net_Income" localSheetId="11">'New Albany'!$D$413:$N$413</definedName>
    <definedName name="Saranac_Net_Income" localSheetId="13">Wheatland!$D$379:$N$379</definedName>
    <definedName name="solver_adj" localSheetId="5" hidden="1">Debt!$B$14,Debt!$B$34,Debt!$B$54</definedName>
    <definedName name="solver_cvg" localSheetId="5" hidden="1">0.001</definedName>
    <definedName name="solver_drv" localSheetId="5" hidden="1">1</definedName>
    <definedName name="solver_est" localSheetId="5" hidden="1">1</definedName>
    <definedName name="solver_itr" localSheetId="5" hidden="1">100</definedName>
    <definedName name="solver_lin" localSheetId="5" hidden="1">2</definedName>
    <definedName name="solver_neg" localSheetId="5" hidden="1">2</definedName>
    <definedName name="solver_num" localSheetId="5" hidden="1">0</definedName>
    <definedName name="solver_nwt" localSheetId="5" hidden="1">1</definedName>
    <definedName name="solver_opt" localSheetId="5" hidden="1">Debt!$B$2</definedName>
    <definedName name="solver_pre" localSheetId="5" hidden="1">0.000001</definedName>
    <definedName name="solver_scl" localSheetId="5" hidden="1">2</definedName>
    <definedName name="solver_sho" localSheetId="5" hidden="1">2</definedName>
    <definedName name="solver_tim" localSheetId="5" hidden="1">100</definedName>
    <definedName name="solver_tol" localSheetId="5" hidden="1">0.05</definedName>
    <definedName name="solver_typ" localSheetId="5" hidden="1">3</definedName>
    <definedName name="solver_val" localSheetId="5" hidden="1">0</definedName>
    <definedName name="StartMWh" localSheetId="7">'[6]Consol Summary'!#REF!</definedName>
    <definedName name="StartMWh">'[3]Project Assumptions'!#REF!</definedName>
    <definedName name="Tax_Depreciation" localSheetId="12">Gleason!#REF!</definedName>
    <definedName name="Tax_Depreciation" localSheetId="11">'New Albany'!#REF!</definedName>
    <definedName name="Tax_Depreciation" localSheetId="13">Wheatland!#REF!</definedName>
    <definedName name="Taxable_Income" localSheetId="12">Gleason!#REF!</definedName>
    <definedName name="Taxable_Income" localSheetId="11">'New Albany'!#REF!</definedName>
    <definedName name="Taxable_Income" localSheetId="13">Wheatland!#REF!</definedName>
    <definedName name="Variable" localSheetId="7">[8]Assumptions!#REF!</definedName>
    <definedName name="Variable">[1]Assumptions!#REF!</definedName>
    <definedName name="WaterTreatmentVar" localSheetId="7">[8]Assumptions!#REF!</definedName>
    <definedName name="WaterTreatmentVar">[1]Assumptions!#REF!</definedName>
    <definedName name="wrn.test1." localSheetId="7" hidden="1">{"Income Statement",#N/A,FALSE,"CFMODEL";"Balance Sheet",#N/A,FALSE,"CFMODEL"}</definedName>
    <definedName name="wrn.test1." hidden="1">{"Income Statement",#N/A,FALSE,"CFMODEL";"Balance Sheet",#N/A,FALSE,"CFMODEL"}</definedName>
    <definedName name="wrn.test2." localSheetId="7" hidden="1">{"SourcesUses",#N/A,TRUE,"CFMODEL";"TransOverview",#N/A,TRUE,"CFMODEL"}</definedName>
    <definedName name="wrn.test2." hidden="1">{"SourcesUses",#N/A,TRUE,"CFMODEL";"TransOverview",#N/A,TRUE,"CFMODEL"}</definedName>
    <definedName name="wrn.test3." localSheetId="7" hidden="1">{"SourcesUses",#N/A,TRUE,#N/A;"TransOverview",#N/A,TRUE,"CFMODEL"}</definedName>
    <definedName name="wrn.test3." hidden="1">{"SourcesUses",#N/A,TRUE,#N/A;"TransOverview",#N/A,TRUE,"CFMODEL"}</definedName>
    <definedName name="wrn.test4." localSheetId="7" hidden="1">{"SourcesUses",#N/A,TRUE,"FundsFlow";"TransOverview",#N/A,TRUE,"FundsFlow"}</definedName>
    <definedName name="wrn.test4." hidden="1">{"SourcesUses",#N/A,TRUE,"FundsFlow";"TransOverview",#N/A,TRUE,"FundsFlow"}</definedName>
    <definedName name="Yuma_Distributable_Cash" localSheetId="12">Gleason!$D$365:$U$365</definedName>
    <definedName name="Yuma_Distributable_Cash" localSheetId="11">'New Albany'!$D$376:$U$376</definedName>
    <definedName name="Yuma_Distributable_Cash" localSheetId="13">Wheatland!$D$342:$U$342</definedName>
    <definedName name="Yuma_Net_ATCash" localSheetId="12">Gleason!$D$366:$U$366</definedName>
    <definedName name="Yuma_Net_ATCash" localSheetId="11">'New Albany'!$D$377:$U$377</definedName>
    <definedName name="Yuma_Net_ATCash" localSheetId="13">Wheatland!$D$343:$U$343</definedName>
    <definedName name="Yuma_Net_Income" localSheetId="12">Gleason!$D$364:$U$364</definedName>
    <definedName name="Yuma_Net_Income" localSheetId="11">'New Albany'!$D$375:$U$375</definedName>
    <definedName name="Yuma_Net_Income" localSheetId="13">Wheatland!$D$341:$U$341</definedName>
    <definedName name="zinc" localSheetId="12">Gleason!$X$14</definedName>
    <definedName name="zinc" localSheetId="11">'New Albany'!$X$14</definedName>
    <definedName name="zinc" localSheetId="13">Wheatland!$X$11</definedName>
    <definedName name="Zinc_Distributable_Cash" localSheetId="12">Gleason!$D$129:$U$129</definedName>
    <definedName name="Zinc_Distributable_Cash" localSheetId="11">'New Albany'!$D$140:$U$140</definedName>
    <definedName name="Zinc_Distributable_Cash" localSheetId="13">Wheatland!$D$106:$U$106</definedName>
    <definedName name="Zinc_Net_ATCash" localSheetId="12">Gleason!$D$130:$U$130</definedName>
    <definedName name="Zinc_Net_ATCash" localSheetId="11">'New Albany'!$D$141:$U$141</definedName>
    <definedName name="Zinc_Net_ATCash" localSheetId="13">Wheatland!$D$107:$U$107</definedName>
    <definedName name="Zinc_Net_Income" localSheetId="12">Gleason!$D$128:$U$128</definedName>
    <definedName name="Zinc_Net_Income" localSheetId="11">'New Albany'!$D$139:$U$139</definedName>
    <definedName name="Zinc_Net_Income" localSheetId="13">Wheatland!$D$105:$U$105</definedName>
  </definedNames>
  <calcPr calcId="152511"/>
</workbook>
</file>

<file path=xl/calcChain.xml><?xml version="1.0" encoding="utf-8"?>
<calcChain xmlns="http://schemas.openxmlformats.org/spreadsheetml/2006/main">
  <c r="C10" i="16" l="1"/>
  <c r="C17" i="16" s="1"/>
  <c r="E10" i="16"/>
  <c r="C15" i="16"/>
  <c r="E15" i="16"/>
  <c r="E17" i="16" s="1"/>
  <c r="D9" i="24"/>
  <c r="E9" i="24"/>
  <c r="F9" i="24"/>
  <c r="D15" i="24"/>
  <c r="E15" i="24"/>
  <c r="F15" i="24"/>
  <c r="D21" i="24"/>
  <c r="E21" i="24"/>
  <c r="F21" i="24"/>
  <c r="D27" i="24"/>
  <c r="E27" i="24"/>
  <c r="F27" i="24"/>
  <c r="D33" i="24"/>
  <c r="E33" i="24"/>
  <c r="F33" i="24"/>
  <c r="D39" i="24"/>
  <c r="E39" i="24"/>
  <c r="F39" i="24"/>
  <c r="C45" i="24"/>
  <c r="C49" i="24"/>
  <c r="C53" i="24"/>
  <c r="K8" i="23"/>
  <c r="K9" i="23"/>
  <c r="K10" i="23"/>
  <c r="K11" i="23"/>
  <c r="D16" i="23"/>
  <c r="E16" i="23"/>
  <c r="G16" i="23"/>
  <c r="H16" i="23"/>
  <c r="I16" i="23"/>
  <c r="C17" i="23"/>
  <c r="D17" i="23"/>
  <c r="E17" i="23"/>
  <c r="G17" i="23"/>
  <c r="H17" i="23"/>
  <c r="I17" i="23"/>
  <c r="C18" i="23"/>
  <c r="D18" i="23"/>
  <c r="E18" i="23"/>
  <c r="G18" i="23"/>
  <c r="H18" i="23"/>
  <c r="I18" i="23"/>
  <c r="D25" i="23"/>
  <c r="E25" i="23"/>
  <c r="G25" i="23"/>
  <c r="H25" i="23"/>
  <c r="I25" i="23"/>
  <c r="C29" i="23"/>
  <c r="B23" i="9" s="1"/>
  <c r="D29" i="23"/>
  <c r="E29" i="23"/>
  <c r="G29" i="23"/>
  <c r="H29" i="23"/>
  <c r="I29" i="23"/>
  <c r="C30" i="23"/>
  <c r="D30" i="23"/>
  <c r="E30" i="23"/>
  <c r="G30" i="23"/>
  <c r="H30" i="23"/>
  <c r="I30" i="23"/>
  <c r="C33" i="23"/>
  <c r="D33" i="23"/>
  <c r="E33" i="23"/>
  <c r="G33" i="23"/>
  <c r="H33" i="23"/>
  <c r="I33" i="23"/>
  <c r="C5" i="9"/>
  <c r="D5" i="9"/>
  <c r="B10" i="9"/>
  <c r="Z7" i="9" s="1"/>
  <c r="B11" i="9"/>
  <c r="C11" i="9"/>
  <c r="D11" i="9" s="1"/>
  <c r="W17" i="9"/>
  <c r="B22" i="9"/>
  <c r="B24" i="9"/>
  <c r="B25" i="9"/>
  <c r="B26" i="9"/>
  <c r="C26" i="9"/>
  <c r="D26" i="9" s="1"/>
  <c r="E26" i="9"/>
  <c r="U27" i="9"/>
  <c r="W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53" i="9"/>
  <c r="D53" i="9" s="1"/>
  <c r="E53" i="9"/>
  <c r="F53" i="9" s="1"/>
  <c r="G53" i="9" s="1"/>
  <c r="H53" i="9" s="1"/>
  <c r="I53" i="9" s="1"/>
  <c r="J53" i="9" s="1"/>
  <c r="K53" i="9" s="1"/>
  <c r="L53" i="9" s="1"/>
  <c r="M53" i="9"/>
  <c r="N53" i="9" s="1"/>
  <c r="O53" i="9" s="1"/>
  <c r="P53" i="9" s="1"/>
  <c r="Q53" i="9" s="1"/>
  <c r="R53" i="9" s="1"/>
  <c r="S53" i="9" s="1"/>
  <c r="T53" i="9" s="1"/>
  <c r="U53" i="9" s="1"/>
  <c r="B56" i="9"/>
  <c r="C56" i="9"/>
  <c r="D56" i="9"/>
  <c r="E57" i="9" s="1"/>
  <c r="E56" i="9"/>
  <c r="F57" i="9" s="1"/>
  <c r="F56" i="9"/>
  <c r="G57" i="9" s="1"/>
  <c r="G56" i="9"/>
  <c r="H57" i="9" s="1"/>
  <c r="H56" i="9"/>
  <c r="I56" i="9"/>
  <c r="J56" i="9"/>
  <c r="K56" i="9"/>
  <c r="L56" i="9"/>
  <c r="M57" i="9" s="1"/>
  <c r="M56" i="9"/>
  <c r="N56" i="9"/>
  <c r="O57" i="9" s="1"/>
  <c r="O56" i="9"/>
  <c r="P57" i="9" s="1"/>
  <c r="P56" i="9"/>
  <c r="Q56" i="9"/>
  <c r="R56" i="9"/>
  <c r="S56" i="9"/>
  <c r="T56" i="9"/>
  <c r="C57" i="9"/>
  <c r="D57" i="9"/>
  <c r="I57" i="9"/>
  <c r="J57" i="9"/>
  <c r="K57" i="9"/>
  <c r="L57" i="9"/>
  <c r="N57" i="9"/>
  <c r="Q57" i="9"/>
  <c r="R57" i="9"/>
  <c r="S57" i="9"/>
  <c r="T57" i="9"/>
  <c r="W82" i="9"/>
  <c r="B84" i="9"/>
  <c r="C84" i="9"/>
  <c r="D84" i="9"/>
  <c r="E84" i="9"/>
  <c r="F84" i="9"/>
  <c r="G84" i="9"/>
  <c r="H84" i="9"/>
  <c r="I84" i="9"/>
  <c r="J84" i="9"/>
  <c r="K84" i="9"/>
  <c r="L84" i="9"/>
  <c r="M84" i="9"/>
  <c r="N84" i="9"/>
  <c r="O84" i="9"/>
  <c r="P84" i="9"/>
  <c r="Q84" i="9"/>
  <c r="R84" i="9"/>
  <c r="S84" i="9"/>
  <c r="T84" i="9"/>
  <c r="U84" i="9"/>
  <c r="W85" i="9"/>
  <c r="B95" i="9"/>
  <c r="C95" i="9"/>
  <c r="D95" i="9"/>
  <c r="E95" i="9"/>
  <c r="F95" i="9"/>
  <c r="G95" i="9"/>
  <c r="H95" i="9"/>
  <c r="I95" i="9"/>
  <c r="J95" i="9"/>
  <c r="K95" i="9"/>
  <c r="L95" i="9"/>
  <c r="M95" i="9"/>
  <c r="N95" i="9"/>
  <c r="O95" i="9"/>
  <c r="P95" i="9"/>
  <c r="Q95" i="9"/>
  <c r="R95" i="9"/>
  <c r="S95" i="9"/>
  <c r="T95" i="9"/>
  <c r="U95" i="9"/>
  <c r="G98" i="9"/>
  <c r="B5" i="10"/>
  <c r="C5" i="10"/>
  <c r="W17" i="10"/>
  <c r="B26" i="10"/>
  <c r="U27" i="10"/>
  <c r="W27" i="10" s="1"/>
  <c r="B28" i="10"/>
  <c r="C28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C53" i="10"/>
  <c r="D53" i="10" s="1"/>
  <c r="E53" i="10" s="1"/>
  <c r="F53" i="10" s="1"/>
  <c r="G53" i="10" s="1"/>
  <c r="H53" i="10" s="1"/>
  <c r="I53" i="10" s="1"/>
  <c r="J53" i="10" s="1"/>
  <c r="K53" i="10" s="1"/>
  <c r="L53" i="10" s="1"/>
  <c r="M53" i="10" s="1"/>
  <c r="N53" i="10" s="1"/>
  <c r="O53" i="10" s="1"/>
  <c r="P53" i="10" s="1"/>
  <c r="Q53" i="10" s="1"/>
  <c r="R53" i="10" s="1"/>
  <c r="S53" i="10" s="1"/>
  <c r="T53" i="10" s="1"/>
  <c r="U53" i="10" s="1"/>
  <c r="B56" i="10"/>
  <c r="C56" i="10"/>
  <c r="D56" i="10"/>
  <c r="E57" i="10" s="1"/>
  <c r="E56" i="10"/>
  <c r="F57" i="10" s="1"/>
  <c r="F56" i="10"/>
  <c r="G56" i="10"/>
  <c r="H57" i="10" s="1"/>
  <c r="H56" i="10"/>
  <c r="I57" i="10" s="1"/>
  <c r="I56" i="10"/>
  <c r="J56" i="10"/>
  <c r="K56" i="10"/>
  <c r="L56" i="10"/>
  <c r="M57" i="10" s="1"/>
  <c r="M56" i="10"/>
  <c r="N56" i="10"/>
  <c r="O56" i="10"/>
  <c r="P57" i="10" s="1"/>
  <c r="P56" i="10"/>
  <c r="Q56" i="10"/>
  <c r="R56" i="10"/>
  <c r="S56" i="10"/>
  <c r="T56" i="10"/>
  <c r="U57" i="10" s="1"/>
  <c r="U56" i="10"/>
  <c r="C57" i="10"/>
  <c r="D57" i="10"/>
  <c r="G57" i="10"/>
  <c r="J57" i="10"/>
  <c r="K57" i="10"/>
  <c r="L57" i="10"/>
  <c r="N57" i="10"/>
  <c r="O57" i="10"/>
  <c r="Q57" i="10"/>
  <c r="R57" i="10"/>
  <c r="S57" i="10"/>
  <c r="T57" i="10"/>
  <c r="B81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B92" i="10"/>
  <c r="C92" i="10"/>
  <c r="D92" i="10"/>
  <c r="E92" i="10"/>
  <c r="F92" i="10"/>
  <c r="G92" i="10"/>
  <c r="H92" i="10"/>
  <c r="I92" i="10"/>
  <c r="J92" i="10"/>
  <c r="K92" i="10"/>
  <c r="L92" i="10"/>
  <c r="M92" i="10"/>
  <c r="N92" i="10"/>
  <c r="O92" i="10"/>
  <c r="P92" i="10"/>
  <c r="Q92" i="10"/>
  <c r="R92" i="10"/>
  <c r="S92" i="10"/>
  <c r="T92" i="10"/>
  <c r="U92" i="10"/>
  <c r="D7" i="5"/>
  <c r="E7" i="5"/>
  <c r="F7" i="5" s="1"/>
  <c r="G7" i="5" s="1"/>
  <c r="H7" i="5"/>
  <c r="I7" i="5" s="1"/>
  <c r="J7" i="5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B8" i="5"/>
  <c r="C13" i="5"/>
  <c r="B17" i="5"/>
  <c r="B22" i="5" s="1"/>
  <c r="B30" i="5" s="1"/>
  <c r="D27" i="5"/>
  <c r="E27" i="5" s="1"/>
  <c r="F27" i="5" s="1"/>
  <c r="G27" i="5" s="1"/>
  <c r="H27" i="5" s="1"/>
  <c r="I27" i="5" s="1"/>
  <c r="J27" i="5" s="1"/>
  <c r="K27" i="5" s="1"/>
  <c r="L27" i="5" s="1"/>
  <c r="M27" i="5" s="1"/>
  <c r="N27" i="5" s="1"/>
  <c r="O27" i="5" s="1"/>
  <c r="P27" i="5" s="1"/>
  <c r="Q27" i="5" s="1"/>
  <c r="R27" i="5" s="1"/>
  <c r="S27" i="5" s="1"/>
  <c r="T27" i="5" s="1"/>
  <c r="U27" i="5" s="1"/>
  <c r="V27" i="5" s="1"/>
  <c r="C5" i="22"/>
  <c r="D5" i="22" s="1"/>
  <c r="E5" i="22"/>
  <c r="F5" i="22" s="1"/>
  <c r="G5" i="22" s="1"/>
  <c r="H5" i="22" s="1"/>
  <c r="I5" i="22" s="1"/>
  <c r="J5" i="22" s="1"/>
  <c r="K5" i="22" s="1"/>
  <c r="L5" i="22" s="1"/>
  <c r="M5" i="22" s="1"/>
  <c r="N5" i="22" s="1"/>
  <c r="O5" i="22" s="1"/>
  <c r="P5" i="22" s="1"/>
  <c r="Q5" i="22" s="1"/>
  <c r="R5" i="22" s="1"/>
  <c r="S5" i="22" s="1"/>
  <c r="T5" i="22" s="1"/>
  <c r="U5" i="22" s="1"/>
  <c r="B11" i="22"/>
  <c r="B14" i="22"/>
  <c r="B17" i="22"/>
  <c r="B19" i="22"/>
  <c r="B21" i="22" s="1"/>
  <c r="B24" i="22" s="1"/>
  <c r="C19" i="22"/>
  <c r="D19" i="22"/>
  <c r="D75" i="22" s="1"/>
  <c r="E19" i="22"/>
  <c r="F19" i="22"/>
  <c r="G19" i="22"/>
  <c r="H19" i="22"/>
  <c r="I19" i="22"/>
  <c r="J19" i="22"/>
  <c r="K19" i="22"/>
  <c r="L19" i="22"/>
  <c r="M19" i="22"/>
  <c r="N19" i="22"/>
  <c r="O19" i="22"/>
  <c r="P19" i="22"/>
  <c r="Q19" i="22"/>
  <c r="R19" i="22"/>
  <c r="S19" i="22"/>
  <c r="T19" i="22"/>
  <c r="T75" i="22" s="1"/>
  <c r="U19" i="22"/>
  <c r="B26" i="22"/>
  <c r="C26" i="22"/>
  <c r="D26" i="22"/>
  <c r="E26" i="22"/>
  <c r="F26" i="22"/>
  <c r="G26" i="22"/>
  <c r="H26" i="22"/>
  <c r="I26" i="22"/>
  <c r="J26" i="22"/>
  <c r="K26" i="22"/>
  <c r="L26" i="22"/>
  <c r="M26" i="22"/>
  <c r="N26" i="22"/>
  <c r="O26" i="22"/>
  <c r="P26" i="22"/>
  <c r="Q26" i="22"/>
  <c r="R26" i="22"/>
  <c r="S26" i="22"/>
  <c r="T26" i="22"/>
  <c r="U26" i="22"/>
  <c r="B31" i="22"/>
  <c r="B34" i="22"/>
  <c r="B37" i="22"/>
  <c r="B39" i="22"/>
  <c r="C39" i="22"/>
  <c r="D39" i="22"/>
  <c r="E39" i="22"/>
  <c r="F39" i="22"/>
  <c r="G39" i="22"/>
  <c r="H39" i="22"/>
  <c r="I39" i="22"/>
  <c r="J39" i="22"/>
  <c r="K39" i="22"/>
  <c r="L39" i="22"/>
  <c r="M39" i="22"/>
  <c r="N39" i="22"/>
  <c r="O39" i="22"/>
  <c r="P39" i="22"/>
  <c r="Q39" i="22"/>
  <c r="R39" i="22"/>
  <c r="S39" i="22"/>
  <c r="T39" i="22"/>
  <c r="U39" i="22"/>
  <c r="B41" i="22"/>
  <c r="B44" i="22" s="1"/>
  <c r="B46" i="22"/>
  <c r="C46" i="22"/>
  <c r="D46" i="22"/>
  <c r="E46" i="22"/>
  <c r="F46" i="22"/>
  <c r="G46" i="22"/>
  <c r="H46" i="22"/>
  <c r="I46" i="22"/>
  <c r="J46" i="22"/>
  <c r="K46" i="22"/>
  <c r="L46" i="22"/>
  <c r="M46" i="22"/>
  <c r="N46" i="22"/>
  <c r="O46" i="22"/>
  <c r="P46" i="22"/>
  <c r="Q46" i="22"/>
  <c r="R46" i="22"/>
  <c r="S46" i="22"/>
  <c r="T46" i="22"/>
  <c r="U46" i="22"/>
  <c r="B48" i="22"/>
  <c r="C32" i="22" s="1"/>
  <c r="B51" i="22"/>
  <c r="B54" i="22"/>
  <c r="B59" i="22"/>
  <c r="D59" i="22"/>
  <c r="E59" i="22"/>
  <c r="G59" i="22"/>
  <c r="H59" i="22"/>
  <c r="H75" i="22" s="1"/>
  <c r="I59" i="22"/>
  <c r="J59" i="22"/>
  <c r="L59" i="22"/>
  <c r="M59" i="22"/>
  <c r="O59" i="22"/>
  <c r="P59" i="22"/>
  <c r="Q59" i="22"/>
  <c r="R59" i="22"/>
  <c r="T59" i="22"/>
  <c r="U59" i="22"/>
  <c r="B66" i="22"/>
  <c r="D66" i="22"/>
  <c r="E66" i="22"/>
  <c r="E75" i="22" s="1"/>
  <c r="G66" i="22"/>
  <c r="G75" i="22" s="1"/>
  <c r="H66" i="22"/>
  <c r="I66" i="22"/>
  <c r="I75" i="22" s="1"/>
  <c r="J66" i="22"/>
  <c r="L66" i="22"/>
  <c r="M66" i="22"/>
  <c r="O66" i="22"/>
  <c r="P66" i="22"/>
  <c r="P75" i="22" s="1"/>
  <c r="Q66" i="22"/>
  <c r="Q75" i="22" s="1"/>
  <c r="R66" i="22"/>
  <c r="T66" i="22"/>
  <c r="U66" i="22"/>
  <c r="B72" i="22"/>
  <c r="L75" i="22"/>
  <c r="M75" i="22"/>
  <c r="U75" i="22"/>
  <c r="E95" i="22"/>
  <c r="J95" i="22"/>
  <c r="O95" i="22"/>
  <c r="O97" i="22" s="1"/>
  <c r="E96" i="22"/>
  <c r="J96" i="22"/>
  <c r="J97" i="22" s="1"/>
  <c r="B47" i="22" s="1"/>
  <c r="O96" i="22"/>
  <c r="E98" i="22"/>
  <c r="J98" i="22"/>
  <c r="O98" i="22"/>
  <c r="E100" i="22"/>
  <c r="J100" i="22"/>
  <c r="O100" i="22"/>
  <c r="B105" i="22"/>
  <c r="C105" i="22"/>
  <c r="D105" i="22"/>
  <c r="E105" i="22"/>
  <c r="F105" i="22"/>
  <c r="G105" i="22"/>
  <c r="H105" i="22"/>
  <c r="I105" i="22"/>
  <c r="J105" i="22"/>
  <c r="K105" i="22"/>
  <c r="L105" i="22"/>
  <c r="M105" i="22"/>
  <c r="N105" i="22"/>
  <c r="O105" i="22"/>
  <c r="P105" i="22"/>
  <c r="Q105" i="22"/>
  <c r="R105" i="22"/>
  <c r="S105" i="22"/>
  <c r="T105" i="22"/>
  <c r="U105" i="22"/>
  <c r="B106" i="22"/>
  <c r="C106" i="22"/>
  <c r="D106" i="22"/>
  <c r="E106" i="22"/>
  <c r="F106" i="22"/>
  <c r="G106" i="22"/>
  <c r="H106" i="22"/>
  <c r="I106" i="22"/>
  <c r="J106" i="22"/>
  <c r="K106" i="22"/>
  <c r="L106" i="22"/>
  <c r="M106" i="22"/>
  <c r="N106" i="22"/>
  <c r="O106" i="22"/>
  <c r="P106" i="22"/>
  <c r="Q106" i="22"/>
  <c r="R106" i="22"/>
  <c r="S106" i="22"/>
  <c r="T106" i="22"/>
  <c r="U106" i="22"/>
  <c r="B109" i="22"/>
  <c r="E99" i="22" s="1"/>
  <c r="E5" i="20"/>
  <c r="F5" i="20"/>
  <c r="G5" i="20" s="1"/>
  <c r="E6" i="20"/>
  <c r="F6" i="20"/>
  <c r="G6" i="20"/>
  <c r="H6" i="20"/>
  <c r="I6" i="20" s="1"/>
  <c r="C10" i="20"/>
  <c r="D10" i="20"/>
  <c r="E10" i="20"/>
  <c r="F10" i="20"/>
  <c r="G10" i="20"/>
  <c r="H10" i="20"/>
  <c r="I10" i="20"/>
  <c r="J10" i="20"/>
  <c r="K10" i="20"/>
  <c r="L10" i="20"/>
  <c r="M10" i="20"/>
  <c r="N10" i="20"/>
  <c r="O10" i="20"/>
  <c r="P10" i="20"/>
  <c r="Q10" i="20"/>
  <c r="R10" i="20"/>
  <c r="S10" i="20"/>
  <c r="T10" i="20"/>
  <c r="U10" i="20"/>
  <c r="V10" i="20"/>
  <c r="C18" i="20"/>
  <c r="D18" i="20"/>
  <c r="E18" i="20"/>
  <c r="F18" i="20"/>
  <c r="G18" i="20"/>
  <c r="H18" i="20"/>
  <c r="I18" i="20"/>
  <c r="J18" i="20"/>
  <c r="K18" i="20"/>
  <c r="L18" i="20"/>
  <c r="M18" i="20"/>
  <c r="N18" i="20"/>
  <c r="O18" i="20"/>
  <c r="P18" i="20"/>
  <c r="Q18" i="20"/>
  <c r="R18" i="20"/>
  <c r="S18" i="20"/>
  <c r="T18" i="20"/>
  <c r="U18" i="20"/>
  <c r="V18" i="20"/>
  <c r="C26" i="20"/>
  <c r="D26" i="20"/>
  <c r="E26" i="20"/>
  <c r="F26" i="20"/>
  <c r="G26" i="20"/>
  <c r="H26" i="20"/>
  <c r="I26" i="20"/>
  <c r="J26" i="20"/>
  <c r="K26" i="20"/>
  <c r="L26" i="20"/>
  <c r="M26" i="20"/>
  <c r="N26" i="20"/>
  <c r="O26" i="20"/>
  <c r="P26" i="20"/>
  <c r="Q26" i="20"/>
  <c r="R26" i="20"/>
  <c r="S26" i="20"/>
  <c r="T26" i="20"/>
  <c r="U26" i="20"/>
  <c r="V26" i="20"/>
  <c r="C34" i="20"/>
  <c r="D34" i="20"/>
  <c r="E34" i="20"/>
  <c r="F34" i="20"/>
  <c r="G34" i="20"/>
  <c r="H34" i="20"/>
  <c r="I34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C42" i="20"/>
  <c r="D42" i="20"/>
  <c r="E42" i="20"/>
  <c r="F42" i="20"/>
  <c r="G42" i="20"/>
  <c r="H42" i="20"/>
  <c r="I42" i="20"/>
  <c r="J42" i="20"/>
  <c r="K42" i="20"/>
  <c r="L42" i="20"/>
  <c r="M42" i="20"/>
  <c r="N42" i="20"/>
  <c r="O42" i="20"/>
  <c r="P42" i="20"/>
  <c r="Q42" i="20"/>
  <c r="R42" i="20"/>
  <c r="S42" i="20"/>
  <c r="T42" i="20"/>
  <c r="U42" i="20"/>
  <c r="V42" i="20"/>
  <c r="C50" i="20"/>
  <c r="D50" i="20"/>
  <c r="E50" i="20"/>
  <c r="F50" i="20"/>
  <c r="G50" i="20"/>
  <c r="H50" i="20"/>
  <c r="I50" i="20"/>
  <c r="J50" i="20"/>
  <c r="K50" i="20"/>
  <c r="L50" i="20"/>
  <c r="M50" i="20"/>
  <c r="N50" i="20"/>
  <c r="O50" i="20"/>
  <c r="P50" i="20"/>
  <c r="Q50" i="20"/>
  <c r="R50" i="20"/>
  <c r="S50" i="20"/>
  <c r="T50" i="20"/>
  <c r="U50" i="20"/>
  <c r="V50" i="20"/>
  <c r="Z62" i="20"/>
  <c r="B68" i="20"/>
  <c r="C68" i="20"/>
  <c r="D68" i="20"/>
  <c r="E68" i="20"/>
  <c r="F68" i="20"/>
  <c r="B74" i="20"/>
  <c r="C74" i="20"/>
  <c r="D74" i="20"/>
  <c r="E74" i="20"/>
  <c r="F74" i="20"/>
  <c r="G74" i="20"/>
  <c r="B80" i="20"/>
  <c r="C80" i="20"/>
  <c r="D80" i="20"/>
  <c r="E80" i="20"/>
  <c r="F80" i="20"/>
  <c r="G80" i="20"/>
  <c r="B86" i="20"/>
  <c r="C86" i="20"/>
  <c r="D86" i="20"/>
  <c r="E86" i="20"/>
  <c r="F86" i="20"/>
  <c r="G86" i="20"/>
  <c r="B92" i="20"/>
  <c r="C92" i="20"/>
  <c r="D92" i="20"/>
  <c r="E92" i="20"/>
  <c r="F92" i="20"/>
  <c r="G92" i="20"/>
  <c r="B98" i="20"/>
  <c r="C98" i="20"/>
  <c r="D98" i="20"/>
  <c r="E98" i="20"/>
  <c r="F98" i="20"/>
  <c r="G98" i="20"/>
  <c r="B5" i="12"/>
  <c r="C5" i="12"/>
  <c r="D5" i="12" s="1"/>
  <c r="E5" i="12" s="1"/>
  <c r="Z8" i="12"/>
  <c r="B10" i="12"/>
  <c r="C10" i="12"/>
  <c r="AA7" i="12" s="1"/>
  <c r="D10" i="12"/>
  <c r="AB7" i="12" s="1"/>
  <c r="B11" i="12"/>
  <c r="C11" i="12" s="1"/>
  <c r="D11" i="12" s="1"/>
  <c r="W11" i="12"/>
  <c r="W17" i="12"/>
  <c r="B22" i="12"/>
  <c r="C22" i="12"/>
  <c r="D22" i="12" s="1"/>
  <c r="B23" i="12"/>
  <c r="C23" i="12"/>
  <c r="D23" i="12"/>
  <c r="B24" i="12"/>
  <c r="B25" i="12"/>
  <c r="B26" i="12"/>
  <c r="W27" i="12"/>
  <c r="B28" i="12"/>
  <c r="C28" i="12"/>
  <c r="D28" i="12"/>
  <c r="E28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C53" i="12"/>
  <c r="D53" i="12" s="1"/>
  <c r="E53" i="12" s="1"/>
  <c r="F53" i="12" s="1"/>
  <c r="G53" i="12" s="1"/>
  <c r="H53" i="12" s="1"/>
  <c r="I53" i="12" s="1"/>
  <c r="J53" i="12" s="1"/>
  <c r="K53" i="12" s="1"/>
  <c r="L53" i="12" s="1"/>
  <c r="M53" i="12" s="1"/>
  <c r="N53" i="12" s="1"/>
  <c r="O53" i="12" s="1"/>
  <c r="P53" i="12" s="1"/>
  <c r="Q53" i="12" s="1"/>
  <c r="R53" i="12" s="1"/>
  <c r="S53" i="12" s="1"/>
  <c r="T53" i="12" s="1"/>
  <c r="U53" i="12" s="1"/>
  <c r="B56" i="12"/>
  <c r="C56" i="12"/>
  <c r="D56" i="12"/>
  <c r="E56" i="12"/>
  <c r="F57" i="12" s="1"/>
  <c r="F56" i="12"/>
  <c r="G57" i="12" s="1"/>
  <c r="G56" i="12"/>
  <c r="H57" i="12" s="1"/>
  <c r="H56" i="12"/>
  <c r="I57" i="12" s="1"/>
  <c r="I56" i="12"/>
  <c r="J56" i="12"/>
  <c r="K57" i="12" s="1"/>
  <c r="K56" i="12"/>
  <c r="L56" i="12"/>
  <c r="M56" i="12"/>
  <c r="N57" i="12" s="1"/>
  <c r="N56" i="12"/>
  <c r="O57" i="12" s="1"/>
  <c r="O56" i="12"/>
  <c r="P57" i="12" s="1"/>
  <c r="P56" i="12"/>
  <c r="Q56" i="12"/>
  <c r="R56" i="12"/>
  <c r="S56" i="12"/>
  <c r="T56" i="12"/>
  <c r="U56" i="12"/>
  <c r="C57" i="12"/>
  <c r="D57" i="12"/>
  <c r="E57" i="12"/>
  <c r="J57" i="12"/>
  <c r="L57" i="12"/>
  <c r="M57" i="12"/>
  <c r="Q57" i="12"/>
  <c r="R57" i="12"/>
  <c r="S57" i="12"/>
  <c r="T57" i="12"/>
  <c r="U57" i="12"/>
  <c r="G78" i="12"/>
  <c r="B84" i="12"/>
  <c r="C84" i="12"/>
  <c r="D84" i="12"/>
  <c r="E84" i="12"/>
  <c r="F84" i="12"/>
  <c r="G84" i="12"/>
  <c r="H84" i="12"/>
  <c r="I84" i="12"/>
  <c r="J84" i="12"/>
  <c r="K84" i="12"/>
  <c r="L84" i="12"/>
  <c r="M84" i="12"/>
  <c r="N84" i="12"/>
  <c r="O84" i="12"/>
  <c r="P84" i="12"/>
  <c r="Q84" i="12"/>
  <c r="R84" i="12"/>
  <c r="S84" i="12"/>
  <c r="T84" i="12"/>
  <c r="U84" i="12"/>
  <c r="W85" i="12"/>
  <c r="B95" i="12"/>
  <c r="C95" i="12"/>
  <c r="D95" i="12"/>
  <c r="E95" i="12"/>
  <c r="F95" i="12"/>
  <c r="G95" i="12"/>
  <c r="H95" i="12"/>
  <c r="I95" i="12"/>
  <c r="J95" i="12"/>
  <c r="K95" i="12"/>
  <c r="L95" i="12"/>
  <c r="M95" i="12"/>
  <c r="N95" i="12"/>
  <c r="O95" i="12"/>
  <c r="P95" i="12"/>
  <c r="Q95" i="12"/>
  <c r="R95" i="12"/>
  <c r="S95" i="12"/>
  <c r="T95" i="12"/>
  <c r="U95" i="12"/>
  <c r="B5" i="4"/>
  <c r="C5" i="4" s="1"/>
  <c r="D5" i="4" s="1"/>
  <c r="E5" i="4" s="1"/>
  <c r="F5" i="4" s="1"/>
  <c r="G5" i="4" s="1"/>
  <c r="H5" i="4" s="1"/>
  <c r="I5" i="4" s="1"/>
  <c r="J5" i="4" s="1"/>
  <c r="K5" i="4" s="1"/>
  <c r="L5" i="4" s="1"/>
  <c r="M5" i="4" s="1"/>
  <c r="N5" i="4" s="1"/>
  <c r="O5" i="4" s="1"/>
  <c r="P5" i="4" s="1"/>
  <c r="Q5" i="4" s="1"/>
  <c r="R5" i="4" s="1"/>
  <c r="S5" i="4" s="1"/>
  <c r="T5" i="4" s="1"/>
  <c r="U5" i="4" s="1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B16" i="4"/>
  <c r="C16" i="4"/>
  <c r="D16" i="4"/>
  <c r="B17" i="4"/>
  <c r="C17" i="4"/>
  <c r="D17" i="4"/>
  <c r="B28" i="4"/>
  <c r="C28" i="4"/>
  <c r="D12" i="5" s="1"/>
  <c r="E13" i="5" s="1"/>
  <c r="D28" i="4"/>
  <c r="E12" i="5" s="1"/>
  <c r="F13" i="5" s="1"/>
  <c r="E28" i="4"/>
  <c r="F12" i="5" s="1"/>
  <c r="G13" i="5" s="1"/>
  <c r="F28" i="4"/>
  <c r="G12" i="5" s="1"/>
  <c r="H13" i="5" s="1"/>
  <c r="G28" i="4"/>
  <c r="H12" i="5" s="1"/>
  <c r="I13" i="5" s="1"/>
  <c r="H28" i="4"/>
  <c r="I12" i="5" s="1"/>
  <c r="J13" i="5" s="1"/>
  <c r="I28" i="4"/>
  <c r="J12" i="5" s="1"/>
  <c r="K13" i="5" s="1"/>
  <c r="J28" i="4"/>
  <c r="K12" i="5" s="1"/>
  <c r="L13" i="5" s="1"/>
  <c r="K28" i="4"/>
  <c r="L12" i="5" s="1"/>
  <c r="M13" i="5" s="1"/>
  <c r="L28" i="4"/>
  <c r="M12" i="5" s="1"/>
  <c r="N13" i="5" s="1"/>
  <c r="M28" i="4"/>
  <c r="N12" i="5" s="1"/>
  <c r="O13" i="5" s="1"/>
  <c r="N28" i="4"/>
  <c r="O12" i="5" s="1"/>
  <c r="P13" i="5" s="1"/>
  <c r="O28" i="4"/>
  <c r="P12" i="5" s="1"/>
  <c r="Q13" i="5" s="1"/>
  <c r="P28" i="4"/>
  <c r="Q12" i="5" s="1"/>
  <c r="R13" i="5" s="1"/>
  <c r="Q28" i="4"/>
  <c r="R12" i="5" s="1"/>
  <c r="S13" i="5" s="1"/>
  <c r="R28" i="4"/>
  <c r="S12" i="5" s="1"/>
  <c r="T13" i="5" s="1"/>
  <c r="S28" i="4"/>
  <c r="T12" i="5" s="1"/>
  <c r="U13" i="5" s="1"/>
  <c r="T28" i="4"/>
  <c r="U12" i="5" s="1"/>
  <c r="V13" i="5" s="1"/>
  <c r="B53" i="4"/>
  <c r="B5" i="11"/>
  <c r="C5" i="11"/>
  <c r="D5" i="11" s="1"/>
  <c r="E5" i="11" s="1"/>
  <c r="Z7" i="11"/>
  <c r="B10" i="11"/>
  <c r="B11" i="11"/>
  <c r="W17" i="11"/>
  <c r="B22" i="11"/>
  <c r="C22" i="11" s="1"/>
  <c r="D22" i="11" s="1"/>
  <c r="B23" i="11"/>
  <c r="B24" i="11"/>
  <c r="C24" i="11"/>
  <c r="B25" i="11"/>
  <c r="C25" i="11" s="1"/>
  <c r="D25" i="11" s="1"/>
  <c r="E25" i="11" s="1"/>
  <c r="F25" i="11"/>
  <c r="B26" i="11"/>
  <c r="C26" i="11"/>
  <c r="D26" i="11" s="1"/>
  <c r="E26" i="11" s="1"/>
  <c r="F26" i="11" s="1"/>
  <c r="G26" i="11" s="1"/>
  <c r="H26" i="11" s="1"/>
  <c r="I26" i="11" s="1"/>
  <c r="J26" i="11" s="1"/>
  <c r="K26" i="11" s="1"/>
  <c r="L26" i="11" s="1"/>
  <c r="M26" i="11"/>
  <c r="N26" i="11" s="1"/>
  <c r="O26" i="11"/>
  <c r="P26" i="11" s="1"/>
  <c r="Q26" i="11" s="1"/>
  <c r="R26" i="11" s="1"/>
  <c r="S26" i="11" s="1"/>
  <c r="T26" i="11" s="1"/>
  <c r="U26" i="11" s="1"/>
  <c r="U27" i="11"/>
  <c r="B28" i="11"/>
  <c r="C28" i="11"/>
  <c r="D28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C53" i="11"/>
  <c r="D53" i="11"/>
  <c r="E53" i="11" s="1"/>
  <c r="F53" i="11"/>
  <c r="G53" i="11" s="1"/>
  <c r="H53" i="11" s="1"/>
  <c r="I53" i="11" s="1"/>
  <c r="J53" i="11" s="1"/>
  <c r="K53" i="11" s="1"/>
  <c r="L53" i="11" s="1"/>
  <c r="M53" i="11" s="1"/>
  <c r="N53" i="11" s="1"/>
  <c r="O53" i="11" s="1"/>
  <c r="P53" i="11" s="1"/>
  <c r="Q53" i="11" s="1"/>
  <c r="R53" i="11" s="1"/>
  <c r="S53" i="11" s="1"/>
  <c r="T53" i="11" s="1"/>
  <c r="U53" i="11" s="1"/>
  <c r="B56" i="11"/>
  <c r="C56" i="11"/>
  <c r="D56" i="11"/>
  <c r="E56" i="11"/>
  <c r="F57" i="11" s="1"/>
  <c r="F56" i="11"/>
  <c r="G56" i="11"/>
  <c r="H57" i="11" s="1"/>
  <c r="H56" i="11"/>
  <c r="I56" i="11"/>
  <c r="J57" i="11" s="1"/>
  <c r="J56" i="11"/>
  <c r="K56" i="11"/>
  <c r="L57" i="11" s="1"/>
  <c r="L56" i="11"/>
  <c r="M56" i="11"/>
  <c r="N57" i="11" s="1"/>
  <c r="N56" i="11"/>
  <c r="O56" i="11"/>
  <c r="P57" i="11" s="1"/>
  <c r="P56" i="11"/>
  <c r="Q56" i="11"/>
  <c r="R57" i="11" s="1"/>
  <c r="R56" i="11"/>
  <c r="S56" i="11"/>
  <c r="T57" i="11" s="1"/>
  <c r="T56" i="11"/>
  <c r="U56" i="11"/>
  <c r="C57" i="11"/>
  <c r="E57" i="11"/>
  <c r="G57" i="11"/>
  <c r="I57" i="11"/>
  <c r="K57" i="11"/>
  <c r="M57" i="11"/>
  <c r="O57" i="11"/>
  <c r="Q57" i="11"/>
  <c r="S57" i="11"/>
  <c r="U57" i="11"/>
  <c r="G77" i="11"/>
  <c r="I77" i="11"/>
  <c r="O77" i="11"/>
  <c r="B81" i="11"/>
  <c r="C81" i="11"/>
  <c r="D81" i="11"/>
  <c r="E81" i="11"/>
  <c r="F81" i="11"/>
  <c r="G81" i="11"/>
  <c r="H81" i="11"/>
  <c r="I81" i="11"/>
  <c r="J81" i="11"/>
  <c r="K81" i="11"/>
  <c r="L81" i="11"/>
  <c r="M81" i="11"/>
  <c r="N81" i="11"/>
  <c r="O81" i="11"/>
  <c r="P81" i="11"/>
  <c r="Q81" i="11"/>
  <c r="R81" i="11"/>
  <c r="S81" i="11"/>
  <c r="T81" i="11"/>
  <c r="U81" i="11"/>
  <c r="B92" i="11"/>
  <c r="C92" i="11"/>
  <c r="D92" i="11"/>
  <c r="E92" i="11"/>
  <c r="F92" i="11"/>
  <c r="G92" i="11"/>
  <c r="H92" i="11"/>
  <c r="I92" i="11"/>
  <c r="J92" i="11"/>
  <c r="K92" i="11"/>
  <c r="L92" i="11"/>
  <c r="M92" i="11"/>
  <c r="N92" i="11"/>
  <c r="O92" i="11"/>
  <c r="P92" i="11"/>
  <c r="Q92" i="11"/>
  <c r="R92" i="11"/>
  <c r="S92" i="11"/>
  <c r="T92" i="11"/>
  <c r="U92" i="11"/>
  <c r="E6" i="25"/>
  <c r="D7" i="25"/>
  <c r="C11" i="25"/>
  <c r="D13" i="25"/>
  <c r="E13" i="25"/>
  <c r="F13" i="25"/>
  <c r="G13" i="25"/>
  <c r="H13" i="25"/>
  <c r="I13" i="25"/>
  <c r="J13" i="25"/>
  <c r="C18" i="25"/>
  <c r="C19" i="25"/>
  <c r="C20" i="25"/>
  <c r="E25" i="25"/>
  <c r="F25" i="25" s="1"/>
  <c r="G25" i="25" s="1"/>
  <c r="H25" i="25" s="1"/>
  <c r="I25" i="25"/>
  <c r="J25" i="25" s="1"/>
  <c r="C27" i="25"/>
  <c r="C28" i="25"/>
  <c r="C29" i="25"/>
  <c r="E34" i="25"/>
  <c r="F34" i="25"/>
  <c r="G34" i="25" s="1"/>
  <c r="H34" i="25" s="1"/>
  <c r="I34" i="25" s="1"/>
  <c r="J34" i="25" s="1"/>
  <c r="C36" i="25"/>
  <c r="C37" i="25"/>
  <c r="C38" i="25"/>
  <c r="D8" i="3"/>
  <c r="E8" i="3"/>
  <c r="F8" i="3"/>
  <c r="C14" i="3"/>
  <c r="I24" i="3" s="1"/>
  <c r="I25" i="3" s="1"/>
  <c r="I27" i="3" s="1"/>
  <c r="D24" i="3"/>
  <c r="E24" i="3"/>
  <c r="E25" i="3" s="1"/>
  <c r="E8" i="24" s="1"/>
  <c r="F24" i="3"/>
  <c r="G24" i="3"/>
  <c r="G25" i="3" s="1"/>
  <c r="H24" i="3"/>
  <c r="J24" i="3"/>
  <c r="K24" i="3"/>
  <c r="L24" i="3"/>
  <c r="M24" i="3"/>
  <c r="M25" i="3" s="1"/>
  <c r="M27" i="3" s="1"/>
  <c r="N24" i="3"/>
  <c r="N25" i="3" s="1"/>
  <c r="N27" i="3" s="1"/>
  <c r="O24" i="3"/>
  <c r="O25" i="3" s="1"/>
  <c r="P24" i="3"/>
  <c r="R24" i="3"/>
  <c r="S24" i="3"/>
  <c r="T24" i="3"/>
  <c r="T25" i="3" s="1"/>
  <c r="T27" i="3" s="1"/>
  <c r="U24" i="3"/>
  <c r="U25" i="3" s="1"/>
  <c r="U27" i="3" s="1"/>
  <c r="V24" i="3"/>
  <c r="V25" i="3" s="1"/>
  <c r="V27" i="3" s="1"/>
  <c r="W24" i="3"/>
  <c r="W25" i="3" s="1"/>
  <c r="W27" i="3" s="1"/>
  <c r="D25" i="3"/>
  <c r="D8" i="24" s="1"/>
  <c r="F25" i="3"/>
  <c r="F8" i="24" s="1"/>
  <c r="H25" i="3"/>
  <c r="J25" i="3"/>
  <c r="K25" i="3"/>
  <c r="K27" i="3" s="1"/>
  <c r="L25" i="3"/>
  <c r="L27" i="3" s="1"/>
  <c r="P25" i="3"/>
  <c r="P27" i="3" s="1"/>
  <c r="R25" i="3"/>
  <c r="S25" i="3"/>
  <c r="S27" i="3" s="1"/>
  <c r="D27" i="3"/>
  <c r="E27" i="3"/>
  <c r="G27" i="3"/>
  <c r="H27" i="3"/>
  <c r="J27" i="3"/>
  <c r="O27" i="3"/>
  <c r="R27" i="3"/>
  <c r="D37" i="3"/>
  <c r="D38" i="3" s="1"/>
  <c r="D32" i="24" s="1"/>
  <c r="D34" i="24" s="1"/>
  <c r="F37" i="3"/>
  <c r="G37" i="3"/>
  <c r="H37" i="3"/>
  <c r="H38" i="3" s="1"/>
  <c r="H40" i="3" s="1"/>
  <c r="F15" i="13" s="1"/>
  <c r="I37" i="3"/>
  <c r="I38" i="3" s="1"/>
  <c r="I40" i="3" s="1"/>
  <c r="J37" i="3"/>
  <c r="K37" i="3"/>
  <c r="K38" i="3" s="1"/>
  <c r="L37" i="3"/>
  <c r="N37" i="3"/>
  <c r="N38" i="3" s="1"/>
  <c r="N40" i="3" s="1"/>
  <c r="L15" i="13" s="1"/>
  <c r="O37" i="3"/>
  <c r="P37" i="3"/>
  <c r="P38" i="3" s="1"/>
  <c r="P40" i="3" s="1"/>
  <c r="N15" i="13" s="1"/>
  <c r="Q37" i="3"/>
  <c r="Q38" i="3" s="1"/>
  <c r="Q40" i="3" s="1"/>
  <c r="O15" i="13" s="1"/>
  <c r="R37" i="3"/>
  <c r="S37" i="3"/>
  <c r="S38" i="3" s="1"/>
  <c r="T37" i="3"/>
  <c r="V37" i="3"/>
  <c r="W37" i="3"/>
  <c r="F38" i="3"/>
  <c r="F32" i="24" s="1"/>
  <c r="F34" i="24" s="1"/>
  <c r="G38" i="3"/>
  <c r="G40" i="3" s="1"/>
  <c r="E15" i="13" s="1"/>
  <c r="J38" i="3"/>
  <c r="J40" i="3" s="1"/>
  <c r="H15" i="13" s="1"/>
  <c r="L38" i="3"/>
  <c r="O38" i="3"/>
  <c r="R38" i="3"/>
  <c r="R40" i="3" s="1"/>
  <c r="T38" i="3"/>
  <c r="V38" i="3"/>
  <c r="W38" i="3"/>
  <c r="W40" i="3" s="1"/>
  <c r="U15" i="13" s="1"/>
  <c r="D40" i="3"/>
  <c r="E40" i="3"/>
  <c r="K40" i="3"/>
  <c r="I15" i="13" s="1"/>
  <c r="L40" i="3"/>
  <c r="O40" i="3"/>
  <c r="M15" i="13" s="1"/>
  <c r="S40" i="3"/>
  <c r="Q15" i="13" s="1"/>
  <c r="T40" i="3"/>
  <c r="R15" i="13" s="1"/>
  <c r="V40" i="3"/>
  <c r="D50" i="3"/>
  <c r="E50" i="3"/>
  <c r="E51" i="3" s="1"/>
  <c r="E38" i="24" s="1"/>
  <c r="E40" i="24" s="1"/>
  <c r="F50" i="3"/>
  <c r="F51" i="3" s="1"/>
  <c r="F38" i="24" s="1"/>
  <c r="F40" i="24" s="1"/>
  <c r="G50" i="3"/>
  <c r="H50" i="3"/>
  <c r="J50" i="3"/>
  <c r="K50" i="3"/>
  <c r="L50" i="3"/>
  <c r="L51" i="3" s="1"/>
  <c r="L53" i="3" s="1"/>
  <c r="M50" i="3"/>
  <c r="M51" i="3" s="1"/>
  <c r="N50" i="3"/>
  <c r="O50" i="3"/>
  <c r="O51" i="3" s="1"/>
  <c r="O53" i="3" s="1"/>
  <c r="P50" i="3"/>
  <c r="R50" i="3"/>
  <c r="R51" i="3" s="1"/>
  <c r="R53" i="3" s="1"/>
  <c r="S50" i="3"/>
  <c r="S51" i="3" s="1"/>
  <c r="S53" i="3" s="1"/>
  <c r="Q15" i="14" s="1"/>
  <c r="T50" i="3"/>
  <c r="U50" i="3"/>
  <c r="U51" i="3" s="1"/>
  <c r="V50" i="3"/>
  <c r="V51" i="3" s="1"/>
  <c r="V53" i="3" s="1"/>
  <c r="W50" i="3"/>
  <c r="D51" i="3"/>
  <c r="D38" i="24" s="1"/>
  <c r="D40" i="24" s="1"/>
  <c r="G51" i="3"/>
  <c r="G53" i="3" s="1"/>
  <c r="H51" i="3"/>
  <c r="H53" i="3" s="1"/>
  <c r="J51" i="3"/>
  <c r="J53" i="3" s="1"/>
  <c r="K51" i="3"/>
  <c r="N51" i="3"/>
  <c r="N53" i="3" s="1"/>
  <c r="P51" i="3"/>
  <c r="P53" i="3" s="1"/>
  <c r="T51" i="3"/>
  <c r="T53" i="3" s="1"/>
  <c r="W51" i="3"/>
  <c r="W53" i="3" s="1"/>
  <c r="U15" i="14" s="1"/>
  <c r="K53" i="3"/>
  <c r="M53" i="3"/>
  <c r="U53" i="3"/>
  <c r="S15" i="14" s="1"/>
  <c r="C8" i="2"/>
  <c r="K77" i="11" s="1"/>
  <c r="C9" i="2"/>
  <c r="C10" i="2"/>
  <c r="E20" i="2"/>
  <c r="B21" i="2"/>
  <c r="C21" i="2"/>
  <c r="D21" i="2"/>
  <c r="B23" i="2"/>
  <c r="E25" i="2"/>
  <c r="E26" i="2"/>
  <c r="B27" i="2"/>
  <c r="E27" i="2" s="1"/>
  <c r="C27" i="2"/>
  <c r="D27" i="2"/>
  <c r="D52" i="2"/>
  <c r="E52" i="2"/>
  <c r="F52" i="2"/>
  <c r="D54" i="2"/>
  <c r="E54" i="2"/>
  <c r="F54" i="2" s="1"/>
  <c r="B18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B5" i="13"/>
  <c r="C5" i="13" s="1"/>
  <c r="D5" i="13" s="1"/>
  <c r="E5" i="13" s="1"/>
  <c r="Z7" i="13"/>
  <c r="B9" i="13"/>
  <c r="C9" i="13"/>
  <c r="B10" i="13"/>
  <c r="B11" i="13"/>
  <c r="C11" i="13"/>
  <c r="G15" i="13"/>
  <c r="J15" i="13"/>
  <c r="P15" i="13"/>
  <c r="T15" i="13"/>
  <c r="W17" i="13"/>
  <c r="B22" i="13"/>
  <c r="C22" i="13" s="1"/>
  <c r="D22" i="13" s="1"/>
  <c r="E22" i="13"/>
  <c r="B23" i="13"/>
  <c r="B24" i="13"/>
  <c r="C24" i="13" s="1"/>
  <c r="D24" i="13" s="1"/>
  <c r="E24" i="13" s="1"/>
  <c r="F24" i="13" s="1"/>
  <c r="G24" i="13" s="1"/>
  <c r="H24" i="13" s="1"/>
  <c r="I24" i="13" s="1"/>
  <c r="J24" i="13" s="1"/>
  <c r="K24" i="13" s="1"/>
  <c r="L24" i="13"/>
  <c r="M24" i="13" s="1"/>
  <c r="N24" i="13" s="1"/>
  <c r="O24" i="13" s="1"/>
  <c r="P24" i="13" s="1"/>
  <c r="Q24" i="13" s="1"/>
  <c r="R24" i="13" s="1"/>
  <c r="S24" i="13" s="1"/>
  <c r="T24" i="13" s="1"/>
  <c r="U24" i="13" s="1"/>
  <c r="B25" i="13"/>
  <c r="B26" i="13"/>
  <c r="C26" i="13"/>
  <c r="W27" i="13"/>
  <c r="W28" i="13"/>
  <c r="C53" i="13"/>
  <c r="D53" i="13" s="1"/>
  <c r="E53" i="13" s="1"/>
  <c r="F53" i="13" s="1"/>
  <c r="G53" i="13" s="1"/>
  <c r="H53" i="13" s="1"/>
  <c r="I53" i="13" s="1"/>
  <c r="J53" i="13" s="1"/>
  <c r="K53" i="13" s="1"/>
  <c r="L53" i="13" s="1"/>
  <c r="M53" i="13"/>
  <c r="N53" i="13" s="1"/>
  <c r="O53" i="13" s="1"/>
  <c r="P53" i="13" s="1"/>
  <c r="Q53" i="13" s="1"/>
  <c r="R53" i="13" s="1"/>
  <c r="S53" i="13" s="1"/>
  <c r="T53" i="13" s="1"/>
  <c r="U53" i="13" s="1"/>
  <c r="B56" i="13"/>
  <c r="C56" i="13"/>
  <c r="D56" i="13"/>
  <c r="E56" i="13"/>
  <c r="F57" i="13" s="1"/>
  <c r="F56" i="13"/>
  <c r="G57" i="13" s="1"/>
  <c r="G56" i="13"/>
  <c r="H57" i="13" s="1"/>
  <c r="H56" i="13"/>
  <c r="I57" i="13" s="1"/>
  <c r="I56" i="13"/>
  <c r="J57" i="13" s="1"/>
  <c r="J56" i="13"/>
  <c r="K57" i="13" s="1"/>
  <c r="K56" i="13"/>
  <c r="L56" i="13"/>
  <c r="M56" i="13"/>
  <c r="N57" i="13" s="1"/>
  <c r="N56" i="13"/>
  <c r="O57" i="13" s="1"/>
  <c r="O56" i="13"/>
  <c r="P56" i="13"/>
  <c r="Q56" i="13"/>
  <c r="R57" i="13" s="1"/>
  <c r="R56" i="13"/>
  <c r="S56" i="13"/>
  <c r="T56" i="13"/>
  <c r="U56" i="13"/>
  <c r="C57" i="13"/>
  <c r="D57" i="13"/>
  <c r="E57" i="13"/>
  <c r="L57" i="13"/>
  <c r="M57" i="13"/>
  <c r="P57" i="13"/>
  <c r="Q57" i="13"/>
  <c r="S57" i="13"/>
  <c r="T57" i="13"/>
  <c r="U57" i="13"/>
  <c r="B78" i="13"/>
  <c r="C78" i="13"/>
  <c r="D78" i="13"/>
  <c r="E78" i="13"/>
  <c r="F78" i="13"/>
  <c r="G78" i="13"/>
  <c r="H78" i="13"/>
  <c r="I78" i="13"/>
  <c r="J78" i="13"/>
  <c r="K78" i="13"/>
  <c r="L78" i="13"/>
  <c r="M78" i="13"/>
  <c r="N78" i="13"/>
  <c r="O78" i="13"/>
  <c r="P78" i="13"/>
  <c r="Q78" i="13"/>
  <c r="R78" i="13"/>
  <c r="S78" i="13"/>
  <c r="T78" i="13"/>
  <c r="U78" i="13"/>
  <c r="B83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AJ86" i="13"/>
  <c r="AK86" i="13"/>
  <c r="AL86" i="13"/>
  <c r="AM86" i="13"/>
  <c r="AN86" i="13"/>
  <c r="AO86" i="13"/>
  <c r="AP86" i="13"/>
  <c r="AQ86" i="13"/>
  <c r="B96" i="13"/>
  <c r="C96" i="13"/>
  <c r="D96" i="13"/>
  <c r="E96" i="13"/>
  <c r="F96" i="13"/>
  <c r="G96" i="13"/>
  <c r="H96" i="13"/>
  <c r="I96" i="13"/>
  <c r="J96" i="13"/>
  <c r="K96" i="13"/>
  <c r="L96" i="13"/>
  <c r="M96" i="13"/>
  <c r="N96" i="13"/>
  <c r="O96" i="13"/>
  <c r="P96" i="13"/>
  <c r="Q96" i="13"/>
  <c r="R96" i="13"/>
  <c r="S96" i="13"/>
  <c r="T96" i="13"/>
  <c r="U96" i="13"/>
  <c r="B5" i="14"/>
  <c r="C5" i="14"/>
  <c r="D5" i="14"/>
  <c r="E5" i="14" s="1"/>
  <c r="B9" i="14"/>
  <c r="W9" i="14" s="1"/>
  <c r="C9" i="14"/>
  <c r="D9" i="14"/>
  <c r="B10" i="14"/>
  <c r="Z7" i="14" s="1"/>
  <c r="B11" i="14"/>
  <c r="C11" i="14"/>
  <c r="D11" i="14" s="1"/>
  <c r="E15" i="14"/>
  <c r="F15" i="14"/>
  <c r="H15" i="14"/>
  <c r="I15" i="14"/>
  <c r="J15" i="14"/>
  <c r="K15" i="14"/>
  <c r="L15" i="14"/>
  <c r="M15" i="14"/>
  <c r="N15" i="14"/>
  <c r="P15" i="14"/>
  <c r="R15" i="14"/>
  <c r="T15" i="14"/>
  <c r="W17" i="14"/>
  <c r="B22" i="14"/>
  <c r="C22" i="14"/>
  <c r="D22" i="14"/>
  <c r="B23" i="14"/>
  <c r="C23" i="14"/>
  <c r="D23" i="14" s="1"/>
  <c r="B24" i="14"/>
  <c r="B25" i="14"/>
  <c r="C25" i="14" s="1"/>
  <c r="B26" i="14"/>
  <c r="W27" i="14"/>
  <c r="B28" i="14"/>
  <c r="D28" i="14"/>
  <c r="T28" i="14"/>
  <c r="C53" i="14"/>
  <c r="D53" i="14" s="1"/>
  <c r="E53" i="14" s="1"/>
  <c r="F53" i="14" s="1"/>
  <c r="G53" i="14" s="1"/>
  <c r="H53" i="14" s="1"/>
  <c r="I53" i="14"/>
  <c r="J53" i="14" s="1"/>
  <c r="K53" i="14" s="1"/>
  <c r="L53" i="14" s="1"/>
  <c r="M53" i="14" s="1"/>
  <c r="N53" i="14" s="1"/>
  <c r="O53" i="14" s="1"/>
  <c r="P53" i="14" s="1"/>
  <c r="Q53" i="14" s="1"/>
  <c r="R53" i="14" s="1"/>
  <c r="S53" i="14" s="1"/>
  <c r="T53" i="14" s="1"/>
  <c r="U53" i="14" s="1"/>
  <c r="B56" i="14"/>
  <c r="C56" i="14"/>
  <c r="D56" i="14"/>
  <c r="E57" i="14" s="1"/>
  <c r="E56" i="14"/>
  <c r="F56" i="14"/>
  <c r="G57" i="14" s="1"/>
  <c r="G56" i="14"/>
  <c r="H57" i="14" s="1"/>
  <c r="H56" i="14"/>
  <c r="I57" i="14" s="1"/>
  <c r="I56" i="14"/>
  <c r="J56" i="14"/>
  <c r="K57" i="14" s="1"/>
  <c r="K56" i="14"/>
  <c r="L56" i="14"/>
  <c r="M57" i="14" s="1"/>
  <c r="M56" i="14"/>
  <c r="N56" i="14"/>
  <c r="O57" i="14" s="1"/>
  <c r="O56" i="14"/>
  <c r="P57" i="14" s="1"/>
  <c r="P56" i="14"/>
  <c r="Q57" i="14" s="1"/>
  <c r="Q56" i="14"/>
  <c r="R56" i="14"/>
  <c r="S57" i="14" s="1"/>
  <c r="S56" i="14"/>
  <c r="T56" i="14"/>
  <c r="U57" i="14" s="1"/>
  <c r="U56" i="14"/>
  <c r="D57" i="14"/>
  <c r="F57" i="14"/>
  <c r="J57" i="14"/>
  <c r="L57" i="14"/>
  <c r="N57" i="14"/>
  <c r="R57" i="14"/>
  <c r="T57" i="14"/>
  <c r="B77" i="14"/>
  <c r="C77" i="14"/>
  <c r="D77" i="14"/>
  <c r="E77" i="14"/>
  <c r="F77" i="14"/>
  <c r="F79" i="14" s="1"/>
  <c r="F28" i="14" s="1"/>
  <c r="G77" i="14"/>
  <c r="H77" i="14"/>
  <c r="I77" i="14"/>
  <c r="J77" i="14"/>
  <c r="K77" i="14"/>
  <c r="L77" i="14"/>
  <c r="M77" i="14"/>
  <c r="N77" i="14"/>
  <c r="N79" i="14" s="1"/>
  <c r="N28" i="14" s="1"/>
  <c r="O77" i="14"/>
  <c r="P77" i="14"/>
  <c r="Q77" i="14"/>
  <c r="R77" i="14"/>
  <c r="S77" i="14"/>
  <c r="T77" i="14"/>
  <c r="U77" i="14"/>
  <c r="B78" i="14"/>
  <c r="B79" i="14" s="1"/>
  <c r="C78" i="14"/>
  <c r="D78" i="14"/>
  <c r="D79" i="14" s="1"/>
  <c r="E78" i="14"/>
  <c r="F78" i="14"/>
  <c r="G78" i="14"/>
  <c r="H78" i="14"/>
  <c r="I78" i="14"/>
  <c r="I79" i="14" s="1"/>
  <c r="I28" i="14" s="1"/>
  <c r="I29" i="4" s="1"/>
  <c r="J78" i="14"/>
  <c r="J79" i="14" s="1"/>
  <c r="J28" i="14" s="1"/>
  <c r="K78" i="14"/>
  <c r="L78" i="14"/>
  <c r="L79" i="14" s="1"/>
  <c r="L28" i="14" s="1"/>
  <c r="M78" i="14"/>
  <c r="N78" i="14"/>
  <c r="O78" i="14"/>
  <c r="P78" i="14"/>
  <c r="Q78" i="14"/>
  <c r="Q79" i="14" s="1"/>
  <c r="Q28" i="14" s="1"/>
  <c r="R78" i="14"/>
  <c r="R79" i="14" s="1"/>
  <c r="R28" i="14" s="1"/>
  <c r="S78" i="14"/>
  <c r="T78" i="14"/>
  <c r="T79" i="14" s="1"/>
  <c r="U78" i="14"/>
  <c r="C79" i="14"/>
  <c r="C28" i="14" s="1"/>
  <c r="E79" i="14"/>
  <c r="E28" i="14" s="1"/>
  <c r="G79" i="14"/>
  <c r="G28" i="14" s="1"/>
  <c r="H79" i="14"/>
  <c r="H28" i="14" s="1"/>
  <c r="K79" i="14"/>
  <c r="K28" i="14" s="1"/>
  <c r="K29" i="4" s="1"/>
  <c r="M79" i="14"/>
  <c r="M28" i="14" s="1"/>
  <c r="M29" i="4" s="1"/>
  <c r="O79" i="14"/>
  <c r="O28" i="14" s="1"/>
  <c r="P79" i="14"/>
  <c r="P28" i="14" s="1"/>
  <c r="S79" i="14"/>
  <c r="S28" i="14" s="1"/>
  <c r="S29" i="4" s="1"/>
  <c r="U79" i="14"/>
  <c r="U28" i="14" s="1"/>
  <c r="B89" i="14"/>
  <c r="C89" i="14"/>
  <c r="D89" i="14"/>
  <c r="E89" i="14"/>
  <c r="F89" i="14"/>
  <c r="G89" i="14"/>
  <c r="H89" i="14"/>
  <c r="I89" i="14"/>
  <c r="J89" i="14"/>
  <c r="K89" i="14"/>
  <c r="L89" i="14"/>
  <c r="M89" i="14"/>
  <c r="N89" i="14"/>
  <c r="O89" i="14"/>
  <c r="P89" i="14"/>
  <c r="Q89" i="14"/>
  <c r="R89" i="14"/>
  <c r="S89" i="14"/>
  <c r="T89" i="14"/>
  <c r="U89" i="14"/>
  <c r="B29" i="4" l="1"/>
  <c r="W28" i="14"/>
  <c r="B18" i="14"/>
  <c r="C57" i="14"/>
  <c r="W57" i="14" s="1"/>
  <c r="W56" i="14"/>
  <c r="D11" i="13"/>
  <c r="W11" i="13" s="1"/>
  <c r="D25" i="14"/>
  <c r="E25" i="14" s="1"/>
  <c r="F25" i="14" s="1"/>
  <c r="G25" i="14" s="1"/>
  <c r="H25" i="14" s="1"/>
  <c r="I25" i="14" s="1"/>
  <c r="J25" i="14" s="1"/>
  <c r="K25" i="14" s="1"/>
  <c r="L25" i="14" s="1"/>
  <c r="M25" i="14" s="1"/>
  <c r="N25" i="14" s="1"/>
  <c r="O25" i="14" s="1"/>
  <c r="P25" i="14" s="1"/>
  <c r="Q25" i="14" s="1"/>
  <c r="R25" i="14" s="1"/>
  <c r="S25" i="14" s="1"/>
  <c r="T25" i="14" s="1"/>
  <c r="U25" i="14" s="1"/>
  <c r="N15" i="9"/>
  <c r="N15" i="10"/>
  <c r="N15" i="12"/>
  <c r="N15" i="11"/>
  <c r="Z8" i="14"/>
  <c r="Z9" i="14" s="1"/>
  <c r="B29" i="14"/>
  <c r="C24" i="14"/>
  <c r="C29" i="14" s="1"/>
  <c r="C26" i="14"/>
  <c r="D26" i="14" s="1"/>
  <c r="E26" i="14" s="1"/>
  <c r="F26" i="14" s="1"/>
  <c r="G26" i="14" s="1"/>
  <c r="H26" i="14" s="1"/>
  <c r="I26" i="14" s="1"/>
  <c r="J26" i="14" s="1"/>
  <c r="K26" i="14" s="1"/>
  <c r="L26" i="14" s="1"/>
  <c r="M26" i="14" s="1"/>
  <c r="N26" i="14" s="1"/>
  <c r="O26" i="14" s="1"/>
  <c r="P26" i="14" s="1"/>
  <c r="Q26" i="14" s="1"/>
  <c r="R26" i="14" s="1"/>
  <c r="S26" i="14" s="1"/>
  <c r="T26" i="14" s="1"/>
  <c r="U26" i="14" s="1"/>
  <c r="E22" i="14"/>
  <c r="W11" i="14"/>
  <c r="E23" i="14"/>
  <c r="E16" i="14"/>
  <c r="F5" i="14"/>
  <c r="R15" i="9"/>
  <c r="R15" i="10"/>
  <c r="R15" i="12"/>
  <c r="R15" i="11"/>
  <c r="W57" i="13"/>
  <c r="F5" i="13"/>
  <c r="E16" i="13"/>
  <c r="E23" i="13"/>
  <c r="AC8" i="13" s="1"/>
  <c r="B29" i="24"/>
  <c r="B54" i="24"/>
  <c r="B17" i="24"/>
  <c r="B50" i="24"/>
  <c r="B35" i="24"/>
  <c r="B46" i="24"/>
  <c r="B23" i="24"/>
  <c r="B41" i="24"/>
  <c r="C41" i="24" s="1"/>
  <c r="B11" i="24"/>
  <c r="E15" i="9"/>
  <c r="E15" i="10"/>
  <c r="E15" i="12"/>
  <c r="E15" i="11"/>
  <c r="Z8" i="13"/>
  <c r="C23" i="13"/>
  <c r="B29" i="13"/>
  <c r="F22" i="13"/>
  <c r="J15" i="9"/>
  <c r="J15" i="10"/>
  <c r="J15" i="12"/>
  <c r="J15" i="11"/>
  <c r="S15" i="9"/>
  <c r="S15" i="10"/>
  <c r="S15" i="12"/>
  <c r="S15" i="11"/>
  <c r="G15" i="9"/>
  <c r="G15" i="10"/>
  <c r="G15" i="12"/>
  <c r="G15" i="11"/>
  <c r="G25" i="11"/>
  <c r="H25" i="11" s="1"/>
  <c r="I25" i="11" s="1"/>
  <c r="J25" i="11" s="1"/>
  <c r="K25" i="11" s="1"/>
  <c r="L25" i="11" s="1"/>
  <c r="M25" i="11" s="1"/>
  <c r="N25" i="11" s="1"/>
  <c r="O25" i="11" s="1"/>
  <c r="P25" i="11" s="1"/>
  <c r="Q25" i="11" s="1"/>
  <c r="R25" i="11" s="1"/>
  <c r="S25" i="11" s="1"/>
  <c r="T25" i="11" s="1"/>
  <c r="U25" i="11" s="1"/>
  <c r="W15" i="13"/>
  <c r="I15" i="9"/>
  <c r="I15" i="10"/>
  <c r="I15" i="12"/>
  <c r="I15" i="11"/>
  <c r="F40" i="3"/>
  <c r="D9" i="13" s="1"/>
  <c r="F27" i="3"/>
  <c r="F5" i="11"/>
  <c r="E16" i="11"/>
  <c r="E23" i="11"/>
  <c r="C10" i="13"/>
  <c r="F53" i="24"/>
  <c r="B9" i="9"/>
  <c r="B9" i="10"/>
  <c r="B9" i="12"/>
  <c r="B9" i="11"/>
  <c r="W56" i="13"/>
  <c r="C25" i="13"/>
  <c r="D25" i="13" s="1"/>
  <c r="E25" i="13" s="1"/>
  <c r="F25" i="13" s="1"/>
  <c r="G25" i="13" s="1"/>
  <c r="H25" i="13" s="1"/>
  <c r="I25" i="13" s="1"/>
  <c r="J25" i="13" s="1"/>
  <c r="K25" i="13" s="1"/>
  <c r="L25" i="13" s="1"/>
  <c r="M25" i="13" s="1"/>
  <c r="N25" i="13" s="1"/>
  <c r="O25" i="13" s="1"/>
  <c r="P25" i="13" s="1"/>
  <c r="Q25" i="13" s="1"/>
  <c r="R25" i="13" s="1"/>
  <c r="S25" i="13" s="1"/>
  <c r="T25" i="13" s="1"/>
  <c r="U25" i="13" s="1"/>
  <c r="W25" i="13"/>
  <c r="C23" i="11"/>
  <c r="B29" i="11"/>
  <c r="Z8" i="11"/>
  <c r="Z9" i="11" s="1"/>
  <c r="C10" i="14"/>
  <c r="B18" i="13"/>
  <c r="U15" i="9"/>
  <c r="U15" i="10"/>
  <c r="U15" i="11"/>
  <c r="U15" i="12"/>
  <c r="L15" i="10"/>
  <c r="L15" i="9"/>
  <c r="L15" i="12"/>
  <c r="L15" i="11"/>
  <c r="E26" i="24"/>
  <c r="E28" i="24" s="1"/>
  <c r="E14" i="24"/>
  <c r="E16" i="24" s="1"/>
  <c r="E10" i="24"/>
  <c r="E20" i="24"/>
  <c r="E22" i="24" s="1"/>
  <c r="T29" i="4"/>
  <c r="D26" i="13"/>
  <c r="E26" i="13" s="1"/>
  <c r="F26" i="13" s="1"/>
  <c r="G26" i="13" s="1"/>
  <c r="H26" i="13" s="1"/>
  <c r="I26" i="13" s="1"/>
  <c r="J26" i="13" s="1"/>
  <c r="K26" i="13" s="1"/>
  <c r="L26" i="13" s="1"/>
  <c r="M26" i="13" s="1"/>
  <c r="N26" i="13" s="1"/>
  <c r="O26" i="13" s="1"/>
  <c r="P26" i="13" s="1"/>
  <c r="Q26" i="13" s="1"/>
  <c r="R26" i="13" s="1"/>
  <c r="S26" i="13" s="1"/>
  <c r="T26" i="13" s="1"/>
  <c r="U26" i="13" s="1"/>
  <c r="Z9" i="13"/>
  <c r="W24" i="13"/>
  <c r="M15" i="9"/>
  <c r="M15" i="10"/>
  <c r="M15" i="12"/>
  <c r="M15" i="11"/>
  <c r="T15" i="10"/>
  <c r="T15" i="9"/>
  <c r="T15" i="12"/>
  <c r="T15" i="11"/>
  <c r="P15" i="9"/>
  <c r="P15" i="10"/>
  <c r="P15" i="11"/>
  <c r="P15" i="12"/>
  <c r="K15" i="9"/>
  <c r="K15" i="10"/>
  <c r="K15" i="12"/>
  <c r="K15" i="11"/>
  <c r="C53" i="4"/>
  <c r="E7" i="25"/>
  <c r="F6" i="25"/>
  <c r="W56" i="11"/>
  <c r="D57" i="11"/>
  <c r="W57" i="11" s="1"/>
  <c r="P29" i="4"/>
  <c r="H29" i="4"/>
  <c r="W26" i="11"/>
  <c r="H78" i="9"/>
  <c r="P78" i="9"/>
  <c r="C78" i="9"/>
  <c r="K78" i="9"/>
  <c r="S78" i="9"/>
  <c r="F78" i="9"/>
  <c r="N78" i="9"/>
  <c r="J78" i="9"/>
  <c r="L78" i="9"/>
  <c r="B78" i="9"/>
  <c r="O78" i="9"/>
  <c r="G78" i="9"/>
  <c r="T78" i="9"/>
  <c r="D77" i="10"/>
  <c r="L77" i="10"/>
  <c r="T77" i="10"/>
  <c r="I78" i="9"/>
  <c r="G77" i="10"/>
  <c r="O77" i="10"/>
  <c r="R78" i="9"/>
  <c r="B77" i="10"/>
  <c r="J77" i="10"/>
  <c r="R77" i="10"/>
  <c r="H77" i="10"/>
  <c r="U77" i="10"/>
  <c r="D78" i="9"/>
  <c r="K77" i="10"/>
  <c r="U78" i="9"/>
  <c r="E77" i="10"/>
  <c r="Q77" i="10"/>
  <c r="F77" i="10"/>
  <c r="S77" i="10"/>
  <c r="E78" i="9"/>
  <c r="P77" i="10"/>
  <c r="B29" i="5"/>
  <c r="B32" i="5" s="1"/>
  <c r="M78" i="9"/>
  <c r="M77" i="10"/>
  <c r="Q78" i="9"/>
  <c r="I77" i="10"/>
  <c r="N77" i="10"/>
  <c r="D78" i="12"/>
  <c r="L78" i="12"/>
  <c r="T78" i="12"/>
  <c r="E78" i="12"/>
  <c r="M78" i="12"/>
  <c r="B78" i="12"/>
  <c r="J78" i="12"/>
  <c r="K78" i="12"/>
  <c r="F78" i="12"/>
  <c r="Q78" i="12"/>
  <c r="C77" i="10"/>
  <c r="H78" i="12"/>
  <c r="S78" i="12"/>
  <c r="P78" i="12"/>
  <c r="R78" i="12"/>
  <c r="U78" i="12"/>
  <c r="N78" i="12"/>
  <c r="O78" i="12"/>
  <c r="D77" i="11"/>
  <c r="L77" i="11"/>
  <c r="T77" i="11"/>
  <c r="E77" i="11"/>
  <c r="M77" i="11"/>
  <c r="U77" i="11"/>
  <c r="F77" i="11"/>
  <c r="N77" i="11"/>
  <c r="C78" i="12"/>
  <c r="H77" i="11"/>
  <c r="P77" i="11"/>
  <c r="I78" i="12"/>
  <c r="B77" i="11"/>
  <c r="J77" i="11"/>
  <c r="R77" i="11"/>
  <c r="C77" i="11"/>
  <c r="C10" i="11"/>
  <c r="L29" i="4"/>
  <c r="D29" i="4"/>
  <c r="E22" i="11"/>
  <c r="H15" i="9"/>
  <c r="H15" i="10"/>
  <c r="H15" i="11"/>
  <c r="H15" i="12"/>
  <c r="Q15" i="9"/>
  <c r="Q15" i="10"/>
  <c r="Q15" i="12"/>
  <c r="Q15" i="11"/>
  <c r="F26" i="24"/>
  <c r="F28" i="24" s="1"/>
  <c r="F49" i="24" s="1"/>
  <c r="F14" i="24"/>
  <c r="F16" i="24" s="1"/>
  <c r="F10" i="24"/>
  <c r="F20" i="24"/>
  <c r="F22" i="24" s="1"/>
  <c r="S77" i="11"/>
  <c r="F15" i="9"/>
  <c r="F15" i="10"/>
  <c r="F15" i="12"/>
  <c r="F15" i="11"/>
  <c r="D14" i="24"/>
  <c r="D16" i="24" s="1"/>
  <c r="D10" i="24"/>
  <c r="D20" i="24"/>
  <c r="D22" i="24" s="1"/>
  <c r="D53" i="24" s="1"/>
  <c r="D26" i="24"/>
  <c r="D28" i="24" s="1"/>
  <c r="D49" i="24" s="1"/>
  <c r="Q77" i="11"/>
  <c r="R29" i="4"/>
  <c r="J29" i="4"/>
  <c r="W28" i="11"/>
  <c r="C29" i="4"/>
  <c r="B27" i="4"/>
  <c r="X12" i="5"/>
  <c r="C12" i="5"/>
  <c r="W28" i="4"/>
  <c r="Y28" i="4" s="1"/>
  <c r="Q50" i="3"/>
  <c r="Q51" i="3" s="1"/>
  <c r="Q53" i="3" s="1"/>
  <c r="O15" i="14" s="1"/>
  <c r="I50" i="3"/>
  <c r="I51" i="3" s="1"/>
  <c r="I53" i="3" s="1"/>
  <c r="G15" i="14" s="1"/>
  <c r="W15" i="14" s="1"/>
  <c r="U37" i="3"/>
  <c r="U38" i="3" s="1"/>
  <c r="U40" i="3" s="1"/>
  <c r="S15" i="13" s="1"/>
  <c r="M37" i="3"/>
  <c r="M38" i="3" s="1"/>
  <c r="M40" i="3" s="1"/>
  <c r="K15" i="13" s="1"/>
  <c r="E37" i="3"/>
  <c r="E38" i="3" s="1"/>
  <c r="E32" i="24" s="1"/>
  <c r="E34" i="24" s="1"/>
  <c r="E53" i="24" s="1"/>
  <c r="Q24" i="3"/>
  <c r="Q25" i="3" s="1"/>
  <c r="Q27" i="3" s="1"/>
  <c r="Q29" i="4"/>
  <c r="U28" i="4"/>
  <c r="V12" i="5" s="1"/>
  <c r="W27" i="11"/>
  <c r="X28" i="4" s="1"/>
  <c r="D24" i="11"/>
  <c r="E24" i="11" s="1"/>
  <c r="F24" i="11" s="1"/>
  <c r="G24" i="11" s="1"/>
  <c r="H24" i="11" s="1"/>
  <c r="I24" i="11" s="1"/>
  <c r="J24" i="11" s="1"/>
  <c r="K24" i="11" s="1"/>
  <c r="L24" i="11" s="1"/>
  <c r="M24" i="11" s="1"/>
  <c r="N24" i="11" s="1"/>
  <c r="O24" i="11" s="1"/>
  <c r="P24" i="11" s="1"/>
  <c r="Q24" i="11" s="1"/>
  <c r="R24" i="11" s="1"/>
  <c r="S24" i="11" s="1"/>
  <c r="T24" i="11" s="1"/>
  <c r="U24" i="11" s="1"/>
  <c r="O29" i="4"/>
  <c r="G29" i="4"/>
  <c r="C11" i="11"/>
  <c r="D11" i="11" s="1"/>
  <c r="W57" i="12"/>
  <c r="N29" i="4"/>
  <c r="F29" i="4"/>
  <c r="E22" i="12"/>
  <c r="E23" i="12"/>
  <c r="E16" i="12"/>
  <c r="F5" i="12"/>
  <c r="C9" i="9"/>
  <c r="C9" i="10"/>
  <c r="C9" i="12"/>
  <c r="C9" i="11"/>
  <c r="U29" i="4"/>
  <c r="E29" i="4"/>
  <c r="J6" i="20"/>
  <c r="I86" i="20"/>
  <c r="I92" i="20"/>
  <c r="I98" i="20"/>
  <c r="C26" i="12"/>
  <c r="D26" i="12" s="1"/>
  <c r="E26" i="12" s="1"/>
  <c r="F26" i="12" s="1"/>
  <c r="G26" i="12" s="1"/>
  <c r="H26" i="12" s="1"/>
  <c r="I26" i="12" s="1"/>
  <c r="J26" i="12" s="1"/>
  <c r="K26" i="12" s="1"/>
  <c r="L26" i="12" s="1"/>
  <c r="M26" i="12" s="1"/>
  <c r="N26" i="12" s="1"/>
  <c r="O26" i="12" s="1"/>
  <c r="P26" i="12" s="1"/>
  <c r="Q26" i="12" s="1"/>
  <c r="R26" i="12" s="1"/>
  <c r="S26" i="12" s="1"/>
  <c r="T26" i="12" s="1"/>
  <c r="U26" i="12" s="1"/>
  <c r="W26" i="12"/>
  <c r="W56" i="12"/>
  <c r="B29" i="12"/>
  <c r="C25" i="12"/>
  <c r="D25" i="12" s="1"/>
  <c r="E25" i="12" s="1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R25" i="12" s="1"/>
  <c r="S25" i="12" s="1"/>
  <c r="T25" i="12" s="1"/>
  <c r="U25" i="12" s="1"/>
  <c r="C29" i="12"/>
  <c r="M14" i="5"/>
  <c r="R14" i="5"/>
  <c r="H14" i="5"/>
  <c r="C33" i="22"/>
  <c r="C34" i="22"/>
  <c r="C37" i="22" s="1"/>
  <c r="W28" i="12"/>
  <c r="C24" i="12"/>
  <c r="Z7" i="12"/>
  <c r="V14" i="5"/>
  <c r="B110" i="22"/>
  <c r="J99" i="22" s="1"/>
  <c r="C23" i="2" s="1"/>
  <c r="B40" i="22"/>
  <c r="R75" i="22"/>
  <c r="I14" i="5"/>
  <c r="W10" i="12"/>
  <c r="N14" i="5"/>
  <c r="U14" i="5"/>
  <c r="E14" i="5"/>
  <c r="G68" i="20"/>
  <c r="H5" i="20"/>
  <c r="Q14" i="5"/>
  <c r="F14" i="5"/>
  <c r="H86" i="20"/>
  <c r="H92" i="20"/>
  <c r="H98" i="20"/>
  <c r="B75" i="22"/>
  <c r="J75" i="22"/>
  <c r="J14" i="5"/>
  <c r="W34" i="22"/>
  <c r="X34" i="22" s="1"/>
  <c r="B28" i="22"/>
  <c r="C12" i="22" s="1"/>
  <c r="E97" i="22"/>
  <c r="B20" i="22" s="1"/>
  <c r="O75" i="22"/>
  <c r="C59" i="22"/>
  <c r="B111" i="22" s="1"/>
  <c r="O99" i="22" s="1"/>
  <c r="D23" i="2" s="1"/>
  <c r="K59" i="22"/>
  <c r="S59" i="22"/>
  <c r="C66" i="22"/>
  <c r="C75" i="22" s="1"/>
  <c r="K66" i="22"/>
  <c r="S66" i="22"/>
  <c r="B57" i="22"/>
  <c r="F59" i="22"/>
  <c r="N59" i="22"/>
  <c r="F66" i="22"/>
  <c r="F75" i="22" s="1"/>
  <c r="N66" i="22"/>
  <c r="W14" i="22"/>
  <c r="X14" i="22" s="1"/>
  <c r="W57" i="10"/>
  <c r="C26" i="10"/>
  <c r="C23" i="9"/>
  <c r="Z8" i="9"/>
  <c r="Z9" i="9" s="1"/>
  <c r="B10" i="10"/>
  <c r="W28" i="10"/>
  <c r="E5" i="9"/>
  <c r="D5" i="10"/>
  <c r="B22" i="10"/>
  <c r="B11" i="10"/>
  <c r="B23" i="10"/>
  <c r="B24" i="10"/>
  <c r="B25" i="10"/>
  <c r="W56" i="10"/>
  <c r="W25" i="9"/>
  <c r="C25" i="9"/>
  <c r="D25" i="9" s="1"/>
  <c r="E25" i="9" s="1"/>
  <c r="F25" i="9" s="1"/>
  <c r="G25" i="9" s="1"/>
  <c r="H25" i="9" s="1"/>
  <c r="I25" i="9" s="1"/>
  <c r="J25" i="9" s="1"/>
  <c r="K25" i="9" s="1"/>
  <c r="L25" i="9" s="1"/>
  <c r="M25" i="9" s="1"/>
  <c r="N25" i="9" s="1"/>
  <c r="O25" i="9" s="1"/>
  <c r="P25" i="9" s="1"/>
  <c r="Q25" i="9" s="1"/>
  <c r="R25" i="9" s="1"/>
  <c r="S25" i="9" s="1"/>
  <c r="T25" i="9" s="1"/>
  <c r="U25" i="9" s="1"/>
  <c r="F26" i="9"/>
  <c r="G26" i="9" s="1"/>
  <c r="H26" i="9" s="1"/>
  <c r="I26" i="9" s="1"/>
  <c r="J26" i="9" s="1"/>
  <c r="K26" i="9" s="1"/>
  <c r="L26" i="9" s="1"/>
  <c r="M26" i="9" s="1"/>
  <c r="N26" i="9" s="1"/>
  <c r="O26" i="9" s="1"/>
  <c r="P26" i="9" s="1"/>
  <c r="Q26" i="9" s="1"/>
  <c r="R26" i="9" s="1"/>
  <c r="S26" i="9" s="1"/>
  <c r="T26" i="9" s="1"/>
  <c r="U26" i="9" s="1"/>
  <c r="U57" i="9"/>
  <c r="W57" i="9" s="1"/>
  <c r="U56" i="9"/>
  <c r="W56" i="9" s="1"/>
  <c r="W28" i="9"/>
  <c r="W11" i="9"/>
  <c r="C24" i="9"/>
  <c r="D24" i="9" s="1"/>
  <c r="E24" i="9" s="1"/>
  <c r="F24" i="9" s="1"/>
  <c r="G24" i="9" s="1"/>
  <c r="H24" i="9" s="1"/>
  <c r="I24" i="9" s="1"/>
  <c r="J24" i="9" s="1"/>
  <c r="K24" i="9" s="1"/>
  <c r="L24" i="9" s="1"/>
  <c r="M24" i="9" s="1"/>
  <c r="N24" i="9" s="1"/>
  <c r="O24" i="9" s="1"/>
  <c r="P24" i="9" s="1"/>
  <c r="Q24" i="9" s="1"/>
  <c r="R24" i="9" s="1"/>
  <c r="S24" i="9" s="1"/>
  <c r="T24" i="9" s="1"/>
  <c r="U24" i="9" s="1"/>
  <c r="W24" i="9"/>
  <c r="C22" i="9"/>
  <c r="C10" i="9"/>
  <c r="W10" i="14" l="1"/>
  <c r="G14" i="5"/>
  <c r="AA7" i="9"/>
  <c r="W10" i="9"/>
  <c r="D10" i="9"/>
  <c r="AB7" i="9" s="1"/>
  <c r="C11" i="10"/>
  <c r="B12" i="4"/>
  <c r="D14" i="5"/>
  <c r="S14" i="5"/>
  <c r="C18" i="9"/>
  <c r="M16" i="4"/>
  <c r="B18" i="10"/>
  <c r="B10" i="4"/>
  <c r="AC8" i="11"/>
  <c r="G22" i="13"/>
  <c r="E16" i="4"/>
  <c r="C35" i="24"/>
  <c r="C29" i="9"/>
  <c r="D22" i="9"/>
  <c r="N75" i="22"/>
  <c r="G5" i="12"/>
  <c r="F16" i="12"/>
  <c r="AD7" i="12" s="1"/>
  <c r="F23" i="12"/>
  <c r="W24" i="11"/>
  <c r="O15" i="9"/>
  <c r="O15" i="10"/>
  <c r="O15" i="12"/>
  <c r="O15" i="11"/>
  <c r="D13" i="5"/>
  <c r="W13" i="5" s="1"/>
  <c r="Y13" i="5" s="1"/>
  <c r="W12" i="5"/>
  <c r="Y12" i="5" s="1"/>
  <c r="D45" i="24"/>
  <c r="C46" i="24" s="1"/>
  <c r="Q16" i="4"/>
  <c r="E45" i="24"/>
  <c r="B18" i="9"/>
  <c r="W9" i="9"/>
  <c r="AC7" i="11"/>
  <c r="AC9" i="11" s="1"/>
  <c r="E29" i="13"/>
  <c r="W15" i="9"/>
  <c r="AC7" i="13"/>
  <c r="AC9" i="13" s="1"/>
  <c r="W26" i="14"/>
  <c r="N16" i="4"/>
  <c r="C41" i="22"/>
  <c r="C44" i="22" s="1"/>
  <c r="C40" i="22"/>
  <c r="F22" i="11"/>
  <c r="E29" i="11"/>
  <c r="U16" i="4"/>
  <c r="F16" i="11"/>
  <c r="AD7" i="11" s="1"/>
  <c r="F23" i="11"/>
  <c r="AD8" i="11" s="1"/>
  <c r="G5" i="11"/>
  <c r="G16" i="4"/>
  <c r="J16" i="4"/>
  <c r="F23" i="13"/>
  <c r="AD8" i="13" s="1"/>
  <c r="G5" i="13"/>
  <c r="F16" i="13"/>
  <c r="E49" i="24"/>
  <c r="C50" i="24" s="1"/>
  <c r="D9" i="10"/>
  <c r="W9" i="10" s="1"/>
  <c r="X10" i="4" s="1"/>
  <c r="D9" i="9"/>
  <c r="D9" i="12"/>
  <c r="D9" i="11"/>
  <c r="AA8" i="13"/>
  <c r="D23" i="13"/>
  <c r="C29" i="13"/>
  <c r="C54" i="24"/>
  <c r="AC7" i="14"/>
  <c r="W29" i="4"/>
  <c r="W26" i="9"/>
  <c r="C24" i="10"/>
  <c r="B25" i="4"/>
  <c r="D26" i="10"/>
  <c r="C27" i="4"/>
  <c r="P14" i="5"/>
  <c r="C14" i="5"/>
  <c r="H68" i="20"/>
  <c r="H74" i="20"/>
  <c r="H80" i="20"/>
  <c r="I5" i="20"/>
  <c r="W25" i="12"/>
  <c r="F45" i="24"/>
  <c r="D53" i="4"/>
  <c r="F7" i="25"/>
  <c r="G6" i="25"/>
  <c r="AA7" i="13"/>
  <c r="D10" i="13"/>
  <c r="C18" i="13"/>
  <c r="W9" i="13"/>
  <c r="E18" i="13"/>
  <c r="E19" i="13" s="1"/>
  <c r="C11" i="24"/>
  <c r="C29" i="24"/>
  <c r="B12" i="14"/>
  <c r="C12" i="14"/>
  <c r="C19" i="14" s="1"/>
  <c r="C32" i="14" s="1"/>
  <c r="D12" i="14"/>
  <c r="W25" i="14"/>
  <c r="D23" i="9"/>
  <c r="AB8" i="9" s="1"/>
  <c r="AA8" i="9"/>
  <c r="AC7" i="12"/>
  <c r="AA7" i="11"/>
  <c r="D10" i="11"/>
  <c r="AB7" i="11" s="1"/>
  <c r="C17" i="24"/>
  <c r="G5" i="14"/>
  <c r="F23" i="14"/>
  <c r="F16" i="14"/>
  <c r="C25" i="10"/>
  <c r="B26" i="4"/>
  <c r="W54" i="22"/>
  <c r="X54" i="22" s="1"/>
  <c r="K14" i="5"/>
  <c r="F18" i="11"/>
  <c r="F19" i="11" s="1"/>
  <c r="E16" i="9"/>
  <c r="F5" i="9"/>
  <c r="E5" i="10"/>
  <c r="E23" i="9"/>
  <c r="AC8" i="9" s="1"/>
  <c r="B60" i="22"/>
  <c r="B61" i="22"/>
  <c r="B64" i="22" s="1"/>
  <c r="T16" i="4"/>
  <c r="Z8" i="10"/>
  <c r="C23" i="10"/>
  <c r="B24" i="4"/>
  <c r="B29" i="10"/>
  <c r="C22" i="10"/>
  <c r="B23" i="4"/>
  <c r="X29" i="4"/>
  <c r="X13" i="5"/>
  <c r="S75" i="22"/>
  <c r="C13" i="22"/>
  <c r="C14" i="22"/>
  <c r="C17" i="22" s="1"/>
  <c r="Z9" i="12"/>
  <c r="C18" i="12"/>
  <c r="F22" i="12"/>
  <c r="W11" i="11"/>
  <c r="W26" i="13"/>
  <c r="B18" i="11"/>
  <c r="W9" i="11"/>
  <c r="W25" i="11"/>
  <c r="S16" i="4"/>
  <c r="E19" i="11"/>
  <c r="E32" i="11" s="1"/>
  <c r="E18" i="11"/>
  <c r="C23" i="24"/>
  <c r="R16" i="4"/>
  <c r="W78" i="9"/>
  <c r="K16" i="4"/>
  <c r="C18" i="11"/>
  <c r="F16" i="4"/>
  <c r="H16" i="4"/>
  <c r="AA8" i="11"/>
  <c r="D23" i="11"/>
  <c r="C29" i="11"/>
  <c r="Z7" i="10"/>
  <c r="C10" i="10"/>
  <c r="B11" i="4"/>
  <c r="K75" i="22"/>
  <c r="B27" i="22"/>
  <c r="AA8" i="12"/>
  <c r="AA9" i="12" s="1"/>
  <c r="D24" i="12"/>
  <c r="K6" i="20"/>
  <c r="J86" i="20"/>
  <c r="J98" i="20"/>
  <c r="J92" i="20"/>
  <c r="C10" i="4"/>
  <c r="W78" i="12"/>
  <c r="P16" i="4"/>
  <c r="L16" i="4"/>
  <c r="AA7" i="14"/>
  <c r="D10" i="14"/>
  <c r="C18" i="14"/>
  <c r="B18" i="12"/>
  <c r="W9" i="12"/>
  <c r="I16" i="4"/>
  <c r="W15" i="12"/>
  <c r="F22" i="14"/>
  <c r="D24" i="14"/>
  <c r="AA8" i="14"/>
  <c r="C19" i="10" l="1"/>
  <c r="C32" i="10" s="1"/>
  <c r="C55" i="14"/>
  <c r="F16" i="9"/>
  <c r="G5" i="9"/>
  <c r="F23" i="9"/>
  <c r="AD8" i="9" s="1"/>
  <c r="F5" i="10"/>
  <c r="AD7" i="13"/>
  <c r="AD9" i="13" s="1"/>
  <c r="F18" i="13"/>
  <c r="F19" i="13" s="1"/>
  <c r="B19" i="4"/>
  <c r="AA9" i="9"/>
  <c r="AB8" i="11"/>
  <c r="AB9" i="11" s="1"/>
  <c r="D29" i="11"/>
  <c r="C21" i="22"/>
  <c r="C24" i="22" s="1"/>
  <c r="C20" i="22"/>
  <c r="AC7" i="9"/>
  <c r="AC9" i="9" s="1"/>
  <c r="W12" i="14"/>
  <c r="B19" i="14"/>
  <c r="AB7" i="13"/>
  <c r="W10" i="13"/>
  <c r="E53" i="4"/>
  <c r="G7" i="25"/>
  <c r="H6" i="25"/>
  <c r="H5" i="13"/>
  <c r="G23" i="13"/>
  <c r="G16" i="13"/>
  <c r="E18" i="9"/>
  <c r="E19" i="9" s="1"/>
  <c r="C12" i="13"/>
  <c r="C19" i="13" s="1"/>
  <c r="D12" i="13"/>
  <c r="B12" i="13"/>
  <c r="E55" i="11"/>
  <c r="E26" i="10"/>
  <c r="D27" i="4"/>
  <c r="L6" i="20"/>
  <c r="K92" i="20"/>
  <c r="K86" i="20"/>
  <c r="K98" i="20"/>
  <c r="E24" i="14"/>
  <c r="AB8" i="14"/>
  <c r="D29" i="14"/>
  <c r="E24" i="12"/>
  <c r="D29" i="12"/>
  <c r="AB8" i="12"/>
  <c r="AB9" i="12" s="1"/>
  <c r="D23" i="10"/>
  <c r="AA8" i="10"/>
  <c r="C24" i="4"/>
  <c r="AA6" i="4" s="1"/>
  <c r="B67" i="22"/>
  <c r="B68" i="22"/>
  <c r="D18" i="13"/>
  <c r="AB8" i="13"/>
  <c r="D29" i="13"/>
  <c r="D18" i="9"/>
  <c r="AD9" i="11"/>
  <c r="F29" i="11"/>
  <c r="F32" i="11" s="1"/>
  <c r="G22" i="11"/>
  <c r="E22" i="9"/>
  <c r="D29" i="9"/>
  <c r="D11" i="10"/>
  <c r="D12" i="4" s="1"/>
  <c r="C12" i="4"/>
  <c r="Z5" i="4"/>
  <c r="D22" i="10"/>
  <c r="C29" i="10"/>
  <c r="C23" i="4"/>
  <c r="C12" i="2"/>
  <c r="G12" i="2"/>
  <c r="O14" i="5"/>
  <c r="C12" i="11"/>
  <c r="C19" i="11" s="1"/>
  <c r="C32" i="11" s="1"/>
  <c r="B12" i="11"/>
  <c r="D12" i="11"/>
  <c r="G16" i="14"/>
  <c r="H5" i="14"/>
  <c r="G23" i="14"/>
  <c r="AA9" i="11"/>
  <c r="Y29" i="4"/>
  <c r="D10" i="4"/>
  <c r="O16" i="4"/>
  <c r="W16" i="4" s="1"/>
  <c r="Y16" i="4" s="1"/>
  <c r="W15" i="10"/>
  <c r="X16" i="4" s="1"/>
  <c r="W10" i="11"/>
  <c r="Z6" i="4"/>
  <c r="D25" i="10"/>
  <c r="C26" i="4"/>
  <c r="AA9" i="13"/>
  <c r="G16" i="12"/>
  <c r="H5" i="12"/>
  <c r="G23" i="12"/>
  <c r="T14" i="5"/>
  <c r="E82" i="13"/>
  <c r="E84" i="13" s="1"/>
  <c r="E32" i="13"/>
  <c r="D18" i="12"/>
  <c r="G22" i="14"/>
  <c r="B30" i="4"/>
  <c r="B12" i="10"/>
  <c r="C12" i="10"/>
  <c r="D12" i="10"/>
  <c r="D13" i="4" s="1"/>
  <c r="B12" i="12"/>
  <c r="C12" i="12"/>
  <c r="C19" i="12" s="1"/>
  <c r="C32" i="12" s="1"/>
  <c r="D12" i="12"/>
  <c r="D19" i="12" s="1"/>
  <c r="D32" i="12" s="1"/>
  <c r="I68" i="20"/>
  <c r="J5" i="20"/>
  <c r="I74" i="20"/>
  <c r="I80" i="20"/>
  <c r="F29" i="13"/>
  <c r="AB9" i="9"/>
  <c r="AA9" i="14"/>
  <c r="AA7" i="10"/>
  <c r="AA9" i="10" s="1"/>
  <c r="D10" i="10"/>
  <c r="W10" i="10" s="1"/>
  <c r="X11" i="4" s="1"/>
  <c r="C11" i="4"/>
  <c r="AA5" i="4" s="1"/>
  <c r="G22" i="12"/>
  <c r="D18" i="11"/>
  <c r="H5" i="11"/>
  <c r="G23" i="11"/>
  <c r="AE8" i="11" s="1"/>
  <c r="G16" i="11"/>
  <c r="Z9" i="10"/>
  <c r="AD7" i="14"/>
  <c r="X14" i="5"/>
  <c r="D24" i="10"/>
  <c r="C25" i="4"/>
  <c r="W12" i="4"/>
  <c r="D19" i="14"/>
  <c r="D32" i="14" s="1"/>
  <c r="AB7" i="14"/>
  <c r="D18" i="14"/>
  <c r="C18" i="10"/>
  <c r="C19" i="4" s="1"/>
  <c r="L14" i="5"/>
  <c r="W14" i="5" s="1"/>
  <c r="Y14" i="5" s="1"/>
  <c r="W15" i="11"/>
  <c r="E23" i="10"/>
  <c r="E16" i="10"/>
  <c r="B12" i="9"/>
  <c r="C12" i="9"/>
  <c r="C19" i="9" s="1"/>
  <c r="C32" i="9" s="1"/>
  <c r="D12" i="9"/>
  <c r="D19" i="9" s="1"/>
  <c r="D32" i="9" s="1"/>
  <c r="C48" i="22"/>
  <c r="D32" i="22" s="1"/>
  <c r="C47" i="22"/>
  <c r="H22" i="13"/>
  <c r="W10" i="4"/>
  <c r="Y10" i="4" s="1"/>
  <c r="D55" i="9" l="1"/>
  <c r="D55" i="12"/>
  <c r="F32" i="13"/>
  <c r="F82" i="13"/>
  <c r="F84" i="13" s="1"/>
  <c r="F55" i="11"/>
  <c r="E24" i="4"/>
  <c r="AE7" i="14"/>
  <c r="F26" i="10"/>
  <c r="E27" i="4"/>
  <c r="E32" i="9"/>
  <c r="D19" i="11"/>
  <c r="D32" i="11" s="1"/>
  <c r="D18" i="10"/>
  <c r="D8" i="25"/>
  <c r="C14" i="2"/>
  <c r="H22" i="11"/>
  <c r="G29" i="11"/>
  <c r="M6" i="20"/>
  <c r="L92" i="20"/>
  <c r="L98" i="20"/>
  <c r="L86" i="20"/>
  <c r="C55" i="10"/>
  <c r="J68" i="20"/>
  <c r="J74" i="20"/>
  <c r="J80" i="20"/>
  <c r="K5" i="20"/>
  <c r="C13" i="4"/>
  <c r="C20" i="4" s="1"/>
  <c r="C33" i="4" s="1"/>
  <c r="H22" i="14"/>
  <c r="F24" i="14"/>
  <c r="AC8" i="14"/>
  <c r="AC9" i="14" s="1"/>
  <c r="E29" i="14"/>
  <c r="E18" i="14"/>
  <c r="E19" i="14" s="1"/>
  <c r="E32" i="14" s="1"/>
  <c r="I5" i="13"/>
  <c r="H16" i="13"/>
  <c r="H23" i="13"/>
  <c r="AF8" i="13" s="1"/>
  <c r="B32" i="14"/>
  <c r="W12" i="12"/>
  <c r="B19" i="12"/>
  <c r="D19" i="13"/>
  <c r="C27" i="22"/>
  <c r="C28" i="22"/>
  <c r="D12" i="22" s="1"/>
  <c r="C55" i="9"/>
  <c r="AE7" i="11"/>
  <c r="G18" i="11"/>
  <c r="G19" i="11"/>
  <c r="G32" i="11" s="1"/>
  <c r="H22" i="12"/>
  <c r="W12" i="10"/>
  <c r="B13" i="4"/>
  <c r="B19" i="10"/>
  <c r="H16" i="12"/>
  <c r="H23" i="12"/>
  <c r="I5" i="12"/>
  <c r="E22" i="10"/>
  <c r="D29" i="10"/>
  <c r="D23" i="4"/>
  <c r="D30" i="4" s="1"/>
  <c r="E29" i="9"/>
  <c r="F22" i="9"/>
  <c r="C32" i="13"/>
  <c r="C82" i="13"/>
  <c r="C84" i="13" s="1"/>
  <c r="G16" i="9"/>
  <c r="H5" i="9"/>
  <c r="G23" i="9"/>
  <c r="G5" i="10"/>
  <c r="D55" i="14"/>
  <c r="E55" i="13"/>
  <c r="AE7" i="13"/>
  <c r="G18" i="13"/>
  <c r="G19" i="13"/>
  <c r="C55" i="11"/>
  <c r="AE8" i="13"/>
  <c r="F16" i="10"/>
  <c r="F23" i="10"/>
  <c r="W12" i="9"/>
  <c r="B19" i="9"/>
  <c r="E24" i="10"/>
  <c r="D25" i="4"/>
  <c r="AE7" i="12"/>
  <c r="W11" i="10"/>
  <c r="X12" i="4" s="1"/>
  <c r="Y12" i="4" s="1"/>
  <c r="B73" i="22"/>
  <c r="C52" i="22"/>
  <c r="AD7" i="9"/>
  <c r="D33" i="22"/>
  <c r="D34" i="22"/>
  <c r="D37" i="22" s="1"/>
  <c r="E25" i="10"/>
  <c r="D26" i="4"/>
  <c r="W12" i="11"/>
  <c r="B19" i="11"/>
  <c r="AB8" i="10"/>
  <c r="D24" i="4"/>
  <c r="C30" i="4"/>
  <c r="W12" i="13"/>
  <c r="B19" i="13"/>
  <c r="AB9" i="13"/>
  <c r="I22" i="13"/>
  <c r="G29" i="13"/>
  <c r="AC7" i="10"/>
  <c r="E17" i="4"/>
  <c r="AB9" i="14"/>
  <c r="H16" i="11"/>
  <c r="H23" i="11"/>
  <c r="I5" i="11"/>
  <c r="AB7" i="10"/>
  <c r="AB9" i="10" s="1"/>
  <c r="D11" i="4"/>
  <c r="AB5" i="4" s="1"/>
  <c r="C55" i="12"/>
  <c r="H16" i="14"/>
  <c r="I5" i="14"/>
  <c r="H23" i="14"/>
  <c r="B76" i="22"/>
  <c r="B91" i="22"/>
  <c r="B39" i="4" s="1"/>
  <c r="F24" i="12"/>
  <c r="E18" i="12"/>
  <c r="E29" i="12"/>
  <c r="AC8" i="12"/>
  <c r="AC9" i="12" s="1"/>
  <c r="I6" i="25"/>
  <c r="F53" i="4"/>
  <c r="H7" i="25"/>
  <c r="D10" i="5" l="1"/>
  <c r="C8" i="22"/>
  <c r="C61" i="2"/>
  <c r="I16" i="14"/>
  <c r="J5" i="14"/>
  <c r="I23" i="14"/>
  <c r="F25" i="10"/>
  <c r="E26" i="4"/>
  <c r="AD9" i="9"/>
  <c r="C55" i="13"/>
  <c r="AF7" i="14"/>
  <c r="B32" i="9"/>
  <c r="G32" i="13"/>
  <c r="G82" i="13"/>
  <c r="G84" i="13" s="1"/>
  <c r="D82" i="13"/>
  <c r="D84" i="13" s="1"/>
  <c r="D32" i="13"/>
  <c r="AF7" i="13"/>
  <c r="H18" i="13"/>
  <c r="H19" i="13" s="1"/>
  <c r="D55" i="11"/>
  <c r="E19" i="12"/>
  <c r="E32" i="12" s="1"/>
  <c r="AF8" i="11"/>
  <c r="G23" i="10"/>
  <c r="G16" i="10"/>
  <c r="F29" i="9"/>
  <c r="G22" i="9"/>
  <c r="AF7" i="12"/>
  <c r="G55" i="11"/>
  <c r="I23" i="13"/>
  <c r="AG8" i="13" s="1"/>
  <c r="I16" i="13"/>
  <c r="J5" i="13"/>
  <c r="G24" i="12"/>
  <c r="AD8" i="12"/>
  <c r="AD9" i="12" s="1"/>
  <c r="F18" i="12"/>
  <c r="F19" i="12" s="1"/>
  <c r="F29" i="12"/>
  <c r="AF7" i="11"/>
  <c r="AF9" i="11" s="1"/>
  <c r="H18" i="11"/>
  <c r="H19" i="11" s="1"/>
  <c r="J22" i="13"/>
  <c r="AB6" i="4"/>
  <c r="F24" i="4"/>
  <c r="AE9" i="13"/>
  <c r="AE8" i="9"/>
  <c r="I22" i="14"/>
  <c r="H29" i="11"/>
  <c r="I22" i="11"/>
  <c r="AC8" i="10"/>
  <c r="I22" i="12"/>
  <c r="I23" i="11"/>
  <c r="AG8" i="11" s="1"/>
  <c r="I16" i="11"/>
  <c r="J5" i="11"/>
  <c r="H29" i="13"/>
  <c r="C54" i="22"/>
  <c r="C57" i="22" s="1"/>
  <c r="C53" i="22"/>
  <c r="C72" i="22"/>
  <c r="E55" i="14"/>
  <c r="G9" i="2"/>
  <c r="B14" i="2"/>
  <c r="B8" i="2"/>
  <c r="G8" i="2"/>
  <c r="B9" i="2"/>
  <c r="C15" i="5"/>
  <c r="B77" i="22"/>
  <c r="E18" i="10"/>
  <c r="B32" i="11"/>
  <c r="B80" i="9"/>
  <c r="B79" i="10"/>
  <c r="B80" i="12"/>
  <c r="B79" i="11"/>
  <c r="AE7" i="9"/>
  <c r="AE9" i="9" s="1"/>
  <c r="G18" i="9"/>
  <c r="G19" i="9" s="1"/>
  <c r="W13" i="4"/>
  <c r="B20" i="4"/>
  <c r="L5" i="20"/>
  <c r="K68" i="20"/>
  <c r="K80" i="20"/>
  <c r="K74" i="20"/>
  <c r="B12" i="2"/>
  <c r="N6" i="20"/>
  <c r="M86" i="20"/>
  <c r="M98" i="20"/>
  <c r="M92" i="20"/>
  <c r="D40" i="22"/>
  <c r="D41" i="22"/>
  <c r="D44" i="22" s="1"/>
  <c r="B32" i="10"/>
  <c r="AE9" i="11"/>
  <c r="B32" i="12"/>
  <c r="E55" i="9"/>
  <c r="B32" i="13"/>
  <c r="B82" i="13"/>
  <c r="B84" i="13" s="1"/>
  <c r="W11" i="4"/>
  <c r="Y11" i="4" s="1"/>
  <c r="E29" i="10"/>
  <c r="F22" i="10"/>
  <c r="E23" i="4"/>
  <c r="X13" i="4"/>
  <c r="B55" i="14"/>
  <c r="E8" i="25"/>
  <c r="D9" i="25"/>
  <c r="G26" i="10"/>
  <c r="F27" i="4"/>
  <c r="AC9" i="10"/>
  <c r="J5" i="12"/>
  <c r="I16" i="12"/>
  <c r="I23" i="12"/>
  <c r="B38" i="9"/>
  <c r="B38" i="10"/>
  <c r="B38" i="12"/>
  <c r="B38" i="11"/>
  <c r="B38" i="13"/>
  <c r="B38" i="14"/>
  <c r="AD7" i="10"/>
  <c r="F17" i="4"/>
  <c r="H23" i="9"/>
  <c r="AF8" i="9" s="1"/>
  <c r="H16" i="9"/>
  <c r="I5" i="9"/>
  <c r="H5" i="10"/>
  <c r="G53" i="4"/>
  <c r="J6" i="25"/>
  <c r="I7" i="25"/>
  <c r="AC5" i="4"/>
  <c r="F18" i="9"/>
  <c r="F24" i="10"/>
  <c r="E25" i="4"/>
  <c r="AC6" i="4" s="1"/>
  <c r="D13" i="22"/>
  <c r="D14" i="22"/>
  <c r="D17" i="22" s="1"/>
  <c r="G24" i="14"/>
  <c r="AD8" i="14"/>
  <c r="AD9" i="14" s="1"/>
  <c r="F29" i="14"/>
  <c r="F18" i="14"/>
  <c r="D19" i="4"/>
  <c r="D19" i="10"/>
  <c r="D32" i="10" s="1"/>
  <c r="F55" i="13"/>
  <c r="H32" i="11" l="1"/>
  <c r="G32" i="9"/>
  <c r="H82" i="13"/>
  <c r="H84" i="13" s="1"/>
  <c r="H32" i="13"/>
  <c r="Y13" i="4"/>
  <c r="E30" i="4"/>
  <c r="G29" i="9"/>
  <c r="H22" i="9"/>
  <c r="F29" i="10"/>
  <c r="G22" i="10"/>
  <c r="F23" i="4"/>
  <c r="AG7" i="14"/>
  <c r="D20" i="4"/>
  <c r="D33" i="4" s="1"/>
  <c r="D47" i="22"/>
  <c r="D48" i="22"/>
  <c r="E32" i="22" s="1"/>
  <c r="B10" i="2"/>
  <c r="J22" i="12"/>
  <c r="AE7" i="10"/>
  <c r="G17" i="4"/>
  <c r="G18" i="10"/>
  <c r="G19" i="4" s="1"/>
  <c r="G55" i="13"/>
  <c r="AD5" i="4"/>
  <c r="AG7" i="11"/>
  <c r="I19" i="11"/>
  <c r="I32" i="11" s="1"/>
  <c r="I18" i="11"/>
  <c r="D55" i="13"/>
  <c r="AD9" i="10"/>
  <c r="D10" i="25"/>
  <c r="D14" i="25" s="1"/>
  <c r="D15" i="25" s="1"/>
  <c r="B54" i="4"/>
  <c r="D11" i="25"/>
  <c r="AD8" i="10"/>
  <c r="D20" i="22"/>
  <c r="D21" i="22"/>
  <c r="D24" i="22" s="1"/>
  <c r="J23" i="12"/>
  <c r="J16" i="12"/>
  <c r="K5" i="12"/>
  <c r="E19" i="4"/>
  <c r="E20" i="4" s="1"/>
  <c r="E19" i="10"/>
  <c r="E32" i="10" s="1"/>
  <c r="C61" i="22"/>
  <c r="C64" i="22" s="1"/>
  <c r="C60" i="22"/>
  <c r="K22" i="13"/>
  <c r="J29" i="13"/>
  <c r="H24" i="12"/>
  <c r="G29" i="12"/>
  <c r="G18" i="12"/>
  <c r="AE8" i="12"/>
  <c r="AE9" i="12" s="1"/>
  <c r="G24" i="4"/>
  <c r="F19" i="9"/>
  <c r="H26" i="10"/>
  <c r="G27" i="4"/>
  <c r="O6" i="20"/>
  <c r="N92" i="20"/>
  <c r="N86" i="20"/>
  <c r="N98" i="20"/>
  <c r="I29" i="11"/>
  <c r="J22" i="11"/>
  <c r="H23" i="10"/>
  <c r="H16" i="10"/>
  <c r="AG7" i="13"/>
  <c r="AG9" i="13" s="1"/>
  <c r="I18" i="13"/>
  <c r="I19" i="13" s="1"/>
  <c r="B55" i="11"/>
  <c r="F32" i="12"/>
  <c r="AF7" i="9"/>
  <c r="AF9" i="9" s="1"/>
  <c r="H18" i="9"/>
  <c r="H19" i="9"/>
  <c r="F19" i="14"/>
  <c r="F18" i="10"/>
  <c r="M5" i="20"/>
  <c r="L68" i="20"/>
  <c r="L80" i="20"/>
  <c r="L74" i="20"/>
  <c r="B58" i="9"/>
  <c r="B58" i="10"/>
  <c r="B58" i="12"/>
  <c r="B58" i="13"/>
  <c r="B58" i="11"/>
  <c r="B58" i="14"/>
  <c r="C43" i="2"/>
  <c r="C40" i="2"/>
  <c r="I29" i="13"/>
  <c r="B55" i="9"/>
  <c r="G24" i="10"/>
  <c r="F25" i="4"/>
  <c r="AD6" i="4" s="1"/>
  <c r="H53" i="4"/>
  <c r="J7" i="25"/>
  <c r="B55" i="13"/>
  <c r="G25" i="10"/>
  <c r="F26" i="4"/>
  <c r="H24" i="14"/>
  <c r="G18" i="14"/>
  <c r="G19" i="14" s="1"/>
  <c r="G32" i="14" s="1"/>
  <c r="AE8" i="14"/>
  <c r="AE9" i="14" s="1"/>
  <c r="G29" i="14"/>
  <c r="K5" i="13"/>
  <c r="J23" i="13"/>
  <c r="AH8" i="13" s="1"/>
  <c r="J16" i="13"/>
  <c r="E55" i="12"/>
  <c r="AG7" i="12"/>
  <c r="B55" i="10"/>
  <c r="J23" i="14"/>
  <c r="K5" i="14"/>
  <c r="J16" i="14"/>
  <c r="D55" i="10"/>
  <c r="I23" i="9"/>
  <c r="AG8" i="9" s="1"/>
  <c r="I5" i="10"/>
  <c r="J5" i="9"/>
  <c r="I16" i="9"/>
  <c r="F8" i="25"/>
  <c r="E9" i="25"/>
  <c r="B67" i="20"/>
  <c r="B73" i="20"/>
  <c r="B85" i="20"/>
  <c r="B97" i="20"/>
  <c r="B79" i="20"/>
  <c r="B91" i="20"/>
  <c r="B40" i="2"/>
  <c r="B43" i="2"/>
  <c r="G10" i="2"/>
  <c r="G14" i="2" s="1"/>
  <c r="F12" i="2" s="1"/>
  <c r="B52" i="20"/>
  <c r="B12" i="20"/>
  <c r="B20" i="20"/>
  <c r="B44" i="20"/>
  <c r="B28" i="20"/>
  <c r="B36" i="20"/>
  <c r="J22" i="14"/>
  <c r="B55" i="12"/>
  <c r="B33" i="4"/>
  <c r="K5" i="11"/>
  <c r="J23" i="11"/>
  <c r="AH8" i="11" s="1"/>
  <c r="J16" i="11"/>
  <c r="AF9" i="13"/>
  <c r="I82" i="13" l="1"/>
  <c r="I84" i="13" s="1"/>
  <c r="I32" i="13"/>
  <c r="C91" i="22"/>
  <c r="C39" i="4" s="1"/>
  <c r="AH7" i="14"/>
  <c r="H24" i="4"/>
  <c r="AG9" i="11"/>
  <c r="K23" i="11"/>
  <c r="AI8" i="11" s="1"/>
  <c r="L5" i="11"/>
  <c r="K16" i="11"/>
  <c r="H24" i="10"/>
  <c r="AF8" i="10" s="1"/>
  <c r="G25" i="4"/>
  <c r="AE6" i="4" s="1"/>
  <c r="AE8" i="10"/>
  <c r="AE9" i="10" s="1"/>
  <c r="G99" i="20"/>
  <c r="F86" i="14" s="1"/>
  <c r="I99" i="20"/>
  <c r="H86" i="14" s="1"/>
  <c r="J99" i="20"/>
  <c r="I86" i="14" s="1"/>
  <c r="S99" i="20"/>
  <c r="R86" i="14" s="1"/>
  <c r="C99" i="20"/>
  <c r="B86" i="14" s="1"/>
  <c r="L99" i="20"/>
  <c r="K86" i="14" s="1"/>
  <c r="U99" i="20"/>
  <c r="T86" i="14" s="1"/>
  <c r="F99" i="20"/>
  <c r="E86" i="14" s="1"/>
  <c r="H99" i="20"/>
  <c r="G86" i="14" s="1"/>
  <c r="M99" i="20"/>
  <c r="L86" i="14" s="1"/>
  <c r="V99" i="20"/>
  <c r="U86" i="14" s="1"/>
  <c r="B99" i="20"/>
  <c r="B100" i="20" s="1"/>
  <c r="C97" i="20" s="1"/>
  <c r="C100" i="20" s="1"/>
  <c r="D97" i="20" s="1"/>
  <c r="D100" i="20" s="1"/>
  <c r="E97" i="20" s="1"/>
  <c r="E100" i="20" s="1"/>
  <c r="F97" i="20" s="1"/>
  <c r="F100" i="20" s="1"/>
  <c r="G97" i="20" s="1"/>
  <c r="G100" i="20" s="1"/>
  <c r="H97" i="20" s="1"/>
  <c r="H100" i="20" s="1"/>
  <c r="I97" i="20" s="1"/>
  <c r="I100" i="20" s="1"/>
  <c r="J97" i="20" s="1"/>
  <c r="J100" i="20" s="1"/>
  <c r="K97" i="20" s="1"/>
  <c r="K100" i="20" s="1"/>
  <c r="L97" i="20" s="1"/>
  <c r="L100" i="20" s="1"/>
  <c r="M97" i="20" s="1"/>
  <c r="M100" i="20" s="1"/>
  <c r="N97" i="20" s="1"/>
  <c r="N100" i="20" s="1"/>
  <c r="O97" i="20" s="1"/>
  <c r="E99" i="20"/>
  <c r="D86" i="14" s="1"/>
  <c r="D99" i="20"/>
  <c r="C86" i="14" s="1"/>
  <c r="K99" i="20"/>
  <c r="J86" i="14" s="1"/>
  <c r="N99" i="20"/>
  <c r="M86" i="14" s="1"/>
  <c r="T99" i="20"/>
  <c r="S86" i="14" s="1"/>
  <c r="I16" i="10"/>
  <c r="I23" i="10"/>
  <c r="B60" i="10"/>
  <c r="H32" i="9"/>
  <c r="F32" i="9"/>
  <c r="C68" i="22"/>
  <c r="C67" i="22"/>
  <c r="C76" i="22" s="1"/>
  <c r="E37" i="20"/>
  <c r="D34" i="12" s="1"/>
  <c r="M37" i="20"/>
  <c r="L34" i="12" s="1"/>
  <c r="L91" i="12" s="1"/>
  <c r="U37" i="20"/>
  <c r="T34" i="12" s="1"/>
  <c r="T91" i="12" s="1"/>
  <c r="F37" i="20"/>
  <c r="E34" i="12" s="1"/>
  <c r="N37" i="20"/>
  <c r="M34" i="12" s="1"/>
  <c r="M91" i="12" s="1"/>
  <c r="V37" i="20"/>
  <c r="U34" i="12" s="1"/>
  <c r="U91" i="12" s="1"/>
  <c r="D37" i="20"/>
  <c r="C34" i="12" s="1"/>
  <c r="L37" i="20"/>
  <c r="K34" i="12" s="1"/>
  <c r="K91" i="12" s="1"/>
  <c r="T37" i="20"/>
  <c r="S34" i="12" s="1"/>
  <c r="S91" i="12" s="1"/>
  <c r="J37" i="20"/>
  <c r="I34" i="12" s="1"/>
  <c r="I91" i="12" s="1"/>
  <c r="B37" i="20"/>
  <c r="B38" i="20" s="1"/>
  <c r="C36" i="20" s="1"/>
  <c r="C38" i="20" s="1"/>
  <c r="P37" i="20"/>
  <c r="O34" i="12" s="1"/>
  <c r="O91" i="12" s="1"/>
  <c r="C37" i="20"/>
  <c r="B34" i="12" s="1"/>
  <c r="Q37" i="20"/>
  <c r="P34" i="12" s="1"/>
  <c r="P91" i="12" s="1"/>
  <c r="H37" i="20"/>
  <c r="G34" i="12" s="1"/>
  <c r="G91" i="12" s="1"/>
  <c r="S37" i="20"/>
  <c r="R34" i="12" s="1"/>
  <c r="R91" i="12" s="1"/>
  <c r="I37" i="20"/>
  <c r="H34" i="12" s="1"/>
  <c r="H91" i="12" s="1"/>
  <c r="G37" i="20"/>
  <c r="F34" i="12" s="1"/>
  <c r="F91" i="12" s="1"/>
  <c r="O37" i="20"/>
  <c r="N34" i="12" s="1"/>
  <c r="N91" i="12" s="1"/>
  <c r="K37" i="20"/>
  <c r="J34" i="12" s="1"/>
  <c r="J91" i="12" s="1"/>
  <c r="R37" i="20"/>
  <c r="Q34" i="12" s="1"/>
  <c r="Q91" i="12" s="1"/>
  <c r="F19" i="4"/>
  <c r="F20" i="4" s="1"/>
  <c r="F19" i="10"/>
  <c r="F32" i="10" s="1"/>
  <c r="F55" i="12"/>
  <c r="I24" i="12"/>
  <c r="H18" i="12"/>
  <c r="H19" i="12" s="1"/>
  <c r="H32" i="12" s="1"/>
  <c r="H29" i="12"/>
  <c r="AF8" i="12"/>
  <c r="AF9" i="12" s="1"/>
  <c r="G93" i="20"/>
  <c r="F93" i="13" s="1"/>
  <c r="O93" i="20"/>
  <c r="N93" i="13" s="1"/>
  <c r="H93" i="20"/>
  <c r="G93" i="13" s="1"/>
  <c r="D93" i="20"/>
  <c r="C93" i="13" s="1"/>
  <c r="N93" i="20"/>
  <c r="M93" i="13" s="1"/>
  <c r="E93" i="20"/>
  <c r="D93" i="13" s="1"/>
  <c r="I93" i="20"/>
  <c r="H93" i="13" s="1"/>
  <c r="S93" i="20"/>
  <c r="R93" i="13" s="1"/>
  <c r="B93" i="20"/>
  <c r="B94" i="20" s="1"/>
  <c r="C91" i="20" s="1"/>
  <c r="C94" i="20" s="1"/>
  <c r="D91" i="20" s="1"/>
  <c r="D94" i="20" s="1"/>
  <c r="E91" i="20" s="1"/>
  <c r="E94" i="20" s="1"/>
  <c r="F91" i="20" s="1"/>
  <c r="F94" i="20" s="1"/>
  <c r="G91" i="20" s="1"/>
  <c r="G94" i="20" s="1"/>
  <c r="H91" i="20" s="1"/>
  <c r="H94" i="20" s="1"/>
  <c r="I91" i="20" s="1"/>
  <c r="I94" i="20" s="1"/>
  <c r="J91" i="20" s="1"/>
  <c r="J94" i="20" s="1"/>
  <c r="K91" i="20" s="1"/>
  <c r="K94" i="20" s="1"/>
  <c r="L91" i="20" s="1"/>
  <c r="L94" i="20" s="1"/>
  <c r="M91" i="20" s="1"/>
  <c r="M94" i="20" s="1"/>
  <c r="N91" i="20" s="1"/>
  <c r="N94" i="20" s="1"/>
  <c r="O91" i="20" s="1"/>
  <c r="O94" i="20" s="1"/>
  <c r="P91" i="20" s="1"/>
  <c r="L93" i="20"/>
  <c r="K93" i="13" s="1"/>
  <c r="V93" i="20"/>
  <c r="U93" i="13" s="1"/>
  <c r="C93" i="20"/>
  <c r="B93" i="13" s="1"/>
  <c r="M93" i="20"/>
  <c r="L93" i="13" s="1"/>
  <c r="U93" i="20"/>
  <c r="T93" i="13" s="1"/>
  <c r="F93" i="20"/>
  <c r="E93" i="13" s="1"/>
  <c r="J93" i="20"/>
  <c r="I93" i="13" s="1"/>
  <c r="K93" i="20"/>
  <c r="J93" i="13" s="1"/>
  <c r="T93" i="20"/>
  <c r="S93" i="13" s="1"/>
  <c r="K22" i="11"/>
  <c r="J29" i="11"/>
  <c r="L22" i="13"/>
  <c r="E34" i="22"/>
  <c r="E37" i="22" s="1"/>
  <c r="E33" i="22"/>
  <c r="G81" i="20"/>
  <c r="F89" i="11" s="1"/>
  <c r="H81" i="20"/>
  <c r="G89" i="11" s="1"/>
  <c r="D81" i="20"/>
  <c r="C89" i="11" s="1"/>
  <c r="E81" i="20"/>
  <c r="D89" i="11" s="1"/>
  <c r="I81" i="20"/>
  <c r="H89" i="11" s="1"/>
  <c r="S81" i="20"/>
  <c r="R89" i="11" s="1"/>
  <c r="B81" i="20"/>
  <c r="B82" i="20" s="1"/>
  <c r="C79" i="20" s="1"/>
  <c r="C82" i="20" s="1"/>
  <c r="D79" i="20" s="1"/>
  <c r="D82" i="20" s="1"/>
  <c r="E79" i="20" s="1"/>
  <c r="E82" i="20" s="1"/>
  <c r="F79" i="20" s="1"/>
  <c r="F82" i="20" s="1"/>
  <c r="G79" i="20" s="1"/>
  <c r="G82" i="20" s="1"/>
  <c r="H79" i="20" s="1"/>
  <c r="H82" i="20" s="1"/>
  <c r="I79" i="20" s="1"/>
  <c r="I82" i="20" s="1"/>
  <c r="J79" i="20" s="1"/>
  <c r="J82" i="20" s="1"/>
  <c r="K79" i="20" s="1"/>
  <c r="K82" i="20" s="1"/>
  <c r="L79" i="20" s="1"/>
  <c r="L81" i="20"/>
  <c r="K89" i="11" s="1"/>
  <c r="V81" i="20"/>
  <c r="U89" i="11" s="1"/>
  <c r="C81" i="20"/>
  <c r="B89" i="11" s="1"/>
  <c r="J81" i="20"/>
  <c r="I89" i="11" s="1"/>
  <c r="T81" i="20"/>
  <c r="S89" i="11" s="1"/>
  <c r="U81" i="20"/>
  <c r="T89" i="11" s="1"/>
  <c r="F81" i="20"/>
  <c r="E89" i="11" s="1"/>
  <c r="K81" i="20"/>
  <c r="J89" i="11" s="1"/>
  <c r="B8" i="22"/>
  <c r="B79" i="22" s="1"/>
  <c r="C10" i="5"/>
  <c r="B61" i="2"/>
  <c r="G53" i="20"/>
  <c r="F34" i="14" s="1"/>
  <c r="F85" i="14" s="1"/>
  <c r="O53" i="20"/>
  <c r="N34" i="14" s="1"/>
  <c r="N85" i="14" s="1"/>
  <c r="H53" i="20"/>
  <c r="G34" i="14" s="1"/>
  <c r="G85" i="14" s="1"/>
  <c r="P53" i="20"/>
  <c r="O34" i="14" s="1"/>
  <c r="O85" i="14" s="1"/>
  <c r="F53" i="20"/>
  <c r="E34" i="14" s="1"/>
  <c r="N53" i="20"/>
  <c r="M34" i="14" s="1"/>
  <c r="M85" i="14" s="1"/>
  <c r="V53" i="20"/>
  <c r="U34" i="14" s="1"/>
  <c r="U85" i="14" s="1"/>
  <c r="L53" i="20"/>
  <c r="K34" i="14" s="1"/>
  <c r="K85" i="14" s="1"/>
  <c r="D53" i="20"/>
  <c r="C34" i="14" s="1"/>
  <c r="R53" i="20"/>
  <c r="Q34" i="14" s="1"/>
  <c r="Q85" i="14" s="1"/>
  <c r="E53" i="20"/>
  <c r="D34" i="14" s="1"/>
  <c r="S53" i="20"/>
  <c r="R34" i="14" s="1"/>
  <c r="R85" i="14" s="1"/>
  <c r="J53" i="20"/>
  <c r="I34" i="14" s="1"/>
  <c r="I85" i="14" s="1"/>
  <c r="U53" i="20"/>
  <c r="T34" i="14" s="1"/>
  <c r="T85" i="14" s="1"/>
  <c r="K53" i="20"/>
  <c r="J34" i="14" s="1"/>
  <c r="J85" i="14" s="1"/>
  <c r="M53" i="20"/>
  <c r="L34" i="14" s="1"/>
  <c r="L85" i="14" s="1"/>
  <c r="Q53" i="20"/>
  <c r="P34" i="14" s="1"/>
  <c r="P85" i="14" s="1"/>
  <c r="C53" i="20"/>
  <c r="B34" i="14" s="1"/>
  <c r="I53" i="20"/>
  <c r="H34" i="14" s="1"/>
  <c r="H85" i="14" s="1"/>
  <c r="T53" i="20"/>
  <c r="S34" i="14" s="1"/>
  <c r="S85" i="14" s="1"/>
  <c r="B53" i="20"/>
  <c r="B54" i="20" s="1"/>
  <c r="C52" i="20" s="1"/>
  <c r="C54" i="20" s="1"/>
  <c r="D52" i="20" s="1"/>
  <c r="D54" i="20" s="1"/>
  <c r="E52" i="20" s="1"/>
  <c r="E54" i="20" s="1"/>
  <c r="F52" i="20" s="1"/>
  <c r="F54" i="20" s="1"/>
  <c r="G52" i="20" s="1"/>
  <c r="G54" i="20" s="1"/>
  <c r="H52" i="20" s="1"/>
  <c r="H54" i="20" s="1"/>
  <c r="I52" i="20" s="1"/>
  <c r="I54" i="20" s="1"/>
  <c r="J52" i="20" s="1"/>
  <c r="J54" i="20" s="1"/>
  <c r="K52" i="20" s="1"/>
  <c r="K54" i="20" s="1"/>
  <c r="L52" i="20" s="1"/>
  <c r="L54" i="20" s="1"/>
  <c r="M52" i="20" s="1"/>
  <c r="M54" i="20" s="1"/>
  <c r="N52" i="20" s="1"/>
  <c r="G87" i="20"/>
  <c r="F92" i="12" s="1"/>
  <c r="O87" i="20"/>
  <c r="N92" i="12" s="1"/>
  <c r="H87" i="20"/>
  <c r="G92" i="12" s="1"/>
  <c r="J87" i="20"/>
  <c r="I92" i="12" s="1"/>
  <c r="T87" i="20"/>
  <c r="S92" i="12" s="1"/>
  <c r="K87" i="20"/>
  <c r="J92" i="12" s="1"/>
  <c r="U87" i="20"/>
  <c r="T92" i="12" s="1"/>
  <c r="C87" i="20"/>
  <c r="B92" i="12" s="1"/>
  <c r="M87" i="20"/>
  <c r="L92" i="12" s="1"/>
  <c r="F87" i="20"/>
  <c r="E92" i="12" s="1"/>
  <c r="I87" i="20"/>
  <c r="H92" i="12" s="1"/>
  <c r="S87" i="20"/>
  <c r="R92" i="12" s="1"/>
  <c r="B87" i="20"/>
  <c r="B88" i="20" s="1"/>
  <c r="C85" i="20" s="1"/>
  <c r="L87" i="20"/>
  <c r="K92" i="12" s="1"/>
  <c r="N87" i="20"/>
  <c r="M92" i="12" s="1"/>
  <c r="V87" i="20"/>
  <c r="U92" i="12" s="1"/>
  <c r="D87" i="20"/>
  <c r="C92" i="12" s="1"/>
  <c r="E87" i="20"/>
  <c r="D92" i="12" s="1"/>
  <c r="AH7" i="13"/>
  <c r="J18" i="13"/>
  <c r="J19" i="13" s="1"/>
  <c r="N5" i="20"/>
  <c r="M74" i="20"/>
  <c r="M68" i="20"/>
  <c r="M80" i="20"/>
  <c r="M81" i="20" s="1"/>
  <c r="L89" i="11" s="1"/>
  <c r="E10" i="5"/>
  <c r="D8" i="22"/>
  <c r="D61" i="2"/>
  <c r="H55" i="11"/>
  <c r="AH7" i="12"/>
  <c r="B60" i="11"/>
  <c r="G55" i="9"/>
  <c r="B45" i="20"/>
  <c r="J45" i="20"/>
  <c r="I34" i="13" s="1"/>
  <c r="I92" i="13" s="1"/>
  <c r="R45" i="20"/>
  <c r="Q34" i="13" s="1"/>
  <c r="Q92" i="13" s="1"/>
  <c r="C45" i="20"/>
  <c r="B34" i="13" s="1"/>
  <c r="K45" i="20"/>
  <c r="J34" i="13" s="1"/>
  <c r="J92" i="13" s="1"/>
  <c r="S45" i="20"/>
  <c r="R34" i="13" s="1"/>
  <c r="R92" i="13" s="1"/>
  <c r="I45" i="20"/>
  <c r="H34" i="13" s="1"/>
  <c r="H92" i="13" s="1"/>
  <c r="Q45" i="20"/>
  <c r="P34" i="13" s="1"/>
  <c r="P92" i="13" s="1"/>
  <c r="D45" i="20"/>
  <c r="C34" i="13" s="1"/>
  <c r="O45" i="20"/>
  <c r="N34" i="13" s="1"/>
  <c r="N92" i="13" s="1"/>
  <c r="G45" i="20"/>
  <c r="F34" i="13" s="1"/>
  <c r="U45" i="20"/>
  <c r="T34" i="13" s="1"/>
  <c r="T92" i="13" s="1"/>
  <c r="H45" i="20"/>
  <c r="G34" i="13" s="1"/>
  <c r="V45" i="20"/>
  <c r="U34" i="13" s="1"/>
  <c r="U92" i="13" s="1"/>
  <c r="M45" i="20"/>
  <c r="L34" i="13" s="1"/>
  <c r="L92" i="13" s="1"/>
  <c r="N45" i="20"/>
  <c r="M34" i="13" s="1"/>
  <c r="M92" i="13" s="1"/>
  <c r="T45" i="20"/>
  <c r="S34" i="13" s="1"/>
  <c r="S92" i="13" s="1"/>
  <c r="B46" i="20"/>
  <c r="C44" i="20" s="1"/>
  <c r="L45" i="20"/>
  <c r="K34" i="13" s="1"/>
  <c r="K92" i="13" s="1"/>
  <c r="P45" i="20"/>
  <c r="O34" i="13" s="1"/>
  <c r="O92" i="13" s="1"/>
  <c r="F45" i="20"/>
  <c r="E34" i="13" s="1"/>
  <c r="E45" i="20"/>
  <c r="D34" i="13" s="1"/>
  <c r="H25" i="10"/>
  <c r="G26" i="4"/>
  <c r="I26" i="10"/>
  <c r="H27" i="4"/>
  <c r="D27" i="22"/>
  <c r="D28" i="22"/>
  <c r="E12" i="22" s="1"/>
  <c r="G19" i="10"/>
  <c r="J23" i="9"/>
  <c r="AH8" i="9" s="1"/>
  <c r="K5" i="9"/>
  <c r="J16" i="9"/>
  <c r="J5" i="10"/>
  <c r="AE5" i="4"/>
  <c r="G20" i="4"/>
  <c r="H22" i="10"/>
  <c r="G29" i="10"/>
  <c r="G23" i="4"/>
  <c r="F13" i="20"/>
  <c r="E34" i="9" s="1"/>
  <c r="N13" i="20"/>
  <c r="M34" i="9" s="1"/>
  <c r="M91" i="9" s="1"/>
  <c r="V13" i="20"/>
  <c r="U34" i="9" s="1"/>
  <c r="U91" i="9" s="1"/>
  <c r="G13" i="20"/>
  <c r="F34" i="9" s="1"/>
  <c r="F91" i="9" s="1"/>
  <c r="O13" i="20"/>
  <c r="N34" i="9" s="1"/>
  <c r="N91" i="9" s="1"/>
  <c r="D13" i="20"/>
  <c r="C34" i="9" s="1"/>
  <c r="L13" i="20"/>
  <c r="K34" i="9" s="1"/>
  <c r="K91" i="9" s="1"/>
  <c r="T13" i="20"/>
  <c r="S34" i="9" s="1"/>
  <c r="S91" i="9" s="1"/>
  <c r="E13" i="20"/>
  <c r="D34" i="9" s="1"/>
  <c r="M13" i="20"/>
  <c r="L34" i="9" s="1"/>
  <c r="L91" i="9" s="1"/>
  <c r="U13" i="20"/>
  <c r="T34" i="9" s="1"/>
  <c r="T91" i="9" s="1"/>
  <c r="H13" i="20"/>
  <c r="G34" i="9" s="1"/>
  <c r="G91" i="9" s="1"/>
  <c r="K13" i="20"/>
  <c r="J34" i="9" s="1"/>
  <c r="J91" i="9" s="1"/>
  <c r="P13" i="20"/>
  <c r="O34" i="9" s="1"/>
  <c r="O91" i="9" s="1"/>
  <c r="B13" i="20"/>
  <c r="B14" i="20" s="1"/>
  <c r="C12" i="20" s="1"/>
  <c r="R13" i="20"/>
  <c r="Q34" i="9" s="1"/>
  <c r="Q91" i="9" s="1"/>
  <c r="C13" i="20"/>
  <c r="B34" i="9" s="1"/>
  <c r="S13" i="20"/>
  <c r="R34" i="9" s="1"/>
  <c r="R91" i="9" s="1"/>
  <c r="I13" i="20"/>
  <c r="H34" i="9" s="1"/>
  <c r="H91" i="9" s="1"/>
  <c r="J13" i="20"/>
  <c r="I34" i="9" s="1"/>
  <c r="I91" i="9" s="1"/>
  <c r="Q13" i="20"/>
  <c r="P34" i="9" s="1"/>
  <c r="P91" i="9" s="1"/>
  <c r="K22" i="14"/>
  <c r="F8" i="2"/>
  <c r="G75" i="20"/>
  <c r="F89" i="10" s="1"/>
  <c r="H75" i="20"/>
  <c r="G89" i="10" s="1"/>
  <c r="J75" i="20"/>
  <c r="I89" i="10" s="1"/>
  <c r="T75" i="20"/>
  <c r="S89" i="10" s="1"/>
  <c r="K75" i="20"/>
  <c r="J89" i="10" s="1"/>
  <c r="U75" i="20"/>
  <c r="T89" i="10" s="1"/>
  <c r="C75" i="20"/>
  <c r="B89" i="10" s="1"/>
  <c r="M75" i="20"/>
  <c r="L89" i="10" s="1"/>
  <c r="F75" i="20"/>
  <c r="E89" i="10" s="1"/>
  <c r="I75" i="20"/>
  <c r="H89" i="10" s="1"/>
  <c r="S75" i="20"/>
  <c r="R89" i="10" s="1"/>
  <c r="B75" i="20"/>
  <c r="B76" i="20" s="1"/>
  <c r="C73" i="20" s="1"/>
  <c r="C76" i="20" s="1"/>
  <c r="D73" i="20" s="1"/>
  <c r="D76" i="20" s="1"/>
  <c r="E73" i="20" s="1"/>
  <c r="E76" i="20" s="1"/>
  <c r="F73" i="20" s="1"/>
  <c r="F76" i="20" s="1"/>
  <c r="G73" i="20" s="1"/>
  <c r="G76" i="20" s="1"/>
  <c r="H73" i="20" s="1"/>
  <c r="H76" i="20" s="1"/>
  <c r="I73" i="20" s="1"/>
  <c r="I76" i="20" s="1"/>
  <c r="J73" i="20" s="1"/>
  <c r="J76" i="20" s="1"/>
  <c r="K73" i="20" s="1"/>
  <c r="K76" i="20" s="1"/>
  <c r="L73" i="20" s="1"/>
  <c r="L76" i="20" s="1"/>
  <c r="M73" i="20" s="1"/>
  <c r="M76" i="20" s="1"/>
  <c r="N73" i="20" s="1"/>
  <c r="E75" i="20"/>
  <c r="D89" i="10" s="1"/>
  <c r="D75" i="20"/>
  <c r="C89" i="10" s="1"/>
  <c r="L75" i="20"/>
  <c r="K89" i="10" s="1"/>
  <c r="V75" i="20"/>
  <c r="U89" i="10" s="1"/>
  <c r="B60" i="13"/>
  <c r="G19" i="12"/>
  <c r="E55" i="10"/>
  <c r="K22" i="12"/>
  <c r="H29" i="9"/>
  <c r="I22" i="9"/>
  <c r="AH7" i="11"/>
  <c r="AH9" i="11" s="1"/>
  <c r="J18" i="11"/>
  <c r="J19" i="11"/>
  <c r="J32" i="11" s="1"/>
  <c r="C54" i="4"/>
  <c r="E10" i="25"/>
  <c r="E14" i="25" s="1"/>
  <c r="E15" i="25" s="1"/>
  <c r="E11" i="25"/>
  <c r="I24" i="14"/>
  <c r="H18" i="14"/>
  <c r="H19" i="14" s="1"/>
  <c r="AF8" i="14"/>
  <c r="AF9" i="14" s="1"/>
  <c r="H29" i="14"/>
  <c r="AF7" i="10"/>
  <c r="H17" i="4"/>
  <c r="I36" i="11"/>
  <c r="I55" i="11"/>
  <c r="H29" i="20"/>
  <c r="G34" i="11" s="1"/>
  <c r="P29" i="20"/>
  <c r="O34" i="11" s="1"/>
  <c r="O88" i="11" s="1"/>
  <c r="I29" i="20"/>
  <c r="H34" i="11" s="1"/>
  <c r="H88" i="11" s="1"/>
  <c r="Q29" i="20"/>
  <c r="P34" i="11" s="1"/>
  <c r="P88" i="11" s="1"/>
  <c r="G29" i="20"/>
  <c r="F34" i="11" s="1"/>
  <c r="O29" i="20"/>
  <c r="N34" i="11" s="1"/>
  <c r="N88" i="11" s="1"/>
  <c r="C29" i="20"/>
  <c r="B34" i="11" s="1"/>
  <c r="N29" i="20"/>
  <c r="M34" i="11" s="1"/>
  <c r="M88" i="11" s="1"/>
  <c r="F29" i="20"/>
  <c r="E34" i="11" s="1"/>
  <c r="T29" i="20"/>
  <c r="S34" i="11" s="1"/>
  <c r="S88" i="11" s="1"/>
  <c r="J29" i="20"/>
  <c r="I34" i="11" s="1"/>
  <c r="I88" i="11" s="1"/>
  <c r="U29" i="20"/>
  <c r="T34" i="11" s="1"/>
  <c r="T88" i="11" s="1"/>
  <c r="L29" i="20"/>
  <c r="K34" i="11" s="1"/>
  <c r="K88" i="11" s="1"/>
  <c r="B29" i="20"/>
  <c r="B30" i="20" s="1"/>
  <c r="C28" i="20" s="1"/>
  <c r="M29" i="20"/>
  <c r="L34" i="11" s="1"/>
  <c r="L88" i="11" s="1"/>
  <c r="K29" i="20"/>
  <c r="J34" i="11" s="1"/>
  <c r="J88" i="11" s="1"/>
  <c r="R29" i="20"/>
  <c r="Q34" i="11" s="1"/>
  <c r="Q88" i="11" s="1"/>
  <c r="V29" i="20"/>
  <c r="U34" i="11" s="1"/>
  <c r="U88" i="11" s="1"/>
  <c r="D29" i="20"/>
  <c r="C34" i="11" s="1"/>
  <c r="E29" i="20"/>
  <c r="D34" i="11" s="1"/>
  <c r="S29" i="20"/>
  <c r="R34" i="11" s="1"/>
  <c r="R88" i="11" s="1"/>
  <c r="G8" i="25"/>
  <c r="F9" i="25"/>
  <c r="K23" i="14"/>
  <c r="K16" i="14"/>
  <c r="L5" i="14"/>
  <c r="AG7" i="9"/>
  <c r="B60" i="14"/>
  <c r="F30" i="4"/>
  <c r="C21" i="20"/>
  <c r="K21" i="20"/>
  <c r="S21" i="20"/>
  <c r="D21" i="20"/>
  <c r="L21" i="20"/>
  <c r="T21" i="20"/>
  <c r="B21" i="20"/>
  <c r="J21" i="20"/>
  <c r="R21" i="20"/>
  <c r="G21" i="20"/>
  <c r="U21" i="20"/>
  <c r="M21" i="20"/>
  <c r="N21" i="20"/>
  <c r="B57" i="20"/>
  <c r="E21" i="20"/>
  <c r="P21" i="20"/>
  <c r="F21" i="20"/>
  <c r="Q21" i="20"/>
  <c r="V21" i="20"/>
  <c r="I21" i="20"/>
  <c r="O21" i="20"/>
  <c r="H21" i="20"/>
  <c r="B60" i="9"/>
  <c r="F32" i="14"/>
  <c r="B60" i="12"/>
  <c r="G69" i="20"/>
  <c r="B70" i="20"/>
  <c r="C67" i="20" s="1"/>
  <c r="C70" i="20" s="1"/>
  <c r="D67" i="20" s="1"/>
  <c r="J69" i="20"/>
  <c r="S69" i="20"/>
  <c r="C69" i="20"/>
  <c r="L69" i="20"/>
  <c r="U69" i="20"/>
  <c r="D69" i="20"/>
  <c r="M69" i="20"/>
  <c r="V69" i="20"/>
  <c r="B69" i="20"/>
  <c r="E69" i="20"/>
  <c r="H69" i="20"/>
  <c r="B103" i="20"/>
  <c r="K69" i="20"/>
  <c r="F69" i="20"/>
  <c r="I69" i="20"/>
  <c r="T69" i="20"/>
  <c r="K16" i="13"/>
  <c r="L5" i="13"/>
  <c r="K23" i="13"/>
  <c r="AI8" i="13" s="1"/>
  <c r="G55" i="14"/>
  <c r="F9" i="2"/>
  <c r="O86" i="20"/>
  <c r="O98" i="20"/>
  <c r="O99" i="20" s="1"/>
  <c r="N86" i="14" s="1"/>
  <c r="P6" i="20"/>
  <c r="O92" i="20"/>
  <c r="E33" i="4"/>
  <c r="K23" i="12"/>
  <c r="K16" i="12"/>
  <c r="L5" i="12"/>
  <c r="D17" i="25"/>
  <c r="D26" i="25" s="1"/>
  <c r="D18" i="25"/>
  <c r="D27" i="25" s="1"/>
  <c r="D19" i="25"/>
  <c r="D37" i="25" s="1"/>
  <c r="D20" i="25"/>
  <c r="D38" i="25" s="1"/>
  <c r="H55" i="13"/>
  <c r="N54" i="20" l="1"/>
  <c r="O52" i="20" s="1"/>
  <c r="O54" i="20" s="1"/>
  <c r="P52" i="20" s="1"/>
  <c r="P54" i="20" s="1"/>
  <c r="Q52" i="20" s="1"/>
  <c r="Q54" i="20" s="1"/>
  <c r="R52" i="20" s="1"/>
  <c r="R54" i="20" s="1"/>
  <c r="S52" i="20" s="1"/>
  <c r="S54" i="20" s="1"/>
  <c r="T52" i="20" s="1"/>
  <c r="T54" i="20" s="1"/>
  <c r="U52" i="20" s="1"/>
  <c r="U54" i="20" s="1"/>
  <c r="V52" i="20" s="1"/>
  <c r="V54" i="20" s="1"/>
  <c r="H36" i="13"/>
  <c r="G36" i="14"/>
  <c r="C88" i="20"/>
  <c r="D85" i="20" s="1"/>
  <c r="D88" i="20" s="1"/>
  <c r="E85" i="20" s="1"/>
  <c r="E88" i="20" s="1"/>
  <c r="F85" i="20" s="1"/>
  <c r="F88" i="20" s="1"/>
  <c r="G85" i="20" s="1"/>
  <c r="G88" i="20" s="1"/>
  <c r="H85" i="20" s="1"/>
  <c r="H88" i="20" s="1"/>
  <c r="I85" i="20" s="1"/>
  <c r="I88" i="20" s="1"/>
  <c r="J85" i="20" s="1"/>
  <c r="J88" i="20" s="1"/>
  <c r="K85" i="20" s="1"/>
  <c r="K88" i="20" s="1"/>
  <c r="L85" i="20" s="1"/>
  <c r="L88" i="20" s="1"/>
  <c r="M85" i="20" s="1"/>
  <c r="M88" i="20" s="1"/>
  <c r="N85" i="20" s="1"/>
  <c r="N88" i="20" s="1"/>
  <c r="O85" i="20" s="1"/>
  <c r="O88" i="20" s="1"/>
  <c r="P85" i="20" s="1"/>
  <c r="C30" i="20"/>
  <c r="D28" i="20" s="1"/>
  <c r="D30" i="20" s="1"/>
  <c r="E28" i="20" s="1"/>
  <c r="E30" i="20" s="1"/>
  <c r="F28" i="20" s="1"/>
  <c r="F30" i="20" s="1"/>
  <c r="G28" i="20" s="1"/>
  <c r="G30" i="20" s="1"/>
  <c r="H28" i="20" s="1"/>
  <c r="H30" i="20" s="1"/>
  <c r="I28" i="20" s="1"/>
  <c r="I30" i="20" s="1"/>
  <c r="J28" i="20" s="1"/>
  <c r="J30" i="20" s="1"/>
  <c r="K28" i="20" s="1"/>
  <c r="K30" i="20" s="1"/>
  <c r="L28" i="20" s="1"/>
  <c r="L30" i="20" s="1"/>
  <c r="M28" i="20" s="1"/>
  <c r="M30" i="20" s="1"/>
  <c r="N28" i="20" s="1"/>
  <c r="N30" i="20" s="1"/>
  <c r="O28" i="20" s="1"/>
  <c r="O30" i="20" s="1"/>
  <c r="P28" i="20" s="1"/>
  <c r="P30" i="20" s="1"/>
  <c r="Q28" i="20" s="1"/>
  <c r="Q30" i="20" s="1"/>
  <c r="R28" i="20" s="1"/>
  <c r="R30" i="20" s="1"/>
  <c r="S28" i="20" s="1"/>
  <c r="S30" i="20" s="1"/>
  <c r="T28" i="20" s="1"/>
  <c r="T30" i="20" s="1"/>
  <c r="U28" i="20" s="1"/>
  <c r="U30" i="20" s="1"/>
  <c r="V28" i="20" s="1"/>
  <c r="V30" i="20" s="1"/>
  <c r="C14" i="20"/>
  <c r="B77" i="9" s="1"/>
  <c r="L82" i="20"/>
  <c r="M79" i="20" s="1"/>
  <c r="M82" i="20" s="1"/>
  <c r="N79" i="20" s="1"/>
  <c r="N82" i="20" s="1"/>
  <c r="O79" i="20" s="1"/>
  <c r="D36" i="20"/>
  <c r="D38" i="20" s="1"/>
  <c r="B77" i="12"/>
  <c r="J82" i="13"/>
  <c r="J84" i="13" s="1"/>
  <c r="J32" i="13"/>
  <c r="O100" i="20"/>
  <c r="P97" i="20" s="1"/>
  <c r="P100" i="20" s="1"/>
  <c r="Q97" i="20" s="1"/>
  <c r="W34" i="13"/>
  <c r="B92" i="13"/>
  <c r="B36" i="13"/>
  <c r="J24" i="12"/>
  <c r="I29" i="12"/>
  <c r="I18" i="12"/>
  <c r="AG8" i="12"/>
  <c r="AG9" i="12" s="1"/>
  <c r="D52" i="22"/>
  <c r="C73" i="22"/>
  <c r="C92" i="9"/>
  <c r="D110" i="20" s="1"/>
  <c r="D104" i="20"/>
  <c r="F92" i="9"/>
  <c r="G110" i="20" s="1"/>
  <c r="G104" i="20"/>
  <c r="I34" i="10"/>
  <c r="I88" i="10" s="1"/>
  <c r="J58" i="20"/>
  <c r="I35" i="4" s="1"/>
  <c r="I13" i="8" s="1"/>
  <c r="F92" i="13"/>
  <c r="F36" i="13"/>
  <c r="D36" i="25"/>
  <c r="AG7" i="10"/>
  <c r="I17" i="4"/>
  <c r="I18" i="10"/>
  <c r="I19" i="10"/>
  <c r="B58" i="20"/>
  <c r="B59" i="20" s="1"/>
  <c r="C57" i="20" s="1"/>
  <c r="J23" i="10"/>
  <c r="J16" i="10"/>
  <c r="D91" i="12"/>
  <c r="D36" i="12"/>
  <c r="M5" i="12"/>
  <c r="L16" i="12"/>
  <c r="L23" i="12"/>
  <c r="D54" i="4"/>
  <c r="F10" i="25"/>
  <c r="F14" i="25" s="1"/>
  <c r="F15" i="25" s="1"/>
  <c r="F11" i="25"/>
  <c r="F10" i="2"/>
  <c r="F14" i="2" s="1"/>
  <c r="AH9" i="13"/>
  <c r="F55" i="10"/>
  <c r="H36" i="9"/>
  <c r="H55" i="9"/>
  <c r="AI7" i="12"/>
  <c r="H92" i="9"/>
  <c r="I110" i="20" s="1"/>
  <c r="I104" i="20"/>
  <c r="D92" i="9"/>
  <c r="E110" i="20" s="1"/>
  <c r="E104" i="20"/>
  <c r="B92" i="9"/>
  <c r="C104" i="20"/>
  <c r="H34" i="10"/>
  <c r="H88" i="10" s="1"/>
  <c r="I58" i="20"/>
  <c r="H35" i="4" s="1"/>
  <c r="H13" i="8" s="1"/>
  <c r="M34" i="10"/>
  <c r="M88" i="10" s="1"/>
  <c r="N58" i="20"/>
  <c r="M35" i="4" s="1"/>
  <c r="M13" i="8" s="1"/>
  <c r="K34" i="10"/>
  <c r="K88" i="10" s="1"/>
  <c r="L58" i="20"/>
  <c r="K35" i="4" s="1"/>
  <c r="K13" i="8" s="1"/>
  <c r="H8" i="25"/>
  <c r="G9" i="25"/>
  <c r="H32" i="14"/>
  <c r="K23" i="9"/>
  <c r="AI8" i="9" s="1"/>
  <c r="K16" i="9"/>
  <c r="L5" i="9"/>
  <c r="K5" i="10"/>
  <c r="I25" i="10"/>
  <c r="H26" i="4"/>
  <c r="D28" i="25"/>
  <c r="D85" i="14"/>
  <c r="D36" i="14"/>
  <c r="F33" i="4"/>
  <c r="C91" i="12"/>
  <c r="C36" i="12"/>
  <c r="AI7" i="11"/>
  <c r="K18" i="11"/>
  <c r="K19" i="11" s="1"/>
  <c r="L16" i="13"/>
  <c r="L23" i="13"/>
  <c r="AJ8" i="13" s="1"/>
  <c r="M5" i="13"/>
  <c r="B34" i="10"/>
  <c r="C58" i="20"/>
  <c r="B35" i="4" s="1"/>
  <c r="M22" i="13"/>
  <c r="L29" i="13"/>
  <c r="AI7" i="13"/>
  <c r="AI9" i="13" s="1"/>
  <c r="K18" i="13"/>
  <c r="K19" i="13"/>
  <c r="O34" i="10"/>
  <c r="O88" i="10" s="1"/>
  <c r="P58" i="20"/>
  <c r="O35" i="4" s="1"/>
  <c r="O13" i="8" s="1"/>
  <c r="L22" i="12"/>
  <c r="F36" i="12"/>
  <c r="G92" i="9"/>
  <c r="H110" i="20" s="1"/>
  <c r="H104" i="20"/>
  <c r="D34" i="10"/>
  <c r="E58" i="20"/>
  <c r="D35" i="4" s="1"/>
  <c r="D91" i="9"/>
  <c r="D36" i="9"/>
  <c r="D35" i="25"/>
  <c r="E91" i="9"/>
  <c r="E36" i="9"/>
  <c r="E92" i="9"/>
  <c r="F110" i="20" s="1"/>
  <c r="F104" i="20"/>
  <c r="L34" i="10"/>
  <c r="L88" i="10" s="1"/>
  <c r="M58" i="20"/>
  <c r="L35" i="4" s="1"/>
  <c r="L13" i="8" s="1"/>
  <c r="J22" i="9"/>
  <c r="I29" i="9"/>
  <c r="L22" i="14"/>
  <c r="C91" i="9"/>
  <c r="C36" i="9"/>
  <c r="G30" i="4"/>
  <c r="G33" i="4" s="1"/>
  <c r="G36" i="9"/>
  <c r="D29" i="25"/>
  <c r="W34" i="14"/>
  <c r="B85" i="14"/>
  <c r="B36" i="14"/>
  <c r="E40" i="22"/>
  <c r="E41" i="22"/>
  <c r="E44" i="22" s="1"/>
  <c r="L16" i="11"/>
  <c r="M5" i="11"/>
  <c r="L23" i="11"/>
  <c r="AJ8" i="11" s="1"/>
  <c r="I36" i="13"/>
  <c r="I55" i="13"/>
  <c r="L92" i="9"/>
  <c r="M110" i="20" s="1"/>
  <c r="M104" i="20"/>
  <c r="E34" i="10"/>
  <c r="F58" i="20"/>
  <c r="E35" i="4" s="1"/>
  <c r="E13" i="8" s="1"/>
  <c r="L23" i="14"/>
  <c r="M5" i="14"/>
  <c r="L16" i="14"/>
  <c r="E88" i="11"/>
  <c r="E36" i="11"/>
  <c r="AF9" i="10"/>
  <c r="T92" i="9"/>
  <c r="U110" i="20" s="1"/>
  <c r="U104" i="20"/>
  <c r="G34" i="10"/>
  <c r="G88" i="10" s="1"/>
  <c r="H58" i="20"/>
  <c r="G35" i="4" s="1"/>
  <c r="G13" i="8" s="1"/>
  <c r="G88" i="11"/>
  <c r="G36" i="11"/>
  <c r="W34" i="9"/>
  <c r="B91" i="9"/>
  <c r="B36" i="9"/>
  <c r="J26" i="10"/>
  <c r="I27" i="4"/>
  <c r="E85" i="14"/>
  <c r="E36" i="14"/>
  <c r="I24" i="10"/>
  <c r="H25" i="4"/>
  <c r="K92" i="9"/>
  <c r="L110" i="20" s="1"/>
  <c r="L104" i="20"/>
  <c r="S34" i="10"/>
  <c r="S88" i="10" s="1"/>
  <c r="T58" i="20"/>
  <c r="S35" i="4" s="1"/>
  <c r="S13" i="8" s="1"/>
  <c r="W34" i="11"/>
  <c r="B88" i="11"/>
  <c r="B36" i="11"/>
  <c r="AF6" i="4"/>
  <c r="R92" i="9"/>
  <c r="S110" i="20" s="1"/>
  <c r="S104" i="20"/>
  <c r="B22" i="20"/>
  <c r="C20" i="20" s="1"/>
  <c r="C22" i="20" s="1"/>
  <c r="D20" i="20" s="1"/>
  <c r="D22" i="20" s="1"/>
  <c r="E20" i="20" s="1"/>
  <c r="E22" i="20" s="1"/>
  <c r="F20" i="20" s="1"/>
  <c r="F22" i="20" s="1"/>
  <c r="G20" i="20" s="1"/>
  <c r="G22" i="20" s="1"/>
  <c r="H20" i="20" s="1"/>
  <c r="H22" i="20" s="1"/>
  <c r="I20" i="20" s="1"/>
  <c r="I22" i="20" s="1"/>
  <c r="J20" i="20" s="1"/>
  <c r="J22" i="20" s="1"/>
  <c r="K20" i="20" s="1"/>
  <c r="K22" i="20" s="1"/>
  <c r="L20" i="20" s="1"/>
  <c r="L22" i="20" s="1"/>
  <c r="M20" i="20" s="1"/>
  <c r="M22" i="20" s="1"/>
  <c r="N20" i="20" s="1"/>
  <c r="N22" i="20" s="1"/>
  <c r="O20" i="20" s="1"/>
  <c r="O22" i="20" s="1"/>
  <c r="P20" i="20" s="1"/>
  <c r="P22" i="20" s="1"/>
  <c r="Q20" i="20" s="1"/>
  <c r="Q22" i="20" s="1"/>
  <c r="R20" i="20" s="1"/>
  <c r="R22" i="20" s="1"/>
  <c r="S20" i="20" s="1"/>
  <c r="S22" i="20" s="1"/>
  <c r="T20" i="20" s="1"/>
  <c r="T22" i="20" s="1"/>
  <c r="U20" i="20" s="1"/>
  <c r="U22" i="20" s="1"/>
  <c r="V20" i="20" s="1"/>
  <c r="V22" i="20" s="1"/>
  <c r="C34" i="10"/>
  <c r="D58" i="20"/>
  <c r="C35" i="4" s="1"/>
  <c r="J24" i="14"/>
  <c r="I29" i="14"/>
  <c r="I18" i="14"/>
  <c r="I19" i="14" s="1"/>
  <c r="AG8" i="14"/>
  <c r="AG9" i="14" s="1"/>
  <c r="F10" i="5"/>
  <c r="E8" i="22"/>
  <c r="E37" i="4"/>
  <c r="E61" i="2"/>
  <c r="J92" i="9"/>
  <c r="K110" i="20" s="1"/>
  <c r="K104" i="20"/>
  <c r="B104" i="20"/>
  <c r="B109" i="20" s="1"/>
  <c r="B111" i="20" s="1"/>
  <c r="I92" i="9"/>
  <c r="J110" i="20" s="1"/>
  <c r="J104" i="20"/>
  <c r="F55" i="14"/>
  <c r="F36" i="14"/>
  <c r="U34" i="10"/>
  <c r="U88" i="10" s="1"/>
  <c r="V58" i="20"/>
  <c r="U35" i="4" s="1"/>
  <c r="U13" i="8" s="1"/>
  <c r="T34" i="10"/>
  <c r="T88" i="10" s="1"/>
  <c r="U58" i="20"/>
  <c r="T35" i="4" s="1"/>
  <c r="T13" i="8" s="1"/>
  <c r="R34" i="10"/>
  <c r="R88" i="10" s="1"/>
  <c r="S58" i="20"/>
  <c r="R35" i="4" s="1"/>
  <c r="R13" i="8" s="1"/>
  <c r="I18" i="9"/>
  <c r="D88" i="11"/>
  <c r="D36" i="11"/>
  <c r="F88" i="11"/>
  <c r="F36" i="11"/>
  <c r="H18" i="10"/>
  <c r="G32" i="10"/>
  <c r="D92" i="13"/>
  <c r="D36" i="13"/>
  <c r="H36" i="11"/>
  <c r="C85" i="14"/>
  <c r="C36" i="14"/>
  <c r="W34" i="12"/>
  <c r="B91" i="12"/>
  <c r="B36" i="12"/>
  <c r="Q6" i="20"/>
  <c r="P86" i="20"/>
  <c r="P87" i="20" s="1"/>
  <c r="O92" i="12" s="1"/>
  <c r="P92" i="20"/>
  <c r="P93" i="20" s="1"/>
  <c r="O93" i="13" s="1"/>
  <c r="P98" i="20"/>
  <c r="P99" i="20" s="1"/>
  <c r="O86" i="14" s="1"/>
  <c r="Q34" i="10"/>
  <c r="Q88" i="10" s="1"/>
  <c r="R58" i="20"/>
  <c r="Q35" i="4" s="1"/>
  <c r="Q13" i="8" s="1"/>
  <c r="AF5" i="4"/>
  <c r="G32" i="12"/>
  <c r="AG8" i="10"/>
  <c r="I24" i="4"/>
  <c r="AI7" i="14"/>
  <c r="J36" i="11"/>
  <c r="J55" i="11"/>
  <c r="C46" i="20"/>
  <c r="D44" i="20" s="1"/>
  <c r="D46" i="20" s="1"/>
  <c r="E44" i="20" s="1"/>
  <c r="E46" i="20" s="1"/>
  <c r="F44" i="20" s="1"/>
  <c r="F46" i="20" s="1"/>
  <c r="G44" i="20" s="1"/>
  <c r="G46" i="20" s="1"/>
  <c r="H44" i="20" s="1"/>
  <c r="H46" i="20" s="1"/>
  <c r="I44" i="20" s="1"/>
  <c r="I46" i="20" s="1"/>
  <c r="J44" i="20" s="1"/>
  <c r="J46" i="20" s="1"/>
  <c r="K44" i="20" s="1"/>
  <c r="K46" i="20" s="1"/>
  <c r="L44" i="20" s="1"/>
  <c r="L46" i="20" s="1"/>
  <c r="M44" i="20" s="1"/>
  <c r="M46" i="20" s="1"/>
  <c r="N44" i="20" s="1"/>
  <c r="N46" i="20" s="1"/>
  <c r="O44" i="20" s="1"/>
  <c r="O46" i="20" s="1"/>
  <c r="P44" i="20" s="1"/>
  <c r="P46" i="20" s="1"/>
  <c r="Q44" i="20" s="1"/>
  <c r="Q46" i="20" s="1"/>
  <c r="R44" i="20" s="1"/>
  <c r="R46" i="20" s="1"/>
  <c r="S44" i="20" s="1"/>
  <c r="S46" i="20" s="1"/>
  <c r="T44" i="20" s="1"/>
  <c r="T46" i="20" s="1"/>
  <c r="U44" i="20" s="1"/>
  <c r="U46" i="20" s="1"/>
  <c r="V44" i="20" s="1"/>
  <c r="V46" i="20" s="1"/>
  <c r="F36" i="9"/>
  <c r="F55" i="9"/>
  <c r="C38" i="9"/>
  <c r="C38" i="10"/>
  <c r="C38" i="11"/>
  <c r="C38" i="13"/>
  <c r="C38" i="12"/>
  <c r="C38" i="14"/>
  <c r="S92" i="9"/>
  <c r="T110" i="20" s="1"/>
  <c r="T104" i="20"/>
  <c r="N34" i="10"/>
  <c r="N88" i="10" s="1"/>
  <c r="O58" i="20"/>
  <c r="N35" i="4" s="1"/>
  <c r="N13" i="8" s="1"/>
  <c r="AH7" i="9"/>
  <c r="AH9" i="9" s="1"/>
  <c r="J18" i="9"/>
  <c r="J19" i="9" s="1"/>
  <c r="C92" i="13"/>
  <c r="C36" i="13"/>
  <c r="C17" i="5"/>
  <c r="L22" i="11"/>
  <c r="K29" i="11"/>
  <c r="B105" i="20"/>
  <c r="C103" i="20" s="1"/>
  <c r="C105" i="20" s="1"/>
  <c r="D103" i="20" s="1"/>
  <c r="D105" i="20" s="1"/>
  <c r="E103" i="20" s="1"/>
  <c r="U92" i="9"/>
  <c r="V110" i="20" s="1"/>
  <c r="V104" i="20"/>
  <c r="D70" i="20"/>
  <c r="E67" i="20" s="1"/>
  <c r="E70" i="20" s="1"/>
  <c r="F67" i="20" s="1"/>
  <c r="F70" i="20" s="1"/>
  <c r="G67" i="20" s="1"/>
  <c r="G70" i="20" s="1"/>
  <c r="H67" i="20" s="1"/>
  <c r="H70" i="20" s="1"/>
  <c r="I67" i="20" s="1"/>
  <c r="I70" i="20" s="1"/>
  <c r="J67" i="20" s="1"/>
  <c r="J70" i="20" s="1"/>
  <c r="K67" i="20" s="1"/>
  <c r="K70" i="20" s="1"/>
  <c r="L67" i="20" s="1"/>
  <c r="L70" i="20" s="1"/>
  <c r="M67" i="20" s="1"/>
  <c r="M70" i="20" s="1"/>
  <c r="N67" i="20" s="1"/>
  <c r="P34" i="10"/>
  <c r="P88" i="10" s="1"/>
  <c r="Q58" i="20"/>
  <c r="P35" i="4" s="1"/>
  <c r="P13" i="8" s="1"/>
  <c r="F34" i="10"/>
  <c r="F88" i="10" s="1"/>
  <c r="G58" i="20"/>
  <c r="F35" i="4" s="1"/>
  <c r="F13" i="8" s="1"/>
  <c r="J34" i="10"/>
  <c r="J88" i="10" s="1"/>
  <c r="K58" i="20"/>
  <c r="J35" i="4" s="1"/>
  <c r="J13" i="8" s="1"/>
  <c r="AG9" i="9"/>
  <c r="C88" i="11"/>
  <c r="C36" i="11"/>
  <c r="E17" i="25"/>
  <c r="E26" i="25" s="1"/>
  <c r="E19" i="25"/>
  <c r="E28" i="25" s="1"/>
  <c r="E20" i="25"/>
  <c r="E38" i="25" s="1"/>
  <c r="E18" i="25"/>
  <c r="E27" i="25" s="1"/>
  <c r="H29" i="10"/>
  <c r="I22" i="10"/>
  <c r="H23" i="4"/>
  <c r="H30" i="4" s="1"/>
  <c r="E14" i="22"/>
  <c r="E17" i="22" s="1"/>
  <c r="E13" i="22"/>
  <c r="E92" i="13"/>
  <c r="E36" i="13"/>
  <c r="G92" i="13"/>
  <c r="G36" i="13"/>
  <c r="O5" i="20"/>
  <c r="N80" i="20"/>
  <c r="N81" i="20" s="1"/>
  <c r="M89" i="11" s="1"/>
  <c r="N74" i="20"/>
  <c r="N75" i="20" s="1"/>
  <c r="M89" i="10" s="1"/>
  <c r="N68" i="20"/>
  <c r="N69" i="20" s="1"/>
  <c r="K29" i="13"/>
  <c r="H55" i="12"/>
  <c r="H36" i="12"/>
  <c r="E91" i="12"/>
  <c r="E36" i="12"/>
  <c r="D15" i="5"/>
  <c r="C77" i="22"/>
  <c r="E35" i="25" l="1"/>
  <c r="E37" i="25"/>
  <c r="W88" i="11"/>
  <c r="D12" i="20"/>
  <c r="D14" i="20" s="1"/>
  <c r="G8" i="22"/>
  <c r="H10" i="5"/>
  <c r="G37" i="4"/>
  <c r="K32" i="11"/>
  <c r="E109" i="20"/>
  <c r="E111" i="20" s="1"/>
  <c r="D14" i="8"/>
  <c r="S109" i="20"/>
  <c r="S111" i="20" s="1"/>
  <c r="R14" i="8"/>
  <c r="F14" i="8"/>
  <c r="G109" i="20"/>
  <c r="G111" i="20" s="1"/>
  <c r="C58" i="9"/>
  <c r="C58" i="10"/>
  <c r="C79" i="22"/>
  <c r="C58" i="12"/>
  <c r="C58" i="11"/>
  <c r="C58" i="14"/>
  <c r="C58" i="13"/>
  <c r="K109" i="20"/>
  <c r="K111" i="20" s="1"/>
  <c r="J14" i="8"/>
  <c r="K22" i="9"/>
  <c r="K18" i="9" s="1"/>
  <c r="K19" i="9" s="1"/>
  <c r="J29" i="9"/>
  <c r="J32" i="9" s="1"/>
  <c r="W34" i="10"/>
  <c r="X35" i="4" s="1"/>
  <c r="B88" i="10"/>
  <c r="B36" i="10"/>
  <c r="K24" i="12"/>
  <c r="AH8" i="12"/>
  <c r="AH9" i="12" s="1"/>
  <c r="J29" i="12"/>
  <c r="J18" i="12"/>
  <c r="J19" i="12" s="1"/>
  <c r="J32" i="12" s="1"/>
  <c r="AH7" i="10"/>
  <c r="J17" i="4"/>
  <c r="O74" i="20"/>
  <c r="O75" i="20" s="1"/>
  <c r="N89" i="10" s="1"/>
  <c r="P5" i="20"/>
  <c r="O68" i="20"/>
  <c r="O69" i="20" s="1"/>
  <c r="O80" i="20"/>
  <c r="O81" i="20" s="1"/>
  <c r="N89" i="11" s="1"/>
  <c r="E21" i="22"/>
  <c r="E24" i="22" s="1"/>
  <c r="E20" i="22"/>
  <c r="C40" i="11"/>
  <c r="B63" i="2"/>
  <c r="P94" i="20"/>
  <c r="Q91" i="20" s="1"/>
  <c r="E29" i="25"/>
  <c r="L109" i="20"/>
  <c r="L111" i="20" s="1"/>
  <c r="K14" i="8"/>
  <c r="K26" i="10"/>
  <c r="J27" i="4"/>
  <c r="AJ7" i="14"/>
  <c r="B40" i="14"/>
  <c r="C40" i="9"/>
  <c r="G10" i="5"/>
  <c r="F8" i="22"/>
  <c r="F37" i="4"/>
  <c r="F61" i="2"/>
  <c r="AH8" i="10"/>
  <c r="J24" i="4"/>
  <c r="W92" i="13"/>
  <c r="C77" i="9"/>
  <c r="E12" i="20"/>
  <c r="E14" i="20" s="1"/>
  <c r="P88" i="20"/>
  <c r="Q85" i="20" s="1"/>
  <c r="H19" i="4"/>
  <c r="H19" i="10"/>
  <c r="E88" i="10"/>
  <c r="E36" i="10"/>
  <c r="AI9" i="11"/>
  <c r="E47" i="22"/>
  <c r="E48" i="22"/>
  <c r="F32" i="22" s="1"/>
  <c r="F17" i="25"/>
  <c r="F35" i="25" s="1"/>
  <c r="F19" i="25"/>
  <c r="F37" i="25" s="1"/>
  <c r="F18" i="25"/>
  <c r="F36" i="25" s="1"/>
  <c r="F20" i="25"/>
  <c r="F29" i="25" s="1"/>
  <c r="E36" i="25"/>
  <c r="L29" i="11"/>
  <c r="M22" i="11"/>
  <c r="H109" i="20"/>
  <c r="H111" i="20" s="1"/>
  <c r="G14" i="8"/>
  <c r="M16" i="13"/>
  <c r="N5" i="13"/>
  <c r="M23" i="13"/>
  <c r="AK8" i="13" s="1"/>
  <c r="H55" i="14"/>
  <c r="H36" i="14"/>
  <c r="B40" i="13"/>
  <c r="T109" i="20"/>
  <c r="T111" i="20" s="1"/>
  <c r="S14" i="8"/>
  <c r="B40" i="12"/>
  <c r="I19" i="9"/>
  <c r="K24" i="14"/>
  <c r="J18" i="14"/>
  <c r="J19" i="14" s="1"/>
  <c r="AH8" i="14"/>
  <c r="AH9" i="14" s="1"/>
  <c r="J29" i="14"/>
  <c r="B40" i="9"/>
  <c r="M23" i="14"/>
  <c r="M16" i="14"/>
  <c r="N5" i="14"/>
  <c r="W85" i="14"/>
  <c r="C59" i="20"/>
  <c r="D57" i="20" s="1"/>
  <c r="D59" i="20" s="1"/>
  <c r="E57" i="20" s="1"/>
  <c r="E59" i="20" s="1"/>
  <c r="F57" i="20" s="1"/>
  <c r="F59" i="20" s="1"/>
  <c r="G57" i="20" s="1"/>
  <c r="G59" i="20" s="1"/>
  <c r="H57" i="20" s="1"/>
  <c r="H59" i="20" s="1"/>
  <c r="I57" i="20" s="1"/>
  <c r="I59" i="20" s="1"/>
  <c r="J57" i="20" s="1"/>
  <c r="J59" i="20" s="1"/>
  <c r="K57" i="20" s="1"/>
  <c r="K59" i="20" s="1"/>
  <c r="L57" i="20" s="1"/>
  <c r="L59" i="20" s="1"/>
  <c r="M57" i="20" s="1"/>
  <c r="M59" i="20" s="1"/>
  <c r="N57" i="20" s="1"/>
  <c r="N59" i="20" s="1"/>
  <c r="O57" i="20" s="1"/>
  <c r="O59" i="20" s="1"/>
  <c r="P57" i="20" s="1"/>
  <c r="P59" i="20" s="1"/>
  <c r="Q57" i="20" s="1"/>
  <c r="Q59" i="20" s="1"/>
  <c r="R57" i="20" s="1"/>
  <c r="R59" i="20" s="1"/>
  <c r="S57" i="20" s="1"/>
  <c r="S59" i="20" s="1"/>
  <c r="T57" i="20" s="1"/>
  <c r="T59" i="20" s="1"/>
  <c r="U57" i="20" s="1"/>
  <c r="U59" i="20" s="1"/>
  <c r="V57" i="20" s="1"/>
  <c r="V59" i="20" s="1"/>
  <c r="AJ7" i="13"/>
  <c r="AJ9" i="13" s="1"/>
  <c r="L18" i="13"/>
  <c r="L19" i="13" s="1"/>
  <c r="J25" i="10"/>
  <c r="I26" i="4"/>
  <c r="G10" i="25"/>
  <c r="G14" i="25" s="1"/>
  <c r="G15" i="25" s="1"/>
  <c r="E54" i="4"/>
  <c r="G11" i="25"/>
  <c r="C80" i="9"/>
  <c r="C79" i="10"/>
  <c r="C80" i="12"/>
  <c r="C79" i="11"/>
  <c r="AI7" i="9"/>
  <c r="AI9" i="9" s="1"/>
  <c r="I32" i="10"/>
  <c r="O82" i="20"/>
  <c r="P79" i="20" s="1"/>
  <c r="C40" i="14"/>
  <c r="C40" i="12"/>
  <c r="D88" i="10"/>
  <c r="D36" i="10"/>
  <c r="I32" i="14"/>
  <c r="F36" i="10"/>
  <c r="AG9" i="10"/>
  <c r="N70" i="20"/>
  <c r="O67" i="20" s="1"/>
  <c r="O70" i="20" s="1"/>
  <c r="P67" i="20" s="1"/>
  <c r="C40" i="13"/>
  <c r="W91" i="12"/>
  <c r="C13" i="8"/>
  <c r="C37" i="4"/>
  <c r="C41" i="4" s="1"/>
  <c r="W91" i="9"/>
  <c r="U109" i="20"/>
  <c r="U111" i="20" s="1"/>
  <c r="T14" i="8"/>
  <c r="M22" i="14"/>
  <c r="F109" i="20"/>
  <c r="F111" i="20" s="1"/>
  <c r="E14" i="8"/>
  <c r="K23" i="10"/>
  <c r="K16" i="10"/>
  <c r="I8" i="25"/>
  <c r="H9" i="25"/>
  <c r="C109" i="20"/>
  <c r="B14" i="8"/>
  <c r="AJ7" i="12"/>
  <c r="D53" i="22"/>
  <c r="D54" i="22"/>
  <c r="D57" i="22" s="1"/>
  <c r="D72" i="22"/>
  <c r="AJ7" i="11"/>
  <c r="AJ9" i="11" s="1"/>
  <c r="L19" i="11"/>
  <c r="L32" i="11" s="1"/>
  <c r="L18" i="11"/>
  <c r="N22" i="13"/>
  <c r="F26" i="25"/>
  <c r="I19" i="12"/>
  <c r="M92" i="9"/>
  <c r="N110" i="20" s="1"/>
  <c r="N104" i="20"/>
  <c r="E105" i="20"/>
  <c r="F103" i="20" s="1"/>
  <c r="F105" i="20" s="1"/>
  <c r="G103" i="20" s="1"/>
  <c r="G105" i="20" s="1"/>
  <c r="H103" i="20" s="1"/>
  <c r="H105" i="20" s="1"/>
  <c r="I103" i="20" s="1"/>
  <c r="I105" i="20" s="1"/>
  <c r="J103" i="20" s="1"/>
  <c r="J105" i="20" s="1"/>
  <c r="K103" i="20" s="1"/>
  <c r="K105" i="20" s="1"/>
  <c r="L103" i="20" s="1"/>
  <c r="L105" i="20" s="1"/>
  <c r="M103" i="20" s="1"/>
  <c r="M105" i="20" s="1"/>
  <c r="N103" i="20" s="1"/>
  <c r="N105" i="20" s="1"/>
  <c r="O103" i="20" s="1"/>
  <c r="R6" i="20"/>
  <c r="Q86" i="20"/>
  <c r="Q87" i="20" s="1"/>
  <c r="P92" i="12" s="1"/>
  <c r="Q92" i="20"/>
  <c r="Q93" i="20" s="1"/>
  <c r="P93" i="13" s="1"/>
  <c r="Q98" i="20"/>
  <c r="Q99" i="20" s="1"/>
  <c r="P86" i="14" s="1"/>
  <c r="M109" i="20"/>
  <c r="M111" i="20" s="1"/>
  <c r="L14" i="8"/>
  <c r="D13" i="8"/>
  <c r="D37" i="4"/>
  <c r="W35" i="4"/>
  <c r="B13" i="8"/>
  <c r="B37" i="4"/>
  <c r="I19" i="4"/>
  <c r="I20" i="4" s="1"/>
  <c r="I109" i="20"/>
  <c r="I111" i="20" s="1"/>
  <c r="H14" i="8"/>
  <c r="AG5" i="4"/>
  <c r="J55" i="13"/>
  <c r="J36" i="13"/>
  <c r="D17" i="5"/>
  <c r="C63" i="2" s="1"/>
  <c r="K32" i="13"/>
  <c r="K82" i="13"/>
  <c r="K84" i="13" s="1"/>
  <c r="D109" i="20"/>
  <c r="D111" i="20" s="1"/>
  <c r="C14" i="8"/>
  <c r="J22" i="10"/>
  <c r="I29" i="10"/>
  <c r="I23" i="4"/>
  <c r="V109" i="20"/>
  <c r="V111" i="20" s="1"/>
  <c r="U14" i="8"/>
  <c r="G36" i="12"/>
  <c r="G55" i="12"/>
  <c r="G36" i="10"/>
  <c r="G55" i="10"/>
  <c r="J109" i="20"/>
  <c r="J111" i="20" s="1"/>
  <c r="I14" i="8"/>
  <c r="C88" i="10"/>
  <c r="C36" i="10"/>
  <c r="C40" i="10" s="1"/>
  <c r="B40" i="11"/>
  <c r="J24" i="10"/>
  <c r="I25" i="4"/>
  <c r="AG6" i="4" s="1"/>
  <c r="N5" i="11"/>
  <c r="M23" i="11"/>
  <c r="AK8" i="11" s="1"/>
  <c r="M16" i="11"/>
  <c r="M22" i="12"/>
  <c r="M5" i="9"/>
  <c r="L16" i="9"/>
  <c r="L23" i="9"/>
  <c r="AJ8" i="9" s="1"/>
  <c r="L5" i="10"/>
  <c r="C110" i="20"/>
  <c r="M23" i="12"/>
  <c r="M16" i="12"/>
  <c r="N5" i="12"/>
  <c r="N76" i="20"/>
  <c r="O73" i="20" s="1"/>
  <c r="O76" i="20" s="1"/>
  <c r="P73" i="20" s="1"/>
  <c r="E36" i="20"/>
  <c r="E38" i="20" s="1"/>
  <c r="C77" i="12"/>
  <c r="F28" i="25" l="1"/>
  <c r="F27" i="25"/>
  <c r="Y35" i="4"/>
  <c r="C111" i="20"/>
  <c r="W13" i="8"/>
  <c r="L32" i="13"/>
  <c r="L82" i="13"/>
  <c r="L84" i="13" s="1"/>
  <c r="J36" i="9"/>
  <c r="J55" i="9"/>
  <c r="I33" i="4"/>
  <c r="W93" i="13"/>
  <c r="K25" i="10"/>
  <c r="J26" i="4"/>
  <c r="L24" i="14"/>
  <c r="K29" i="14"/>
  <c r="K18" i="14"/>
  <c r="K19" i="14" s="1"/>
  <c r="AI8" i="14"/>
  <c r="AI9" i="14" s="1"/>
  <c r="C43" i="9"/>
  <c r="C42" i="9"/>
  <c r="C45" i="9" s="1"/>
  <c r="C90" i="9"/>
  <c r="C93" i="9" s="1"/>
  <c r="C96" i="9" s="1"/>
  <c r="C60" i="11"/>
  <c r="N23" i="13"/>
  <c r="AL8" i="13" s="1"/>
  <c r="O5" i="13"/>
  <c r="N16" i="13"/>
  <c r="J36" i="12"/>
  <c r="J55" i="12"/>
  <c r="M16" i="9"/>
  <c r="N5" i="9"/>
  <c r="M23" i="9"/>
  <c r="AK8" i="9" s="1"/>
  <c r="M5" i="10"/>
  <c r="B42" i="9"/>
  <c r="B90" i="9"/>
  <c r="K24" i="10"/>
  <c r="J25" i="4"/>
  <c r="AH6" i="4" s="1"/>
  <c r="S6" i="20"/>
  <c r="T6" i="20" s="1"/>
  <c r="U6" i="20" s="1"/>
  <c r="V6" i="20" s="1"/>
  <c r="R86" i="20"/>
  <c r="R87" i="20" s="1"/>
  <c r="Q92" i="12" s="1"/>
  <c r="W92" i="12" s="1"/>
  <c r="R98" i="20"/>
  <c r="R99" i="20" s="1"/>
  <c r="Q86" i="14" s="1"/>
  <c r="W86" i="14" s="1"/>
  <c r="R92" i="20"/>
  <c r="R93" i="20" s="1"/>
  <c r="Q93" i="13" s="1"/>
  <c r="N22" i="14"/>
  <c r="C42" i="14"/>
  <c r="C43" i="14" s="1"/>
  <c r="C45" i="14" s="1"/>
  <c r="C84" i="14"/>
  <c r="C87" i="14" s="1"/>
  <c r="C90" i="14" s="1"/>
  <c r="Q88" i="20"/>
  <c r="R85" i="20" s="1"/>
  <c r="AH5" i="4"/>
  <c r="L24" i="12"/>
  <c r="K29" i="12"/>
  <c r="K18" i="12"/>
  <c r="K19" i="12" s="1"/>
  <c r="AI8" i="12"/>
  <c r="AI9" i="12" s="1"/>
  <c r="C60" i="9"/>
  <c r="AK7" i="14"/>
  <c r="B41" i="4"/>
  <c r="A55" i="4"/>
  <c r="H32" i="10"/>
  <c r="H20" i="4"/>
  <c r="J18" i="10"/>
  <c r="K55" i="11"/>
  <c r="K36" i="11"/>
  <c r="C60" i="10"/>
  <c r="N22" i="12"/>
  <c r="M29" i="13"/>
  <c r="F54" i="4"/>
  <c r="H10" i="25"/>
  <c r="H14" i="25" s="1"/>
  <c r="H15" i="25" s="1"/>
  <c r="H11" i="25"/>
  <c r="B42" i="13"/>
  <c r="B43" i="13"/>
  <c r="B77" i="13"/>
  <c r="B79" i="13" s="1"/>
  <c r="B86" i="13" s="1"/>
  <c r="B91" i="13"/>
  <c r="N22" i="11"/>
  <c r="M29" i="11"/>
  <c r="F33" i="22"/>
  <c r="F34" i="22"/>
  <c r="F37" i="22" s="1"/>
  <c r="D77" i="9"/>
  <c r="F12" i="20"/>
  <c r="F14" i="20" s="1"/>
  <c r="Q94" i="20"/>
  <c r="R91" i="20" s="1"/>
  <c r="R94" i="20" s="1"/>
  <c r="S91" i="20" s="1"/>
  <c r="S94" i="20" s="1"/>
  <c r="T91" i="20" s="1"/>
  <c r="T94" i="20" s="1"/>
  <c r="U91" i="20" s="1"/>
  <c r="U94" i="20" s="1"/>
  <c r="V91" i="20" s="1"/>
  <c r="V94" i="20" s="1"/>
  <c r="N92" i="9"/>
  <c r="O104" i="20"/>
  <c r="O105" i="20" s="1"/>
  <c r="P103" i="20" s="1"/>
  <c r="AH9" i="10"/>
  <c r="B40" i="10"/>
  <c r="K24" i="4"/>
  <c r="I55" i="10"/>
  <c r="I36" i="10"/>
  <c r="AJ7" i="9"/>
  <c r="AJ9" i="9" s="1"/>
  <c r="L26" i="10"/>
  <c r="K27" i="4"/>
  <c r="AK7" i="12"/>
  <c r="C12" i="8"/>
  <c r="I32" i="9"/>
  <c r="B42" i="14"/>
  <c r="B84" i="14"/>
  <c r="B43" i="14"/>
  <c r="C42" i="12"/>
  <c r="C90" i="12"/>
  <c r="C93" i="12" s="1"/>
  <c r="C96" i="12" s="1"/>
  <c r="K55" i="13"/>
  <c r="K36" i="13"/>
  <c r="D61" i="22"/>
  <c r="D64" i="22" s="1"/>
  <c r="D60" i="22"/>
  <c r="I30" i="4"/>
  <c r="C87" i="10"/>
  <c r="C90" i="10" s="1"/>
  <c r="C93" i="10" s="1"/>
  <c r="C42" i="10"/>
  <c r="C43" i="10" s="1"/>
  <c r="N109" i="20"/>
  <c r="N111" i="20" s="1"/>
  <c r="M14" i="8"/>
  <c r="J8" i="25"/>
  <c r="J9" i="25" s="1"/>
  <c r="I9" i="25"/>
  <c r="I36" i="14"/>
  <c r="I55" i="14"/>
  <c r="G18" i="25"/>
  <c r="G36" i="25" s="1"/>
  <c r="G20" i="25"/>
  <c r="G29" i="25" s="1"/>
  <c r="G19" i="25"/>
  <c r="G37" i="25" s="1"/>
  <c r="G17" i="25"/>
  <c r="G26" i="25" s="1"/>
  <c r="B42" i="12"/>
  <c r="B43" i="12" s="1"/>
  <c r="B90" i="12"/>
  <c r="P68" i="20"/>
  <c r="P69" i="20" s="1"/>
  <c r="P70" i="20" s="1"/>
  <c r="Q67" i="20" s="1"/>
  <c r="Q5" i="20"/>
  <c r="P74" i="20"/>
  <c r="P75" i="20" s="1"/>
  <c r="O89" i="10" s="1"/>
  <c r="P80" i="20"/>
  <c r="P81" i="20" s="1"/>
  <c r="O89" i="11" s="1"/>
  <c r="W88" i="10"/>
  <c r="X13" i="8" s="1"/>
  <c r="Y13" i="8" s="1"/>
  <c r="C60" i="13"/>
  <c r="O5" i="12"/>
  <c r="N23" i="12"/>
  <c r="N16" i="12"/>
  <c r="N16" i="11"/>
  <c r="O5" i="11"/>
  <c r="N23" i="11"/>
  <c r="AL8" i="11" s="1"/>
  <c r="I32" i="12"/>
  <c r="C77" i="13"/>
  <c r="C79" i="13" s="1"/>
  <c r="C86" i="13" s="1"/>
  <c r="C42" i="13"/>
  <c r="C91" i="13"/>
  <c r="C94" i="13" s="1"/>
  <c r="C97" i="13" s="1"/>
  <c r="C42" i="11"/>
  <c r="C87" i="11"/>
  <c r="C90" i="11" s="1"/>
  <c r="C93" i="11" s="1"/>
  <c r="K29" i="9"/>
  <c r="K32" i="9" s="1"/>
  <c r="L22" i="9"/>
  <c r="C60" i="12"/>
  <c r="AK7" i="13"/>
  <c r="AK9" i="13" s="1"/>
  <c r="M18" i="13"/>
  <c r="M19" i="13" s="1"/>
  <c r="F38" i="25"/>
  <c r="E28" i="22"/>
  <c r="F12" i="22" s="1"/>
  <c r="E27" i="22"/>
  <c r="N29" i="13"/>
  <c r="O22" i="13"/>
  <c r="B42" i="11"/>
  <c r="B87" i="11"/>
  <c r="F36" i="20"/>
  <c r="F38" i="20" s="1"/>
  <c r="D77" i="12"/>
  <c r="L16" i="10"/>
  <c r="L23" i="10"/>
  <c r="AK7" i="11"/>
  <c r="AK9" i="11" s="1"/>
  <c r="M18" i="11"/>
  <c r="M19" i="11" s="1"/>
  <c r="M32" i="11" s="1"/>
  <c r="J29" i="10"/>
  <c r="K22" i="10"/>
  <c r="J23" i="4"/>
  <c r="Q100" i="20"/>
  <c r="R97" i="20" s="1"/>
  <c r="L36" i="11"/>
  <c r="L55" i="11"/>
  <c r="AI7" i="10"/>
  <c r="K17" i="4"/>
  <c r="O5" i="14"/>
  <c r="N23" i="14"/>
  <c r="N16" i="14"/>
  <c r="J32" i="14"/>
  <c r="C60" i="14"/>
  <c r="G35" i="25" l="1"/>
  <c r="G28" i="25"/>
  <c r="C45" i="11"/>
  <c r="C43" i="11"/>
  <c r="R100" i="20"/>
  <c r="S97" i="20" s="1"/>
  <c r="S100" i="20" s="1"/>
  <c r="T97" i="20" s="1"/>
  <c r="T100" i="20" s="1"/>
  <c r="U97" i="20" s="1"/>
  <c r="U100" i="20" s="1"/>
  <c r="V97" i="20" s="1"/>
  <c r="V100" i="20" s="1"/>
  <c r="P82" i="20"/>
  <c r="Q79" i="20" s="1"/>
  <c r="Q82" i="20" s="1"/>
  <c r="R79" i="20" s="1"/>
  <c r="B45" i="14"/>
  <c r="C43" i="4"/>
  <c r="P76" i="20"/>
  <c r="Q73" i="20" s="1"/>
  <c r="B45" i="12"/>
  <c r="M36" i="11"/>
  <c r="M55" i="11"/>
  <c r="K55" i="9"/>
  <c r="K36" i="9"/>
  <c r="M32" i="13"/>
  <c r="M82" i="13"/>
  <c r="M84" i="13" s="1"/>
  <c r="D91" i="22"/>
  <c r="D39" i="4" s="1"/>
  <c r="L24" i="4"/>
  <c r="AL7" i="13"/>
  <c r="AL9" i="13" s="1"/>
  <c r="N18" i="13"/>
  <c r="N19" i="13" s="1"/>
  <c r="P22" i="13"/>
  <c r="C96" i="11"/>
  <c r="C98" i="11"/>
  <c r="C101" i="11"/>
  <c r="C62" i="11" s="1"/>
  <c r="P5" i="11"/>
  <c r="O23" i="11"/>
  <c r="AM8" i="11" s="1"/>
  <c r="O16" i="11"/>
  <c r="F40" i="22"/>
  <c r="F41" i="22"/>
  <c r="F44" i="22" s="1"/>
  <c r="H55" i="10"/>
  <c r="H36" i="10"/>
  <c r="L24" i="10"/>
  <c r="AJ8" i="10" s="1"/>
  <c r="K25" i="4"/>
  <c r="J10" i="5"/>
  <c r="I8" i="22"/>
  <c r="I37" i="4"/>
  <c r="K32" i="14"/>
  <c r="L22" i="10"/>
  <c r="K29" i="10"/>
  <c r="K23" i="4"/>
  <c r="E77" i="12"/>
  <c r="G36" i="20"/>
  <c r="G38" i="20" s="1"/>
  <c r="AL7" i="12"/>
  <c r="G54" i="4"/>
  <c r="I10" i="25"/>
  <c r="I14" i="25" s="1"/>
  <c r="I15" i="25" s="1"/>
  <c r="I11" i="25"/>
  <c r="C45" i="10"/>
  <c r="C43" i="12"/>
  <c r="C45" i="12" s="1"/>
  <c r="B87" i="14"/>
  <c r="O109" i="20"/>
  <c r="N14" i="8"/>
  <c r="H28" i="25"/>
  <c r="R88" i="20"/>
  <c r="S85" i="20" s="1"/>
  <c r="S88" i="20" s="1"/>
  <c r="T85" i="20" s="1"/>
  <c r="T88" i="20" s="1"/>
  <c r="U85" i="20" s="1"/>
  <c r="U88" i="20" s="1"/>
  <c r="V85" i="20" s="1"/>
  <c r="V88" i="20" s="1"/>
  <c r="G27" i="25"/>
  <c r="O22" i="14"/>
  <c r="C102" i="13"/>
  <c r="C105" i="13"/>
  <c r="C100" i="13"/>
  <c r="D68" i="22"/>
  <c r="D67" i="22"/>
  <c r="D76" i="22" s="1"/>
  <c r="AJ7" i="10"/>
  <c r="L17" i="4"/>
  <c r="AL7" i="11"/>
  <c r="AL9" i="11" s="1"/>
  <c r="N18" i="11"/>
  <c r="N19" i="11" s="1"/>
  <c r="N32" i="11" s="1"/>
  <c r="K18" i="10"/>
  <c r="B90" i="11"/>
  <c r="R5" i="20"/>
  <c r="Q74" i="20"/>
  <c r="Q75" i="20" s="1"/>
  <c r="P89" i="10" s="1"/>
  <c r="Q80" i="20"/>
  <c r="Q81" i="20" s="1"/>
  <c r="P89" i="11" s="1"/>
  <c r="Q68" i="20"/>
  <c r="Q69" i="20" s="1"/>
  <c r="H54" i="4"/>
  <c r="J10" i="25"/>
  <c r="J14" i="25" s="1"/>
  <c r="J15" i="25" s="1"/>
  <c r="J11" i="25"/>
  <c r="O110" i="20"/>
  <c r="N29" i="11"/>
  <c r="O22" i="11"/>
  <c r="H17" i="25"/>
  <c r="H35" i="25" s="1"/>
  <c r="H20" i="25"/>
  <c r="H38" i="25" s="1"/>
  <c r="H19" i="25"/>
  <c r="H37" i="25" s="1"/>
  <c r="H18" i="25"/>
  <c r="H36" i="25" s="1"/>
  <c r="J19" i="4"/>
  <c r="J20" i="4" s="1"/>
  <c r="J33" i="4" s="1"/>
  <c r="J19" i="10"/>
  <c r="J32" i="10" s="1"/>
  <c r="N16" i="9"/>
  <c r="O5" i="9"/>
  <c r="N23" i="9"/>
  <c r="AL8" i="9" s="1"/>
  <c r="N5" i="10"/>
  <c r="M24" i="14"/>
  <c r="AJ8" i="14"/>
  <c r="AJ9" i="14" s="1"/>
  <c r="L18" i="14"/>
  <c r="L19" i="14" s="1"/>
  <c r="L32" i="14" s="1"/>
  <c r="L29" i="14"/>
  <c r="P5" i="13"/>
  <c r="O16" i="13"/>
  <c r="O23" i="13"/>
  <c r="AM8" i="13" s="1"/>
  <c r="J30" i="4"/>
  <c r="B93" i="12"/>
  <c r="B93" i="9"/>
  <c r="J36" i="14"/>
  <c r="J55" i="14"/>
  <c r="AI5" i="4"/>
  <c r="F13" i="22"/>
  <c r="F14" i="22"/>
  <c r="F17" i="22" s="1"/>
  <c r="O16" i="12"/>
  <c r="P5" i="12"/>
  <c r="O23" i="12"/>
  <c r="O92" i="9"/>
  <c r="P110" i="20" s="1"/>
  <c r="P104" i="20"/>
  <c r="P105" i="20" s="1"/>
  <c r="Q103" i="20" s="1"/>
  <c r="AI6" i="4"/>
  <c r="B94" i="13"/>
  <c r="O22" i="12"/>
  <c r="H33" i="4"/>
  <c r="B12" i="8"/>
  <c r="C95" i="14"/>
  <c r="C98" i="14"/>
  <c r="C62" i="14" s="1"/>
  <c r="C93" i="14"/>
  <c r="AK7" i="9"/>
  <c r="AK9" i="9" s="1"/>
  <c r="M18" i="9"/>
  <c r="M19" i="9" s="1"/>
  <c r="C99" i="9"/>
  <c r="C101" i="9"/>
  <c r="C104" i="9"/>
  <c r="C62" i="9" s="1"/>
  <c r="L55" i="13"/>
  <c r="L36" i="13"/>
  <c r="M22" i="9"/>
  <c r="L29" i="9"/>
  <c r="I36" i="9"/>
  <c r="I55" i="9"/>
  <c r="E77" i="9"/>
  <c r="G12" i="20"/>
  <c r="G14" i="20" s="1"/>
  <c r="G38" i="25"/>
  <c r="O16" i="14"/>
  <c r="P5" i="14"/>
  <c r="O23" i="14"/>
  <c r="L18" i="9"/>
  <c r="L19" i="9" s="1"/>
  <c r="M24" i="12"/>
  <c r="L29" i="12"/>
  <c r="L18" i="12"/>
  <c r="L19" i="12" s="1"/>
  <c r="AJ8" i="12"/>
  <c r="AJ9" i="12" s="1"/>
  <c r="C107" i="13"/>
  <c r="C62" i="13" s="1"/>
  <c r="C98" i="10"/>
  <c r="C101" i="10"/>
  <c r="C96" i="10"/>
  <c r="B42" i="10"/>
  <c r="B87" i="10"/>
  <c r="B45" i="13"/>
  <c r="C99" i="12"/>
  <c r="C101" i="12"/>
  <c r="C104" i="12"/>
  <c r="C62" i="12" s="1"/>
  <c r="M23" i="10"/>
  <c r="M16" i="10"/>
  <c r="AL7" i="14"/>
  <c r="AI9" i="10"/>
  <c r="B43" i="11"/>
  <c r="B45" i="11" s="1"/>
  <c r="C43" i="13"/>
  <c r="C44" i="4" s="1"/>
  <c r="C46" i="4" s="1"/>
  <c r="C62" i="2" s="1"/>
  <c r="I36" i="12"/>
  <c r="I55" i="12"/>
  <c r="M26" i="10"/>
  <c r="L27" i="4"/>
  <c r="AI8" i="10"/>
  <c r="K32" i="12"/>
  <c r="B43" i="9"/>
  <c r="L25" i="10"/>
  <c r="K26" i="4"/>
  <c r="H29" i="25" l="1"/>
  <c r="H26" i="25"/>
  <c r="O111" i="20"/>
  <c r="N32" i="13"/>
  <c r="N82" i="13"/>
  <c r="N84" i="13" s="1"/>
  <c r="N36" i="11"/>
  <c r="N55" i="11"/>
  <c r="AM7" i="12"/>
  <c r="B96" i="9"/>
  <c r="M22" i="10"/>
  <c r="L29" i="10"/>
  <c r="L23" i="4"/>
  <c r="N24" i="12"/>
  <c r="M29" i="12"/>
  <c r="M18" i="12"/>
  <c r="M19" i="12" s="1"/>
  <c r="M32" i="12" s="1"/>
  <c r="AK8" i="12"/>
  <c r="AK9" i="12" s="1"/>
  <c r="AK7" i="10"/>
  <c r="M17" i="4"/>
  <c r="M18" i="10"/>
  <c r="M19" i="4" s="1"/>
  <c r="B90" i="10"/>
  <c r="M29" i="9"/>
  <c r="M32" i="9" s="1"/>
  <c r="N22" i="9"/>
  <c r="N18" i="9" s="1"/>
  <c r="N19" i="9" s="1"/>
  <c r="P109" i="20"/>
  <c r="P111" i="20" s="1"/>
  <c r="O14" i="8"/>
  <c r="B96" i="12"/>
  <c r="O16" i="9"/>
  <c r="P5" i="9"/>
  <c r="O5" i="10"/>
  <c r="O23" i="9"/>
  <c r="AM8" i="9" s="1"/>
  <c r="R68" i="20"/>
  <c r="R69" i="20" s="1"/>
  <c r="R74" i="20"/>
  <c r="R75" i="20" s="1"/>
  <c r="Q89" i="10" s="1"/>
  <c r="W89" i="10" s="1"/>
  <c r="S5" i="20"/>
  <c r="T5" i="20" s="1"/>
  <c r="U5" i="20" s="1"/>
  <c r="V5" i="20" s="1"/>
  <c r="R80" i="20"/>
  <c r="R81" i="20" s="1"/>
  <c r="Q89" i="11" s="1"/>
  <c r="W89" i="11" s="1"/>
  <c r="E15" i="5"/>
  <c r="D77" i="22"/>
  <c r="B90" i="14"/>
  <c r="K36" i="14"/>
  <c r="K55" i="14"/>
  <c r="P29" i="13"/>
  <c r="Q22" i="13"/>
  <c r="F21" i="22"/>
  <c r="F24" i="22" s="1"/>
  <c r="F20" i="22"/>
  <c r="K19" i="4"/>
  <c r="K20" i="4" s="1"/>
  <c r="K19" i="10"/>
  <c r="K32" i="10" s="1"/>
  <c r="R82" i="20"/>
  <c r="S79" i="20" s="1"/>
  <c r="S82" i="20" s="1"/>
  <c r="T79" i="20" s="1"/>
  <c r="T82" i="20" s="1"/>
  <c r="U79" i="20" s="1"/>
  <c r="U82" i="20" s="1"/>
  <c r="V79" i="20" s="1"/>
  <c r="V82" i="20" s="1"/>
  <c r="N23" i="10"/>
  <c r="N16" i="10"/>
  <c r="O29" i="13"/>
  <c r="AK8" i="10"/>
  <c r="M24" i="4"/>
  <c r="L55" i="14"/>
  <c r="L36" i="14"/>
  <c r="AL7" i="9"/>
  <c r="AL9" i="9" s="1"/>
  <c r="J37" i="25"/>
  <c r="L18" i="10"/>
  <c r="D73" i="22"/>
  <c r="E52" i="22"/>
  <c r="H36" i="20"/>
  <c r="H38" i="20" s="1"/>
  <c r="F77" i="12"/>
  <c r="AM7" i="11"/>
  <c r="AM9" i="11" s="1"/>
  <c r="O18" i="11"/>
  <c r="O19" i="11" s="1"/>
  <c r="O32" i="11" s="1"/>
  <c r="Q76" i="20"/>
  <c r="R73" i="20" s="1"/>
  <c r="B45" i="9"/>
  <c r="B97" i="13"/>
  <c r="B93" i="11"/>
  <c r="P92" i="9"/>
  <c r="Q104" i="20"/>
  <c r="D38" i="9"/>
  <c r="D38" i="10"/>
  <c r="D38" i="12"/>
  <c r="D38" i="11"/>
  <c r="D38" i="13"/>
  <c r="D38" i="14"/>
  <c r="D41" i="4"/>
  <c r="K10" i="5"/>
  <c r="J8" i="22"/>
  <c r="J37" i="4"/>
  <c r="B43" i="4"/>
  <c r="H27" i="25"/>
  <c r="M36" i="13"/>
  <c r="M55" i="13"/>
  <c r="K55" i="12"/>
  <c r="K36" i="12"/>
  <c r="B43" i="10"/>
  <c r="B45" i="10" s="1"/>
  <c r="L32" i="9"/>
  <c r="H8" i="22"/>
  <c r="I10" i="5"/>
  <c r="H37" i="4"/>
  <c r="F77" i="9"/>
  <c r="H12" i="20"/>
  <c r="H14" i="20" s="1"/>
  <c r="C45" i="13"/>
  <c r="J17" i="25"/>
  <c r="J26" i="25" s="1"/>
  <c r="J18" i="25"/>
  <c r="J27" i="25" s="1"/>
  <c r="J19" i="25"/>
  <c r="J28" i="25" s="1"/>
  <c r="J20" i="25"/>
  <c r="J38" i="25" s="1"/>
  <c r="Q70" i="20"/>
  <c r="R67" i="20" s="1"/>
  <c r="AJ5" i="4"/>
  <c r="M24" i="10"/>
  <c r="L25" i="4"/>
  <c r="AJ6" i="4" s="1"/>
  <c r="N26" i="10"/>
  <c r="M27" i="4"/>
  <c r="L32" i="12"/>
  <c r="P16" i="14"/>
  <c r="Q5" i="14"/>
  <c r="P23" i="14"/>
  <c r="I18" i="25"/>
  <c r="I36" i="25" s="1"/>
  <c r="I20" i="25"/>
  <c r="I38" i="25" s="1"/>
  <c r="I19" i="25"/>
  <c r="I28" i="25" s="1"/>
  <c r="I17" i="25"/>
  <c r="I35" i="25" s="1"/>
  <c r="AM7" i="14"/>
  <c r="AM7" i="13"/>
  <c r="AM9" i="13" s="1"/>
  <c r="O18" i="13"/>
  <c r="O19" i="13" s="1"/>
  <c r="J36" i="10"/>
  <c r="J55" i="10"/>
  <c r="M25" i="10"/>
  <c r="L26" i="4"/>
  <c r="Q5" i="13"/>
  <c r="P23" i="13"/>
  <c r="AN8" i="13" s="1"/>
  <c r="P16" i="13"/>
  <c r="F48" i="22"/>
  <c r="G32" i="22" s="1"/>
  <c r="F47" i="22"/>
  <c r="C62" i="10"/>
  <c r="C8" i="8"/>
  <c r="P22" i="14"/>
  <c r="P22" i="12"/>
  <c r="P16" i="12"/>
  <c r="P23" i="12"/>
  <c r="Q5" i="12"/>
  <c r="N24" i="14"/>
  <c r="M18" i="14"/>
  <c r="M19" i="14" s="1"/>
  <c r="AK8" i="14"/>
  <c r="AK9" i="14" s="1"/>
  <c r="M29" i="14"/>
  <c r="P22" i="11"/>
  <c r="O29" i="11"/>
  <c r="AJ9" i="10"/>
  <c r="I27" i="25"/>
  <c r="I29" i="25"/>
  <c r="K30" i="4"/>
  <c r="P16" i="11"/>
  <c r="P23" i="11"/>
  <c r="AN8" i="11" s="1"/>
  <c r="Q5" i="11"/>
  <c r="J35" i="25" l="1"/>
  <c r="I37" i="25"/>
  <c r="I26" i="25"/>
  <c r="J36" i="25"/>
  <c r="R76" i="20"/>
  <c r="S73" i="20" s="1"/>
  <c r="S76" i="20" s="1"/>
  <c r="T73" i="20" s="1"/>
  <c r="T76" i="20" s="1"/>
  <c r="U73" i="20" s="1"/>
  <c r="U76" i="20" s="1"/>
  <c r="V73" i="20" s="1"/>
  <c r="V76" i="20" s="1"/>
  <c r="O36" i="11"/>
  <c r="O55" i="11"/>
  <c r="O32" i="13"/>
  <c r="O82" i="13"/>
  <c r="O84" i="13" s="1"/>
  <c r="M55" i="9"/>
  <c r="M36" i="9"/>
  <c r="Q23" i="11"/>
  <c r="AO8" i="11" s="1"/>
  <c r="Q16" i="11"/>
  <c r="R5" i="11"/>
  <c r="E54" i="22"/>
  <c r="E57" i="22" s="1"/>
  <c r="E53" i="22"/>
  <c r="E72" i="22"/>
  <c r="D19" i="5"/>
  <c r="C15" i="8"/>
  <c r="C16" i="8" s="1"/>
  <c r="C19" i="8" s="1"/>
  <c r="D80" i="9"/>
  <c r="D79" i="10"/>
  <c r="D80" i="12"/>
  <c r="D79" i="11"/>
  <c r="R22" i="13"/>
  <c r="O24" i="14"/>
  <c r="N18" i="14"/>
  <c r="N19" i="14" s="1"/>
  <c r="AL8" i="14"/>
  <c r="AL9" i="14" s="1"/>
  <c r="N29" i="14"/>
  <c r="D40" i="14"/>
  <c r="D58" i="9"/>
  <c r="D58" i="10"/>
  <c r="D79" i="22"/>
  <c r="D58" i="12"/>
  <c r="D58" i="14"/>
  <c r="D58" i="11"/>
  <c r="D58" i="13"/>
  <c r="O24" i="12"/>
  <c r="N29" i="12"/>
  <c r="AL8" i="12"/>
  <c r="AL9" i="12" s="1"/>
  <c r="N18" i="12"/>
  <c r="N19" i="12" s="1"/>
  <c r="N32" i="12" s="1"/>
  <c r="G34" i="22"/>
  <c r="G37" i="22" s="1"/>
  <c r="G33" i="22"/>
  <c r="N25" i="10"/>
  <c r="M26" i="4"/>
  <c r="O26" i="10"/>
  <c r="N27" i="4"/>
  <c r="G77" i="9"/>
  <c r="I12" i="20"/>
  <c r="I14" i="20" s="1"/>
  <c r="D40" i="13"/>
  <c r="B96" i="11"/>
  <c r="B98" i="11"/>
  <c r="B101" i="11"/>
  <c r="AL7" i="10"/>
  <c r="N17" i="4"/>
  <c r="K33" i="4"/>
  <c r="E17" i="5"/>
  <c r="AM7" i="9"/>
  <c r="AM9" i="9" s="1"/>
  <c r="B44" i="4"/>
  <c r="B46" i="4" s="1"/>
  <c r="B98" i="14"/>
  <c r="B95" i="14"/>
  <c r="B93" i="14"/>
  <c r="M29" i="10"/>
  <c r="N22" i="10"/>
  <c r="M23" i="4"/>
  <c r="L36" i="12"/>
  <c r="L55" i="12"/>
  <c r="AK9" i="10"/>
  <c r="B101" i="9"/>
  <c r="B104" i="9" s="1"/>
  <c r="B99" i="9"/>
  <c r="R5" i="12"/>
  <c r="Q16" i="12"/>
  <c r="Q23" i="12"/>
  <c r="D40" i="11"/>
  <c r="B102" i="13"/>
  <c r="B105" i="13"/>
  <c r="B100" i="13"/>
  <c r="J29" i="25"/>
  <c r="N24" i="4"/>
  <c r="B93" i="10"/>
  <c r="N55" i="13"/>
  <c r="N36" i="13"/>
  <c r="Q22" i="14"/>
  <c r="D40" i="9"/>
  <c r="Q22" i="12"/>
  <c r="Q109" i="20"/>
  <c r="P14" i="8"/>
  <c r="M36" i="12"/>
  <c r="M55" i="12"/>
  <c r="M32" i="14"/>
  <c r="L19" i="4"/>
  <c r="L20" i="4" s="1"/>
  <c r="L19" i="10"/>
  <c r="L32" i="10" s="1"/>
  <c r="O23" i="10"/>
  <c r="O16" i="10"/>
  <c r="L36" i="9"/>
  <c r="L55" i="9"/>
  <c r="K55" i="10"/>
  <c r="K36" i="10"/>
  <c r="P23" i="9"/>
  <c r="AN8" i="9" s="1"/>
  <c r="P16" i="9"/>
  <c r="Q5" i="9"/>
  <c r="P5" i="10"/>
  <c r="AN7" i="13"/>
  <c r="AN9" i="13" s="1"/>
  <c r="P18" i="13"/>
  <c r="P19" i="13"/>
  <c r="D40" i="12"/>
  <c r="F27" i="22"/>
  <c r="F28" i="22"/>
  <c r="G12" i="22" s="1"/>
  <c r="B101" i="12"/>
  <c r="B104" i="12"/>
  <c r="B99" i="12"/>
  <c r="AN7" i="14"/>
  <c r="Q92" i="9"/>
  <c r="R110" i="20" s="1"/>
  <c r="R104" i="20"/>
  <c r="D12" i="8"/>
  <c r="AK5" i="4"/>
  <c r="M20" i="4"/>
  <c r="AN7" i="11"/>
  <c r="AN9" i="11" s="1"/>
  <c r="P19" i="11"/>
  <c r="P32" i="11" s="1"/>
  <c r="P18" i="11"/>
  <c r="Q110" i="20"/>
  <c r="N29" i="9"/>
  <c r="N32" i="9" s="1"/>
  <c r="O22" i="9"/>
  <c r="R70" i="20"/>
  <c r="S67" i="20" s="1"/>
  <c r="S70" i="20" s="1"/>
  <c r="T67" i="20" s="1"/>
  <c r="T70" i="20" s="1"/>
  <c r="U67" i="20" s="1"/>
  <c r="U70" i="20" s="1"/>
  <c r="V67" i="20" s="1"/>
  <c r="V70" i="20" s="1"/>
  <c r="P29" i="11"/>
  <c r="Q22" i="11"/>
  <c r="AN7" i="12"/>
  <c r="R5" i="13"/>
  <c r="Q16" i="13"/>
  <c r="Q23" i="13"/>
  <c r="AO8" i="13" s="1"/>
  <c r="Q105" i="20"/>
  <c r="R103" i="20" s="1"/>
  <c r="R105" i="20" s="1"/>
  <c r="S103" i="20" s="1"/>
  <c r="S105" i="20" s="1"/>
  <c r="T103" i="20" s="1"/>
  <c r="T105" i="20" s="1"/>
  <c r="U103" i="20" s="1"/>
  <c r="U105" i="20" s="1"/>
  <c r="V103" i="20" s="1"/>
  <c r="V105" i="20" s="1"/>
  <c r="Q16" i="14"/>
  <c r="R5" i="14"/>
  <c r="Q23" i="14"/>
  <c r="N24" i="10"/>
  <c r="M25" i="4"/>
  <c r="AK6" i="4" s="1"/>
  <c r="D40" i="10"/>
  <c r="I36" i="20"/>
  <c r="I38" i="20" s="1"/>
  <c r="G77" i="12"/>
  <c r="M19" i="10"/>
  <c r="L30" i="4"/>
  <c r="W92" i="9" l="1"/>
  <c r="X14" i="8" s="1"/>
  <c r="B99" i="11"/>
  <c r="C95" i="11" s="1"/>
  <c r="C99" i="11" s="1"/>
  <c r="D95" i="11" s="1"/>
  <c r="B102" i="12"/>
  <c r="C98" i="12" s="1"/>
  <c r="C102" i="12" s="1"/>
  <c r="D98" i="12" s="1"/>
  <c r="B102" i="9"/>
  <c r="C98" i="9" s="1"/>
  <c r="C102" i="9" s="1"/>
  <c r="D98" i="9" s="1"/>
  <c r="B96" i="14"/>
  <c r="C92" i="14" s="1"/>
  <c r="C96" i="14" s="1"/>
  <c r="D92" i="14" s="1"/>
  <c r="B62" i="2"/>
  <c r="N36" i="9"/>
  <c r="N55" i="9"/>
  <c r="M30" i="4"/>
  <c r="D77" i="13"/>
  <c r="D79" i="13" s="1"/>
  <c r="D86" i="13" s="1"/>
  <c r="D42" i="13"/>
  <c r="D43" i="13" s="1"/>
  <c r="D91" i="13"/>
  <c r="R22" i="14"/>
  <c r="N32" i="14"/>
  <c r="B62" i="12"/>
  <c r="N55" i="12"/>
  <c r="N36" i="12"/>
  <c r="D85" i="22"/>
  <c r="E48" i="2" s="1"/>
  <c r="D84" i="22"/>
  <c r="D48" i="2" s="1"/>
  <c r="P24" i="14"/>
  <c r="O29" i="14"/>
  <c r="O18" i="14"/>
  <c r="O19" i="14" s="1"/>
  <c r="O32" i="14" s="1"/>
  <c r="AM8" i="14"/>
  <c r="AM9" i="14" s="1"/>
  <c r="AO7" i="14"/>
  <c r="P16" i="10"/>
  <c r="P23" i="10"/>
  <c r="D60" i="10"/>
  <c r="AO7" i="13"/>
  <c r="AO9" i="13" s="1"/>
  <c r="Q18" i="13"/>
  <c r="Q19" i="13"/>
  <c r="P32" i="13"/>
  <c r="P82" i="13"/>
  <c r="P84" i="13" s="1"/>
  <c r="S5" i="13"/>
  <c r="R23" i="13"/>
  <c r="AP8" i="13" s="1"/>
  <c r="R16" i="13"/>
  <c r="R23" i="12"/>
  <c r="R16" i="12"/>
  <c r="S5" i="12"/>
  <c r="J36" i="20"/>
  <c r="J38" i="20" s="1"/>
  <c r="H77" i="12"/>
  <c r="AL5" i="4"/>
  <c r="C22" i="8"/>
  <c r="C24" i="8"/>
  <c r="Q23" i="9"/>
  <c r="AO8" i="9" s="1"/>
  <c r="Q5" i="10"/>
  <c r="R5" i="9"/>
  <c r="Q16" i="9"/>
  <c r="AM7" i="10"/>
  <c r="O17" i="4"/>
  <c r="Q111" i="20"/>
  <c r="B103" i="13"/>
  <c r="C99" i="13" s="1"/>
  <c r="C103" i="13" s="1"/>
  <c r="D99" i="13" s="1"/>
  <c r="B62" i="11"/>
  <c r="D60" i="9"/>
  <c r="S22" i="13"/>
  <c r="R29" i="13"/>
  <c r="O36" i="13"/>
  <c r="O55" i="13"/>
  <c r="O29" i="9"/>
  <c r="P22" i="9"/>
  <c r="AO7" i="12"/>
  <c r="O24" i="10"/>
  <c r="N25" i="4"/>
  <c r="AL6" i="4" s="1"/>
  <c r="M36" i="14"/>
  <c r="M55" i="14"/>
  <c r="O22" i="10"/>
  <c r="N29" i="10"/>
  <c r="N23" i="4"/>
  <c r="D60" i="12"/>
  <c r="R16" i="11"/>
  <c r="S5" i="11"/>
  <c r="R23" i="11"/>
  <c r="AP8" i="11" s="1"/>
  <c r="R23" i="14"/>
  <c r="R16" i="14"/>
  <c r="S5" i="14"/>
  <c r="AL8" i="10"/>
  <c r="AL9" i="10" s="1"/>
  <c r="B62" i="9"/>
  <c r="O18" i="9"/>
  <c r="O19" i="9" s="1"/>
  <c r="H77" i="9"/>
  <c r="J12" i="20"/>
  <c r="J14" i="20" s="1"/>
  <c r="AO7" i="11"/>
  <c r="AO9" i="11" s="1"/>
  <c r="Q18" i="11"/>
  <c r="Q19" i="11"/>
  <c r="Q32" i="11" s="1"/>
  <c r="R22" i="11"/>
  <c r="Q29" i="11"/>
  <c r="M32" i="10"/>
  <c r="R109" i="20"/>
  <c r="R111" i="20" s="1"/>
  <c r="Q14" i="8"/>
  <c r="W14" i="8" s="1"/>
  <c r="G14" i="22"/>
  <c r="G17" i="22" s="1"/>
  <c r="G13" i="22"/>
  <c r="AN7" i="9"/>
  <c r="AN9" i="9" s="1"/>
  <c r="P18" i="9"/>
  <c r="P19" i="9" s="1"/>
  <c r="O24" i="4"/>
  <c r="R22" i="12"/>
  <c r="B96" i="10"/>
  <c r="B98" i="10"/>
  <c r="B101" i="10"/>
  <c r="B107" i="13"/>
  <c r="P26" i="10"/>
  <c r="O27" i="4"/>
  <c r="P24" i="12"/>
  <c r="AM8" i="12"/>
  <c r="AM9" i="12" s="1"/>
  <c r="O18" i="12"/>
  <c r="O19" i="12" s="1"/>
  <c r="O32" i="12" s="1"/>
  <c r="O29" i="12"/>
  <c r="D42" i="14"/>
  <c r="D43" i="14" s="1"/>
  <c r="D84" i="14"/>
  <c r="Q29" i="13"/>
  <c r="L33" i="4"/>
  <c r="L10" i="5"/>
  <c r="K8" i="22"/>
  <c r="K37" i="4"/>
  <c r="O25" i="10"/>
  <c r="N26" i="4"/>
  <c r="D60" i="11"/>
  <c r="M33" i="4"/>
  <c r="D90" i="9"/>
  <c r="D42" i="9"/>
  <c r="D42" i="11"/>
  <c r="D87" i="11"/>
  <c r="N18" i="10"/>
  <c r="D60" i="14"/>
  <c r="D42" i="12"/>
  <c r="D90" i="12"/>
  <c r="G40" i="22"/>
  <c r="G41" i="22"/>
  <c r="G44" i="22" s="1"/>
  <c r="D42" i="10"/>
  <c r="D43" i="10" s="1"/>
  <c r="D45" i="10" s="1"/>
  <c r="D87" i="10"/>
  <c r="P36" i="11"/>
  <c r="P55" i="11"/>
  <c r="L36" i="10"/>
  <c r="L55" i="10"/>
  <c r="B62" i="14"/>
  <c r="D63" i="2"/>
  <c r="D60" i="13"/>
  <c r="E60" i="22"/>
  <c r="E61" i="22"/>
  <c r="E64" i="22" s="1"/>
  <c r="Y14" i="8" l="1"/>
  <c r="O36" i="12"/>
  <c r="O55" i="12"/>
  <c r="R29" i="11"/>
  <c r="S22" i="11"/>
  <c r="Q82" i="13"/>
  <c r="Q84" i="13" s="1"/>
  <c r="Q32" i="13"/>
  <c r="Q36" i="11"/>
  <c r="Q55" i="11"/>
  <c r="AM5" i="4"/>
  <c r="P24" i="10"/>
  <c r="O25" i="4"/>
  <c r="AM6" i="4" s="1"/>
  <c r="AN8" i="10"/>
  <c r="P24" i="4"/>
  <c r="G20" i="22"/>
  <c r="G21" i="22"/>
  <c r="G24" i="22" s="1"/>
  <c r="AP7" i="13"/>
  <c r="AP9" i="13" s="1"/>
  <c r="R18" i="13"/>
  <c r="R19" i="13" s="1"/>
  <c r="O36" i="14"/>
  <c r="O55" i="14"/>
  <c r="D94" i="13"/>
  <c r="N19" i="4"/>
  <c r="N20" i="4" s="1"/>
  <c r="N19" i="10"/>
  <c r="N32" i="10" s="1"/>
  <c r="P25" i="10"/>
  <c r="O26" i="4"/>
  <c r="L8" i="22"/>
  <c r="M10" i="5"/>
  <c r="L37" i="4"/>
  <c r="D87" i="14"/>
  <c r="Q26" i="10"/>
  <c r="P27" i="4"/>
  <c r="I77" i="9"/>
  <c r="K12" i="20"/>
  <c r="K14" i="20" s="1"/>
  <c r="AP7" i="14"/>
  <c r="R23" i="9"/>
  <c r="AP8" i="9" s="1"/>
  <c r="S5" i="9"/>
  <c r="R16" i="9"/>
  <c r="R5" i="10"/>
  <c r="D43" i="4"/>
  <c r="M8" i="22"/>
  <c r="N10" i="5"/>
  <c r="M37" i="4"/>
  <c r="B62" i="10"/>
  <c r="B8" i="8"/>
  <c r="E68" i="22"/>
  <c r="E67" i="22"/>
  <c r="E76" i="22" s="1"/>
  <c r="Q24" i="12"/>
  <c r="P29" i="12"/>
  <c r="AN8" i="12"/>
  <c r="AN9" i="12" s="1"/>
  <c r="P18" i="12"/>
  <c r="P19" i="12" s="1"/>
  <c r="S22" i="12"/>
  <c r="S16" i="14"/>
  <c r="S23" i="14"/>
  <c r="T5" i="14"/>
  <c r="D93" i="9"/>
  <c r="D45" i="14"/>
  <c r="O29" i="10"/>
  <c r="P22" i="10"/>
  <c r="O23" i="4"/>
  <c r="T22" i="13"/>
  <c r="S29" i="13"/>
  <c r="Q16" i="10"/>
  <c r="Q23" i="10"/>
  <c r="S16" i="13"/>
  <c r="S23" i="13"/>
  <c r="AQ8" i="13" s="1"/>
  <c r="T5" i="13"/>
  <c r="Q24" i="14"/>
  <c r="AN8" i="14"/>
  <c r="AN9" i="14" s="1"/>
  <c r="P18" i="14"/>
  <c r="P19" i="14" s="1"/>
  <c r="P32" i="14" s="1"/>
  <c r="P29" i="14"/>
  <c r="AP7" i="11"/>
  <c r="AP9" i="11" s="1"/>
  <c r="R18" i="11"/>
  <c r="R19" i="11"/>
  <c r="R32" i="11" s="1"/>
  <c r="C63" i="9"/>
  <c r="C65" i="9" s="1"/>
  <c r="C63" i="10"/>
  <c r="C65" i="10" s="1"/>
  <c r="D20" i="5"/>
  <c r="D22" i="5" s="1"/>
  <c r="C63" i="12"/>
  <c r="C65" i="12" s="1"/>
  <c r="C63" i="13"/>
  <c r="C65" i="13" s="1"/>
  <c r="C63" i="11"/>
  <c r="C65" i="11" s="1"/>
  <c r="C63" i="14"/>
  <c r="C65" i="14" s="1"/>
  <c r="B99" i="10"/>
  <c r="C95" i="10" s="1"/>
  <c r="C99" i="10" s="1"/>
  <c r="D95" i="10" s="1"/>
  <c r="N30" i="4"/>
  <c r="AN7" i="10"/>
  <c r="AN9" i="10" s="1"/>
  <c r="P17" i="4"/>
  <c r="D90" i="10"/>
  <c r="D93" i="12"/>
  <c r="D90" i="11"/>
  <c r="D43" i="9"/>
  <c r="B62" i="13"/>
  <c r="AM8" i="10"/>
  <c r="AM9" i="10" s="1"/>
  <c r="M55" i="10"/>
  <c r="M36" i="10"/>
  <c r="O32" i="9"/>
  <c r="N55" i="14"/>
  <c r="N36" i="14"/>
  <c r="D45" i="13"/>
  <c r="G47" i="22"/>
  <c r="G48" i="22"/>
  <c r="H32" i="22" s="1"/>
  <c r="S23" i="12"/>
  <c r="T5" i="12"/>
  <c r="S16" i="12"/>
  <c r="AP7" i="12"/>
  <c r="AO7" i="9"/>
  <c r="AO9" i="9" s="1"/>
  <c r="D43" i="12"/>
  <c r="D43" i="11"/>
  <c r="D44" i="4" s="1"/>
  <c r="S23" i="11"/>
  <c r="AQ8" i="11" s="1"/>
  <c r="T5" i="11"/>
  <c r="S16" i="11"/>
  <c r="P29" i="9"/>
  <c r="P32" i="9" s="1"/>
  <c r="Q22" i="9"/>
  <c r="Q18" i="9" s="1"/>
  <c r="Q19" i="9" s="1"/>
  <c r="O18" i="10"/>
  <c r="K36" i="20"/>
  <c r="K38" i="20" s="1"/>
  <c r="I77" i="12"/>
  <c r="P55" i="13"/>
  <c r="P36" i="13"/>
  <c r="S22" i="14"/>
  <c r="P36" i="9" l="1"/>
  <c r="P55" i="9"/>
  <c r="R82" i="13"/>
  <c r="R84" i="13" s="1"/>
  <c r="R32" i="13"/>
  <c r="D45" i="9"/>
  <c r="U22" i="13"/>
  <c r="T29" i="13"/>
  <c r="AQ7" i="11"/>
  <c r="AQ9" i="11" s="1"/>
  <c r="S19" i="11"/>
  <c r="S18" i="11"/>
  <c r="D93" i="10"/>
  <c r="AP7" i="9"/>
  <c r="AP9" i="9" s="1"/>
  <c r="R18" i="9"/>
  <c r="R19" i="9"/>
  <c r="Q25" i="10"/>
  <c r="P26" i="4"/>
  <c r="Q24" i="10"/>
  <c r="P25" i="4"/>
  <c r="AN6" i="4" s="1"/>
  <c r="D45" i="11"/>
  <c r="O19" i="4"/>
  <c r="O20" i="4" s="1"/>
  <c r="O33" i="4" s="1"/>
  <c r="O19" i="10"/>
  <c r="O32" i="10" s="1"/>
  <c r="T16" i="11"/>
  <c r="T23" i="11"/>
  <c r="AR8" i="11" s="1"/>
  <c r="U5" i="11"/>
  <c r="T16" i="13"/>
  <c r="U5" i="13"/>
  <c r="T23" i="13"/>
  <c r="AR8" i="13" s="1"/>
  <c r="P29" i="10"/>
  <c r="Q22" i="10"/>
  <c r="P23" i="4"/>
  <c r="P30" i="4" s="1"/>
  <c r="T23" i="14"/>
  <c r="U5" i="14"/>
  <c r="T16" i="14"/>
  <c r="S23" i="9"/>
  <c r="AQ8" i="9" s="1"/>
  <c r="S16" i="9"/>
  <c r="T5" i="9"/>
  <c r="S5" i="10"/>
  <c r="R26" i="10"/>
  <c r="Q27" i="4"/>
  <c r="Q36" i="13"/>
  <c r="Q55" i="13"/>
  <c r="O36" i="9"/>
  <c r="O55" i="9"/>
  <c r="R55" i="11"/>
  <c r="R36" i="11"/>
  <c r="D46" i="4"/>
  <c r="D97" i="13"/>
  <c r="F15" i="5"/>
  <c r="E77" i="22"/>
  <c r="E73" i="22"/>
  <c r="F52" i="22"/>
  <c r="AQ7" i="12"/>
  <c r="D96" i="12"/>
  <c r="D30" i="5"/>
  <c r="D32" i="5" s="1"/>
  <c r="C64" i="2"/>
  <c r="P32" i="12"/>
  <c r="N55" i="10"/>
  <c r="N36" i="10"/>
  <c r="AN5" i="4"/>
  <c r="R24" i="12"/>
  <c r="Q18" i="12"/>
  <c r="Q19" i="12" s="1"/>
  <c r="Q32" i="12" s="1"/>
  <c r="Q29" i="12"/>
  <c r="AO8" i="12"/>
  <c r="AO9" i="12" s="1"/>
  <c r="H33" i="22"/>
  <c r="H34" i="22"/>
  <c r="H37" i="22" s="1"/>
  <c r="R24" i="14"/>
  <c r="Q18" i="14"/>
  <c r="Q19" i="14" s="1"/>
  <c r="AO8" i="14"/>
  <c r="AO9" i="14" s="1"/>
  <c r="Q29" i="14"/>
  <c r="D96" i="9"/>
  <c r="R23" i="10"/>
  <c r="R16" i="10"/>
  <c r="L36" i="20"/>
  <c r="L38" i="20" s="1"/>
  <c r="J77" i="12"/>
  <c r="D93" i="11"/>
  <c r="O30" i="4"/>
  <c r="T22" i="14"/>
  <c r="U5" i="12"/>
  <c r="T16" i="12"/>
  <c r="T23" i="12"/>
  <c r="P18" i="10"/>
  <c r="AQ7" i="13"/>
  <c r="AQ9" i="13" s="1"/>
  <c r="S18" i="13"/>
  <c r="S19" i="13"/>
  <c r="AQ7" i="14"/>
  <c r="C19" i="5"/>
  <c r="B15" i="8"/>
  <c r="D90" i="14"/>
  <c r="N33" i="4"/>
  <c r="G27" i="22"/>
  <c r="G28" i="22"/>
  <c r="H12" i="22" s="1"/>
  <c r="T22" i="11"/>
  <c r="S29" i="11"/>
  <c r="AO7" i="10"/>
  <c r="AO9" i="10" s="1"/>
  <c r="Q17" i="4"/>
  <c r="Q19" i="10"/>
  <c r="Q18" i="10"/>
  <c r="D45" i="12"/>
  <c r="J77" i="9"/>
  <c r="L12" i="20"/>
  <c r="L14" i="20" s="1"/>
  <c r="R22" i="9"/>
  <c r="Q29" i="9"/>
  <c r="Q32" i="9" s="1"/>
  <c r="P55" i="14"/>
  <c r="P36" i="14"/>
  <c r="AO8" i="10"/>
  <c r="Q24" i="4"/>
  <c r="T22" i="12"/>
  <c r="E91" i="22"/>
  <c r="E39" i="4" s="1"/>
  <c r="Q36" i="9" l="1"/>
  <c r="Q55" i="9"/>
  <c r="U22" i="12"/>
  <c r="Q36" i="12"/>
  <c r="Q55" i="12"/>
  <c r="U22" i="14"/>
  <c r="AR7" i="13"/>
  <c r="AR9" i="13" s="1"/>
  <c r="T18" i="13"/>
  <c r="T19" i="13" s="1"/>
  <c r="W22" i="13"/>
  <c r="E79" i="10"/>
  <c r="E80" i="9"/>
  <c r="E80" i="12"/>
  <c r="E79" i="11"/>
  <c r="S26" i="10"/>
  <c r="R27" i="4"/>
  <c r="B16" i="8"/>
  <c r="B19" i="8" s="1"/>
  <c r="AP7" i="10"/>
  <c r="R17" i="4"/>
  <c r="H41" i="22"/>
  <c r="H44" i="22" s="1"/>
  <c r="H40" i="22"/>
  <c r="D99" i="12"/>
  <c r="D101" i="12"/>
  <c r="D104" i="12"/>
  <c r="S16" i="10"/>
  <c r="S23" i="10"/>
  <c r="U23" i="11"/>
  <c r="U16" i="11"/>
  <c r="D98" i="10"/>
  <c r="D101" i="10"/>
  <c r="D96" i="10"/>
  <c r="U23" i="12"/>
  <c r="U16" i="12"/>
  <c r="U16" i="13"/>
  <c r="U23" i="13"/>
  <c r="U29" i="13" s="1"/>
  <c r="W29" i="13" s="1"/>
  <c r="AO5" i="4"/>
  <c r="M36" i="20"/>
  <c r="M38" i="20" s="1"/>
  <c r="K77" i="12"/>
  <c r="D102" i="13"/>
  <c r="D105" i="13"/>
  <c r="D100" i="13"/>
  <c r="D103" i="13" s="1"/>
  <c r="E99" i="13" s="1"/>
  <c r="F54" i="22"/>
  <c r="F57" i="22" s="1"/>
  <c r="F72" i="22"/>
  <c r="F53" i="22"/>
  <c r="U23" i="14"/>
  <c r="U16" i="14"/>
  <c r="S22" i="9"/>
  <c r="R29" i="9"/>
  <c r="S24" i="14"/>
  <c r="R18" i="14"/>
  <c r="R19" i="14" s="1"/>
  <c r="R32" i="14" s="1"/>
  <c r="R29" i="14"/>
  <c r="AP8" i="14"/>
  <c r="AP9" i="14" s="1"/>
  <c r="D62" i="2"/>
  <c r="E38" i="9"/>
  <c r="E40" i="9" s="1"/>
  <c r="E38" i="10"/>
  <c r="E40" i="10" s="1"/>
  <c r="E38" i="12"/>
  <c r="E40" i="12" s="1"/>
  <c r="E38" i="11"/>
  <c r="E40" i="11" s="1"/>
  <c r="E38" i="14"/>
  <c r="E40" i="14" s="1"/>
  <c r="E38" i="13"/>
  <c r="E40" i="13" s="1"/>
  <c r="E41" i="4"/>
  <c r="T29" i="11"/>
  <c r="U22" i="11"/>
  <c r="P19" i="4"/>
  <c r="P20" i="4" s="1"/>
  <c r="P33" i="4" s="1"/>
  <c r="P19" i="10"/>
  <c r="P32" i="10" s="1"/>
  <c r="R24" i="4"/>
  <c r="U5" i="9"/>
  <c r="T16" i="9"/>
  <c r="T23" i="9"/>
  <c r="AR8" i="9" s="1"/>
  <c r="T5" i="10"/>
  <c r="R22" i="10"/>
  <c r="Q29" i="10"/>
  <c r="Q32" i="10" s="1"/>
  <c r="Q23" i="4"/>
  <c r="R24" i="10"/>
  <c r="Q25" i="4"/>
  <c r="AO6" i="4" s="1"/>
  <c r="O10" i="5"/>
  <c r="N8" i="22"/>
  <c r="N37" i="4"/>
  <c r="R32" i="9"/>
  <c r="K77" i="9"/>
  <c r="M12" i="20"/>
  <c r="M14" i="20" s="1"/>
  <c r="H14" i="22"/>
  <c r="H17" i="22" s="1"/>
  <c r="H13" i="22"/>
  <c r="E58" i="9"/>
  <c r="E58" i="10"/>
  <c r="E79" i="22"/>
  <c r="E58" i="12"/>
  <c r="E58" i="11"/>
  <c r="E58" i="14"/>
  <c r="E58" i="13"/>
  <c r="AQ7" i="9"/>
  <c r="AQ9" i="9" s="1"/>
  <c r="AR7" i="11"/>
  <c r="AR9" i="11" s="1"/>
  <c r="T18" i="11"/>
  <c r="T19" i="11"/>
  <c r="T32" i="11" s="1"/>
  <c r="P10" i="5"/>
  <c r="O8" i="22"/>
  <c r="O37" i="4"/>
  <c r="S32" i="13"/>
  <c r="S82" i="13"/>
  <c r="S84" i="13" s="1"/>
  <c r="S24" i="12"/>
  <c r="R29" i="12"/>
  <c r="AP8" i="12"/>
  <c r="AP9" i="12" s="1"/>
  <c r="R18" i="12"/>
  <c r="R19" i="12" s="1"/>
  <c r="AR7" i="14"/>
  <c r="R36" i="13"/>
  <c r="R55" i="13"/>
  <c r="D95" i="14"/>
  <c r="D98" i="14"/>
  <c r="D93" i="14"/>
  <c r="Q32" i="14"/>
  <c r="Q19" i="4"/>
  <c r="Q20" i="4" s="1"/>
  <c r="AR7" i="12"/>
  <c r="D98" i="11"/>
  <c r="D101" i="11"/>
  <c r="D96" i="11"/>
  <c r="D99" i="11" s="1"/>
  <c r="E95" i="11" s="1"/>
  <c r="D99" i="9"/>
  <c r="D104" i="9"/>
  <c r="D101" i="9"/>
  <c r="P55" i="12"/>
  <c r="P36" i="12"/>
  <c r="F17" i="5"/>
  <c r="O36" i="10"/>
  <c r="O55" i="10"/>
  <c r="R25" i="10"/>
  <c r="Q26" i="4"/>
  <c r="S32" i="11"/>
  <c r="D99" i="10" l="1"/>
  <c r="E95" i="10" s="1"/>
  <c r="D96" i="14"/>
  <c r="E92" i="14" s="1"/>
  <c r="T82" i="13"/>
  <c r="T84" i="13" s="1"/>
  <c r="T32" i="13"/>
  <c r="Q55" i="10"/>
  <c r="Q36" i="10"/>
  <c r="Q33" i="4"/>
  <c r="E60" i="9"/>
  <c r="U29" i="11"/>
  <c r="W29" i="11" s="1"/>
  <c r="W22" i="11"/>
  <c r="D102" i="9"/>
  <c r="E98" i="9" s="1"/>
  <c r="E60" i="13"/>
  <c r="S24" i="10"/>
  <c r="R25" i="4"/>
  <c r="AP6" i="4" s="1"/>
  <c r="E42" i="10"/>
  <c r="E43" i="10" s="1"/>
  <c r="E87" i="10"/>
  <c r="B21" i="8"/>
  <c r="B24" i="8"/>
  <c r="B22" i="8"/>
  <c r="AS7" i="12"/>
  <c r="W16" i="12"/>
  <c r="E60" i="11"/>
  <c r="H21" i="22"/>
  <c r="H24" i="22" s="1"/>
  <c r="H20" i="22"/>
  <c r="AS7" i="14"/>
  <c r="W16" i="14"/>
  <c r="W23" i="12"/>
  <c r="AS7" i="11"/>
  <c r="U18" i="11"/>
  <c r="W18" i="11" s="1"/>
  <c r="W16" i="11"/>
  <c r="AR7" i="9"/>
  <c r="AR9" i="9" s="1"/>
  <c r="T18" i="9"/>
  <c r="T19" i="9" s="1"/>
  <c r="AP5" i="4"/>
  <c r="D62" i="10"/>
  <c r="D8" i="8"/>
  <c r="E60" i="14"/>
  <c r="S29" i="9"/>
  <c r="T22" i="9"/>
  <c r="E63" i="2"/>
  <c r="S18" i="9"/>
  <c r="S19" i="9" s="1"/>
  <c r="S32" i="9" s="1"/>
  <c r="E12" i="8"/>
  <c r="AS8" i="11"/>
  <c r="W23" i="11"/>
  <c r="H48" i="22"/>
  <c r="I32" i="22" s="1"/>
  <c r="H47" i="22"/>
  <c r="W22" i="12"/>
  <c r="E42" i="11"/>
  <c r="E87" i="11"/>
  <c r="W22" i="14"/>
  <c r="D62" i="9"/>
  <c r="T24" i="12"/>
  <c r="S18" i="12"/>
  <c r="S19" i="12" s="1"/>
  <c r="AQ8" i="12"/>
  <c r="AQ9" i="12" s="1"/>
  <c r="S29" i="12"/>
  <c r="U16" i="9"/>
  <c r="U23" i="9"/>
  <c r="U5" i="10"/>
  <c r="T24" i="14"/>
  <c r="S18" i="14"/>
  <c r="S19" i="14" s="1"/>
  <c r="AQ8" i="14"/>
  <c r="AQ9" i="14" s="1"/>
  <c r="S29" i="14"/>
  <c r="T55" i="11"/>
  <c r="T36" i="11"/>
  <c r="E42" i="9"/>
  <c r="E90" i="9"/>
  <c r="D107" i="13"/>
  <c r="D102" i="12"/>
  <c r="E98" i="12" s="1"/>
  <c r="D62" i="11"/>
  <c r="S55" i="11"/>
  <c r="S36" i="11"/>
  <c r="D62" i="14"/>
  <c r="E60" i="12"/>
  <c r="L77" i="9"/>
  <c r="N12" i="20"/>
  <c r="N14" i="20" s="1"/>
  <c r="R29" i="10"/>
  <c r="S22" i="10"/>
  <c r="R23" i="4"/>
  <c r="AP8" i="10"/>
  <c r="AP9" i="10" s="1"/>
  <c r="W23" i="14"/>
  <c r="R32" i="12"/>
  <c r="T16" i="10"/>
  <c r="T23" i="10"/>
  <c r="P55" i="10"/>
  <c r="P36" i="10"/>
  <c r="E42" i="13"/>
  <c r="E43" i="13" s="1"/>
  <c r="E91" i="13"/>
  <c r="E77" i="13"/>
  <c r="E79" i="13" s="1"/>
  <c r="E86" i="13" s="1"/>
  <c r="L77" i="12"/>
  <c r="N36" i="20"/>
  <c r="N38" i="20" s="1"/>
  <c r="AQ8" i="10"/>
  <c r="S24" i="4"/>
  <c r="R18" i="10"/>
  <c r="T26" i="10"/>
  <c r="S27" i="4"/>
  <c r="R36" i="14"/>
  <c r="R55" i="14"/>
  <c r="F61" i="22"/>
  <c r="F64" i="22" s="1"/>
  <c r="F60" i="22"/>
  <c r="E42" i="12"/>
  <c r="E43" i="12" s="1"/>
  <c r="E90" i="12"/>
  <c r="AS8" i="13"/>
  <c r="W23" i="13"/>
  <c r="D62" i="12"/>
  <c r="R36" i="9"/>
  <c r="R55" i="9"/>
  <c r="AS7" i="13"/>
  <c r="U18" i="13"/>
  <c r="W18" i="13" s="1"/>
  <c r="U19" i="13"/>
  <c r="W16" i="13"/>
  <c r="Q36" i="14"/>
  <c r="Q55" i="14"/>
  <c r="S55" i="13"/>
  <c r="S36" i="13"/>
  <c r="Q30" i="4"/>
  <c r="S25" i="10"/>
  <c r="R26" i="4"/>
  <c r="E60" i="10"/>
  <c r="P8" i="22"/>
  <c r="Q10" i="5"/>
  <c r="P37" i="4"/>
  <c r="E84" i="14"/>
  <c r="E42" i="14"/>
  <c r="E43" i="14" s="1"/>
  <c r="AQ7" i="10"/>
  <c r="S17" i="4"/>
  <c r="E45" i="10" l="1"/>
  <c r="E93" i="12"/>
  <c r="AS8" i="9"/>
  <c r="W23" i="9"/>
  <c r="O36" i="20"/>
  <c r="O38" i="20" s="1"/>
  <c r="M77" i="12"/>
  <c r="B63" i="9"/>
  <c r="C20" i="5"/>
  <c r="B63" i="10"/>
  <c r="B63" i="12"/>
  <c r="B63" i="11"/>
  <c r="B63" i="13"/>
  <c r="B63" i="14"/>
  <c r="S55" i="9"/>
  <c r="S36" i="9"/>
  <c r="AQ5" i="4"/>
  <c r="E43" i="9"/>
  <c r="E44" i="4" s="1"/>
  <c r="S32" i="12"/>
  <c r="C21" i="8"/>
  <c r="E19" i="5"/>
  <c r="D15" i="8"/>
  <c r="R10" i="5"/>
  <c r="Q8" i="22"/>
  <c r="Q37" i="4"/>
  <c r="U26" i="10"/>
  <c r="T27" i="4"/>
  <c r="AR8" i="10"/>
  <c r="T24" i="4"/>
  <c r="S32" i="14"/>
  <c r="U24" i="12"/>
  <c r="T18" i="12"/>
  <c r="T19" i="12" s="1"/>
  <c r="AR8" i="12"/>
  <c r="AR9" i="12" s="1"/>
  <c r="T29" i="12"/>
  <c r="U22" i="9"/>
  <c r="U18" i="9" s="1"/>
  <c r="T29" i="9"/>
  <c r="T32" i="9" s="1"/>
  <c r="U19" i="11"/>
  <c r="E90" i="10"/>
  <c r="AS7" i="9"/>
  <c r="W16" i="9"/>
  <c r="T24" i="10"/>
  <c r="S25" i="4"/>
  <c r="AQ6" i="4" s="1"/>
  <c r="R36" i="12"/>
  <c r="R55" i="12"/>
  <c r="E93" i="9"/>
  <c r="U32" i="13"/>
  <c r="U82" i="13"/>
  <c r="U84" i="13" s="1"/>
  <c r="W19" i="13"/>
  <c r="AQ9" i="10"/>
  <c r="AS9" i="13"/>
  <c r="Y7" i="13"/>
  <c r="F68" i="22"/>
  <c r="F67" i="22"/>
  <c r="R19" i="4"/>
  <c r="R20" i="4" s="1"/>
  <c r="R19" i="10"/>
  <c r="R32" i="10" s="1"/>
  <c r="AR7" i="10"/>
  <c r="AR9" i="10" s="1"/>
  <c r="T17" i="4"/>
  <c r="U24" i="14"/>
  <c r="AR8" i="14"/>
  <c r="AR9" i="14" s="1"/>
  <c r="T29" i="14"/>
  <c r="T18" i="14"/>
  <c r="T19" i="14" s="1"/>
  <c r="T32" i="14" s="1"/>
  <c r="E43" i="11"/>
  <c r="E45" i="11" s="1"/>
  <c r="AS9" i="11"/>
  <c r="Y7" i="11"/>
  <c r="T36" i="13"/>
  <c r="T55" i="13"/>
  <c r="E94" i="13"/>
  <c r="S29" i="10"/>
  <c r="T22" i="10"/>
  <c r="S23" i="4"/>
  <c r="S30" i="4" s="1"/>
  <c r="E87" i="14"/>
  <c r="E43" i="4"/>
  <c r="M77" i="9"/>
  <c r="O12" i="20"/>
  <c r="O14" i="20" s="1"/>
  <c r="I33" i="22"/>
  <c r="I34" i="22"/>
  <c r="I37" i="22" s="1"/>
  <c r="S18" i="10"/>
  <c r="E90" i="11"/>
  <c r="T25" i="10"/>
  <c r="S26" i="4"/>
  <c r="E45" i="14"/>
  <c r="E45" i="12"/>
  <c r="E45" i="13"/>
  <c r="R30" i="4"/>
  <c r="D62" i="13"/>
  <c r="U23" i="10"/>
  <c r="U16" i="10"/>
  <c r="H28" i="22"/>
  <c r="I12" i="22" s="1"/>
  <c r="H27" i="22"/>
  <c r="T36" i="9" l="1"/>
  <c r="T55" i="9"/>
  <c r="W18" i="9"/>
  <c r="U19" i="9"/>
  <c r="AR6" i="4"/>
  <c r="E46" i="4"/>
  <c r="W24" i="14"/>
  <c r="U18" i="14"/>
  <c r="AS8" i="14"/>
  <c r="AS9" i="14" s="1"/>
  <c r="U29" i="14"/>
  <c r="W29" i="14" s="1"/>
  <c r="AS7" i="10"/>
  <c r="U17" i="4"/>
  <c r="W16" i="10"/>
  <c r="X17" i="4" s="1"/>
  <c r="N77" i="9"/>
  <c r="P12" i="20"/>
  <c r="P14" i="20" s="1"/>
  <c r="E97" i="13"/>
  <c r="F91" i="22"/>
  <c r="F39" i="4" s="1"/>
  <c r="F76" i="22"/>
  <c r="U55" i="13"/>
  <c r="U36" i="13"/>
  <c r="W32" i="13"/>
  <c r="E93" i="10"/>
  <c r="W24" i="12"/>
  <c r="AS8" i="12"/>
  <c r="AS9" i="12" s="1"/>
  <c r="U29" i="12"/>
  <c r="W29" i="12" s="1"/>
  <c r="U18" i="12"/>
  <c r="U27" i="4"/>
  <c r="W27" i="4" s="1"/>
  <c r="Y27" i="4" s="1"/>
  <c r="W26" i="10"/>
  <c r="X27" i="4" s="1"/>
  <c r="P36" i="20"/>
  <c r="P38" i="20" s="1"/>
  <c r="N77" i="12"/>
  <c r="B65" i="14"/>
  <c r="U24" i="10"/>
  <c r="T25" i="4"/>
  <c r="AS8" i="10"/>
  <c r="U24" i="4"/>
  <c r="W23" i="10"/>
  <c r="X24" i="4" s="1"/>
  <c r="E90" i="14"/>
  <c r="G52" i="22"/>
  <c r="F73" i="22"/>
  <c r="U32" i="11"/>
  <c r="W19" i="11"/>
  <c r="S36" i="14"/>
  <c r="S55" i="14"/>
  <c r="B65" i="11"/>
  <c r="T55" i="14"/>
  <c r="T36" i="14"/>
  <c r="C22" i="5"/>
  <c r="U22" i="10"/>
  <c r="U18" i="10" s="1"/>
  <c r="T23" i="4"/>
  <c r="T29" i="10"/>
  <c r="D16" i="8"/>
  <c r="D19" i="8" s="1"/>
  <c r="B65" i="9"/>
  <c r="U25" i="10"/>
  <c r="T26" i="4"/>
  <c r="R36" i="10"/>
  <c r="R55" i="10"/>
  <c r="T32" i="12"/>
  <c r="B65" i="13"/>
  <c r="T18" i="10"/>
  <c r="E93" i="11"/>
  <c r="E45" i="9"/>
  <c r="B65" i="12"/>
  <c r="E96" i="12"/>
  <c r="S19" i="4"/>
  <c r="S20" i="4" s="1"/>
  <c r="S33" i="4" s="1"/>
  <c r="S19" i="10"/>
  <c r="S32" i="10" s="1"/>
  <c r="S55" i="12"/>
  <c r="S36" i="12"/>
  <c r="I13" i="22"/>
  <c r="I14" i="22"/>
  <c r="I17" i="22" s="1"/>
  <c r="I40" i="22"/>
  <c r="I41" i="22"/>
  <c r="I44" i="22" s="1"/>
  <c r="R33" i="4"/>
  <c r="AR5" i="4"/>
  <c r="E96" i="9"/>
  <c r="AS9" i="9"/>
  <c r="Y7" i="9"/>
  <c r="U29" i="9"/>
  <c r="W29" i="9" s="1"/>
  <c r="W22" i="9"/>
  <c r="B65" i="10"/>
  <c r="U19" i="4" l="1"/>
  <c r="W18" i="10"/>
  <c r="U19" i="10"/>
  <c r="I20" i="22"/>
  <c r="I21" i="22"/>
  <c r="I24" i="22" s="1"/>
  <c r="B79" i="9"/>
  <c r="E96" i="10"/>
  <c r="E98" i="10"/>
  <c r="E101" i="10" s="1"/>
  <c r="S10" i="5"/>
  <c r="R8" i="22"/>
  <c r="R37" i="4"/>
  <c r="S55" i="10"/>
  <c r="S36" i="10"/>
  <c r="T19" i="4"/>
  <c r="T20" i="4" s="1"/>
  <c r="T33" i="4" s="1"/>
  <c r="T19" i="10"/>
  <c r="T32" i="10" s="1"/>
  <c r="B78" i="11"/>
  <c r="U36" i="11"/>
  <c r="U55" i="11"/>
  <c r="W32" i="11"/>
  <c r="W18" i="14"/>
  <c r="U19" i="14"/>
  <c r="U32" i="9"/>
  <c r="W19" i="9"/>
  <c r="AS5" i="4"/>
  <c r="U20" i="4"/>
  <c r="W17" i="4"/>
  <c r="Y17" i="4" s="1"/>
  <c r="T36" i="12"/>
  <c r="T55" i="12"/>
  <c r="W24" i="4"/>
  <c r="Y24" i="4" s="1"/>
  <c r="Y7" i="12"/>
  <c r="D22" i="8"/>
  <c r="D24" i="8"/>
  <c r="D21" i="8"/>
  <c r="O77" i="9"/>
  <c r="Q12" i="20"/>
  <c r="Q14" i="20" s="1"/>
  <c r="F80" i="9"/>
  <c r="F79" i="10"/>
  <c r="F80" i="12"/>
  <c r="F79" i="11"/>
  <c r="U25" i="4"/>
  <c r="W25" i="4" s="1"/>
  <c r="W24" i="10"/>
  <c r="X25" i="4" s="1"/>
  <c r="W36" i="13"/>
  <c r="F38" i="9"/>
  <c r="F40" i="9" s="1"/>
  <c r="F38" i="10"/>
  <c r="F40" i="10" s="1"/>
  <c r="F38" i="12"/>
  <c r="F40" i="12" s="1"/>
  <c r="F38" i="11"/>
  <c r="F40" i="11" s="1"/>
  <c r="F38" i="13"/>
  <c r="F40" i="13" s="1"/>
  <c r="F38" i="14"/>
  <c r="F40" i="14" s="1"/>
  <c r="F41" i="4"/>
  <c r="C30" i="5"/>
  <c r="C32" i="5" s="1"/>
  <c r="B64" i="2"/>
  <c r="Q36" i="20"/>
  <c r="Q38" i="20" s="1"/>
  <c r="O77" i="12"/>
  <c r="T10" i="5"/>
  <c r="S8" i="22"/>
  <c r="S37" i="4"/>
  <c r="B78" i="10"/>
  <c r="E101" i="9"/>
  <c r="E104" i="9" s="1"/>
  <c r="E99" i="9"/>
  <c r="I48" i="22"/>
  <c r="J32" i="22" s="1"/>
  <c r="I47" i="22"/>
  <c r="T30" i="4"/>
  <c r="Y7" i="14"/>
  <c r="G72" i="22"/>
  <c r="G53" i="22"/>
  <c r="G54" i="22"/>
  <c r="G57" i="22" s="1"/>
  <c r="W18" i="12"/>
  <c r="U19" i="12"/>
  <c r="W55" i="13"/>
  <c r="E95" i="14"/>
  <c r="E98" i="14" s="1"/>
  <c r="E93" i="14"/>
  <c r="E96" i="14" s="1"/>
  <c r="F92" i="14" s="1"/>
  <c r="AS9" i="10"/>
  <c r="Y7" i="10"/>
  <c r="E102" i="13"/>
  <c r="E105" i="13" s="1"/>
  <c r="E100" i="13"/>
  <c r="E98" i="11"/>
  <c r="E101" i="11"/>
  <c r="E96" i="11"/>
  <c r="E99" i="11" s="1"/>
  <c r="F95" i="11" s="1"/>
  <c r="E104" i="12"/>
  <c r="E99" i="12"/>
  <c r="E101" i="12"/>
  <c r="B79" i="12"/>
  <c r="U26" i="4"/>
  <c r="W26" i="4" s="1"/>
  <c r="W25" i="10"/>
  <c r="X26" i="4" s="1"/>
  <c r="U29" i="10"/>
  <c r="W29" i="10" s="1"/>
  <c r="X30" i="4" s="1"/>
  <c r="U23" i="4"/>
  <c r="W22" i="10"/>
  <c r="X23" i="4" s="1"/>
  <c r="G15" i="5"/>
  <c r="G17" i="5" s="1"/>
  <c r="F77" i="22"/>
  <c r="E62" i="2"/>
  <c r="E103" i="13" l="1"/>
  <c r="F99" i="13" s="1"/>
  <c r="E102" i="9"/>
  <c r="F98" i="9" s="1"/>
  <c r="E99" i="10"/>
  <c r="F95" i="10" s="1"/>
  <c r="E62" i="14"/>
  <c r="E62" i="10"/>
  <c r="E107" i="13"/>
  <c r="E8" i="8" s="1"/>
  <c r="T8" i="22"/>
  <c r="U10" i="5"/>
  <c r="T37" i="4"/>
  <c r="G60" i="22"/>
  <c r="G61" i="22"/>
  <c r="G64" i="22" s="1"/>
  <c r="R36" i="20"/>
  <c r="R38" i="20" s="1"/>
  <c r="P77" i="12"/>
  <c r="Y26" i="4"/>
  <c r="E62" i="11"/>
  <c r="F42" i="11"/>
  <c r="F43" i="11" s="1"/>
  <c r="F87" i="11"/>
  <c r="D63" i="9"/>
  <c r="D63" i="10"/>
  <c r="E20" i="5"/>
  <c r="D63" i="12"/>
  <c r="D63" i="11"/>
  <c r="D63" i="14"/>
  <c r="D63" i="13"/>
  <c r="W55" i="11"/>
  <c r="B80" i="10"/>
  <c r="C78" i="10"/>
  <c r="C80" i="10" s="1"/>
  <c r="F90" i="12"/>
  <c r="F42" i="12"/>
  <c r="F43" i="12" s="1"/>
  <c r="U33" i="4"/>
  <c r="W20" i="4"/>
  <c r="W36" i="11"/>
  <c r="I27" i="22"/>
  <c r="I28" i="22"/>
  <c r="J12" i="22" s="1"/>
  <c r="Y25" i="4"/>
  <c r="F58" i="9"/>
  <c r="F60" i="9" s="1"/>
  <c r="F58" i="10"/>
  <c r="F60" i="10" s="1"/>
  <c r="F79" i="22"/>
  <c r="F58" i="12"/>
  <c r="F60" i="12" s="1"/>
  <c r="F58" i="11"/>
  <c r="F60" i="11" s="1"/>
  <c r="F58" i="13"/>
  <c r="F60" i="13" s="1"/>
  <c r="F58" i="14"/>
  <c r="F60" i="14" s="1"/>
  <c r="B80" i="11"/>
  <c r="C78" i="11"/>
  <c r="C80" i="11" s="1"/>
  <c r="F63" i="2"/>
  <c r="F42" i="9"/>
  <c r="F90" i="9"/>
  <c r="F43" i="9"/>
  <c r="U32" i="10"/>
  <c r="W19" i="10"/>
  <c r="E62" i="9"/>
  <c r="B81" i="12"/>
  <c r="C79" i="12"/>
  <c r="C81" i="12" s="1"/>
  <c r="C83" i="12" s="1"/>
  <c r="U32" i="12"/>
  <c r="W19" i="12"/>
  <c r="AS6" i="4"/>
  <c r="Y5" i="4" s="1"/>
  <c r="U55" i="9"/>
  <c r="U36" i="9"/>
  <c r="W32" i="9"/>
  <c r="X19" i="4"/>
  <c r="E62" i="12"/>
  <c r="F84" i="14"/>
  <c r="F42" i="14"/>
  <c r="F42" i="13"/>
  <c r="F43" i="13" s="1"/>
  <c r="F91" i="13"/>
  <c r="F77" i="13"/>
  <c r="F79" i="13" s="1"/>
  <c r="F86" i="13" s="1"/>
  <c r="B81" i="9"/>
  <c r="C79" i="9"/>
  <c r="C81" i="9" s="1"/>
  <c r="C83" i="9" s="1"/>
  <c r="F87" i="10"/>
  <c r="F42" i="10"/>
  <c r="U30" i="4"/>
  <c r="W30" i="4" s="1"/>
  <c r="Y30" i="4" s="1"/>
  <c r="W23" i="4"/>
  <c r="Y23" i="4" s="1"/>
  <c r="E102" i="12"/>
  <c r="F98" i="12" s="1"/>
  <c r="J34" i="22"/>
  <c r="J37" i="22" s="1"/>
  <c r="J33" i="22"/>
  <c r="F12" i="8"/>
  <c r="P77" i="9"/>
  <c r="R12" i="20"/>
  <c r="R14" i="20" s="1"/>
  <c r="U32" i="14"/>
  <c r="W19" i="14"/>
  <c r="T36" i="10"/>
  <c r="T55" i="10"/>
  <c r="W19" i="4"/>
  <c r="Y19" i="4" s="1"/>
  <c r="F45" i="9" l="1"/>
  <c r="F19" i="5"/>
  <c r="E15" i="8"/>
  <c r="W55" i="9"/>
  <c r="F93" i="9"/>
  <c r="D65" i="12"/>
  <c r="U36" i="14"/>
  <c r="U55" i="14"/>
  <c r="W32" i="14"/>
  <c r="J41" i="22"/>
  <c r="J44" i="22" s="1"/>
  <c r="J40" i="22"/>
  <c r="F43" i="10"/>
  <c r="F45" i="10" s="1"/>
  <c r="F94" i="13"/>
  <c r="F87" i="14"/>
  <c r="U8" i="22"/>
  <c r="V10" i="5"/>
  <c r="U37" i="4"/>
  <c r="W33" i="4"/>
  <c r="E22" i="5"/>
  <c r="G67" i="22"/>
  <c r="G68" i="22"/>
  <c r="Q77" i="9"/>
  <c r="S12" i="20"/>
  <c r="S14" i="20" s="1"/>
  <c r="F43" i="4"/>
  <c r="U55" i="12"/>
  <c r="U36" i="12"/>
  <c r="W32" i="12"/>
  <c r="D65" i="10"/>
  <c r="E62" i="13"/>
  <c r="F90" i="10"/>
  <c r="B83" i="9"/>
  <c r="U55" i="10"/>
  <c r="U36" i="10"/>
  <c r="W32" i="10"/>
  <c r="X33" i="4" s="1"/>
  <c r="F93" i="12"/>
  <c r="D65" i="11"/>
  <c r="S36" i="20"/>
  <c r="S38" i="20" s="1"/>
  <c r="Q77" i="12"/>
  <c r="F45" i="13"/>
  <c r="X20" i="4"/>
  <c r="Y20" i="4" s="1"/>
  <c r="J14" i="22"/>
  <c r="J17" i="22" s="1"/>
  <c r="J13" i="22"/>
  <c r="D65" i="9"/>
  <c r="B83" i="12"/>
  <c r="F45" i="12"/>
  <c r="D65" i="13"/>
  <c r="F45" i="11"/>
  <c r="F90" i="11"/>
  <c r="F43" i="14"/>
  <c r="F45" i="14" s="1"/>
  <c r="W36" i="9"/>
  <c r="D65" i="14"/>
  <c r="W55" i="12" l="1"/>
  <c r="D78" i="11"/>
  <c r="D80" i="11" s="1"/>
  <c r="E30" i="5"/>
  <c r="E32" i="5" s="1"/>
  <c r="D64" i="2"/>
  <c r="F97" i="13"/>
  <c r="D79" i="12"/>
  <c r="F93" i="11"/>
  <c r="W36" i="10"/>
  <c r="D78" i="10"/>
  <c r="D80" i="10" s="1"/>
  <c r="Y33" i="4"/>
  <c r="E16" i="8"/>
  <c r="E19" i="8" s="1"/>
  <c r="J20" i="22"/>
  <c r="J21" i="22"/>
  <c r="J24" i="22" s="1"/>
  <c r="W55" i="10"/>
  <c r="X10" i="5" s="1"/>
  <c r="W37" i="4"/>
  <c r="F93" i="10"/>
  <c r="R77" i="9"/>
  <c r="T12" i="20"/>
  <c r="T14" i="20" s="1"/>
  <c r="V31" i="5"/>
  <c r="D56" i="2" s="1"/>
  <c r="W10" i="5"/>
  <c r="J48" i="22"/>
  <c r="K32" i="22" s="1"/>
  <c r="J47" i="22"/>
  <c r="F96" i="9"/>
  <c r="D79" i="9"/>
  <c r="F96" i="12"/>
  <c r="H52" i="22"/>
  <c r="G73" i="22"/>
  <c r="W55" i="14"/>
  <c r="F44" i="4"/>
  <c r="F46" i="4" s="1"/>
  <c r="T36" i="20"/>
  <c r="T38" i="20" s="1"/>
  <c r="R77" i="12"/>
  <c r="W36" i="12"/>
  <c r="G76" i="22"/>
  <c r="G91" i="22"/>
  <c r="G39" i="4" s="1"/>
  <c r="F90" i="14"/>
  <c r="W36" i="14"/>
  <c r="F62" i="2" l="1"/>
  <c r="D81" i="12"/>
  <c r="F99" i="9"/>
  <c r="F101" i="9"/>
  <c r="F104" i="9" s="1"/>
  <c r="F93" i="14"/>
  <c r="F95" i="14"/>
  <c r="F98" i="14" s="1"/>
  <c r="F101" i="12"/>
  <c r="F104" i="12" s="1"/>
  <c r="F99" i="12"/>
  <c r="F98" i="10"/>
  <c r="F101" i="10" s="1"/>
  <c r="F96" i="10"/>
  <c r="F99" i="10" s="1"/>
  <c r="G95" i="10" s="1"/>
  <c r="F100" i="13"/>
  <c r="F102" i="13"/>
  <c r="F105" i="13"/>
  <c r="G80" i="9"/>
  <c r="G79" i="10"/>
  <c r="G80" i="12"/>
  <c r="G79" i="11"/>
  <c r="S77" i="9"/>
  <c r="U12" i="20"/>
  <c r="U14" i="20" s="1"/>
  <c r="U36" i="20"/>
  <c r="U38" i="20" s="1"/>
  <c r="S77" i="12"/>
  <c r="X37" i="4"/>
  <c r="Y37" i="4" s="1"/>
  <c r="G38" i="9"/>
  <c r="G40" i="9" s="1"/>
  <c r="G38" i="10"/>
  <c r="G40" i="10" s="1"/>
  <c r="G38" i="12"/>
  <c r="G40" i="12" s="1"/>
  <c r="G38" i="11"/>
  <c r="G40" i="11" s="1"/>
  <c r="G38" i="14"/>
  <c r="G40" i="14" s="1"/>
  <c r="G38" i="13"/>
  <c r="G40" i="13" s="1"/>
  <c r="G41" i="4"/>
  <c r="K33" i="22"/>
  <c r="K34" i="22"/>
  <c r="K37" i="22" s="1"/>
  <c r="E21" i="8"/>
  <c r="E22" i="8" s="1"/>
  <c r="E24" i="8" s="1"/>
  <c r="H15" i="5"/>
  <c r="H17" i="5" s="1"/>
  <c r="G77" i="22"/>
  <c r="F98" i="11"/>
  <c r="F101" i="11" s="1"/>
  <c r="F96" i="11"/>
  <c r="H54" i="22"/>
  <c r="H57" i="22" s="1"/>
  <c r="H72" i="22"/>
  <c r="H53" i="22"/>
  <c r="J27" i="22"/>
  <c r="J28" i="22"/>
  <c r="K12" i="22" s="1"/>
  <c r="D81" i="9"/>
  <c r="Y10" i="5"/>
  <c r="F96" i="14" l="1"/>
  <c r="G92" i="14" s="1"/>
  <c r="F102" i="12"/>
  <c r="G98" i="12" s="1"/>
  <c r="F62" i="11"/>
  <c r="E63" i="9"/>
  <c r="F20" i="5"/>
  <c r="E63" i="10"/>
  <c r="E63" i="12"/>
  <c r="E63" i="13"/>
  <c r="E63" i="14"/>
  <c r="E63" i="11"/>
  <c r="F62" i="14"/>
  <c r="G87" i="10"/>
  <c r="G42" i="10"/>
  <c r="G43" i="10" s="1"/>
  <c r="G42" i="9"/>
  <c r="G43" i="9" s="1"/>
  <c r="G45" i="9" s="1"/>
  <c r="G90" i="9"/>
  <c r="F62" i="9"/>
  <c r="F62" i="12"/>
  <c r="F99" i="11"/>
  <c r="G95" i="11" s="1"/>
  <c r="G42" i="12"/>
  <c r="G43" i="12" s="1"/>
  <c r="G45" i="12" s="1"/>
  <c r="G90" i="12"/>
  <c r="G12" i="8"/>
  <c r="G42" i="13"/>
  <c r="G91" i="13"/>
  <c r="G77" i="13"/>
  <c r="G79" i="13" s="1"/>
  <c r="G86" i="13" s="1"/>
  <c r="V36" i="20"/>
  <c r="V38" i="20" s="1"/>
  <c r="U77" i="12" s="1"/>
  <c r="T77" i="12"/>
  <c r="D83" i="9"/>
  <c r="F62" i="10"/>
  <c r="K13" i="22"/>
  <c r="K14" i="22"/>
  <c r="K17" i="22" s="1"/>
  <c r="G58" i="9"/>
  <c r="G60" i="9" s="1"/>
  <c r="G58" i="10"/>
  <c r="G60" i="10" s="1"/>
  <c r="G79" i="22"/>
  <c r="G58" i="11"/>
  <c r="G60" i="11" s="1"/>
  <c r="G58" i="12"/>
  <c r="G60" i="12" s="1"/>
  <c r="G58" i="13"/>
  <c r="G60" i="13" s="1"/>
  <c r="G58" i="14"/>
  <c r="G60" i="14" s="1"/>
  <c r="F107" i="13"/>
  <c r="F8" i="8" s="1"/>
  <c r="D83" i="12"/>
  <c r="H61" i="22"/>
  <c r="H64" i="22" s="1"/>
  <c r="H60" i="22"/>
  <c r="G84" i="14"/>
  <c r="G42" i="14"/>
  <c r="T77" i="9"/>
  <c r="V12" i="20"/>
  <c r="V14" i="20" s="1"/>
  <c r="U77" i="9" s="1"/>
  <c r="F103" i="13"/>
  <c r="G99" i="13" s="1"/>
  <c r="K41" i="22"/>
  <c r="K44" i="22" s="1"/>
  <c r="K40" i="22"/>
  <c r="G42" i="11"/>
  <c r="G43" i="11"/>
  <c r="G45" i="11"/>
  <c r="G87" i="11"/>
  <c r="G45" i="10" l="1"/>
  <c r="G19" i="5"/>
  <c r="F15" i="8"/>
  <c r="H76" i="22"/>
  <c r="G45" i="13"/>
  <c r="G93" i="12"/>
  <c r="G90" i="10"/>
  <c r="K21" i="22"/>
  <c r="K24" i="22" s="1"/>
  <c r="K20" i="22"/>
  <c r="E65" i="10"/>
  <c r="K48" i="22"/>
  <c r="L32" i="22" s="1"/>
  <c r="K47" i="22"/>
  <c r="G43" i="14"/>
  <c r="G45" i="14" s="1"/>
  <c r="H91" i="22"/>
  <c r="H39" i="4" s="1"/>
  <c r="F22" i="5"/>
  <c r="E65" i="13"/>
  <c r="E65" i="9"/>
  <c r="W77" i="9"/>
  <c r="H67" i="22"/>
  <c r="H68" i="22"/>
  <c r="G94" i="13"/>
  <c r="G43" i="4"/>
  <c r="E65" i="14"/>
  <c r="F62" i="13"/>
  <c r="W77" i="12"/>
  <c r="E65" i="12"/>
  <c r="G87" i="14"/>
  <c r="G93" i="9"/>
  <c r="G90" i="11"/>
  <c r="G43" i="13"/>
  <c r="E65" i="11"/>
  <c r="H38" i="9" l="1"/>
  <c r="H40" i="9" s="1"/>
  <c r="H38" i="10"/>
  <c r="H40" i="10" s="1"/>
  <c r="H38" i="11"/>
  <c r="H40" i="11" s="1"/>
  <c r="H38" i="12"/>
  <c r="H40" i="12" s="1"/>
  <c r="H38" i="14"/>
  <c r="H40" i="14" s="1"/>
  <c r="H38" i="13"/>
  <c r="H40" i="13" s="1"/>
  <c r="H41" i="4"/>
  <c r="E78" i="11"/>
  <c r="E80" i="11" s="1"/>
  <c r="G93" i="10"/>
  <c r="F16" i="8"/>
  <c r="F19" i="8" s="1"/>
  <c r="G97" i="13"/>
  <c r="I15" i="5"/>
  <c r="I17" i="5" s="1"/>
  <c r="H77" i="22"/>
  <c r="G44" i="4"/>
  <c r="G46" i="4" s="1"/>
  <c r="L33" i="22"/>
  <c r="L34" i="22"/>
  <c r="L37" i="22" s="1"/>
  <c r="G96" i="12"/>
  <c r="G96" i="9"/>
  <c r="K28" i="22"/>
  <c r="L12" i="22" s="1"/>
  <c r="K27" i="22"/>
  <c r="I52" i="22"/>
  <c r="H73" i="22"/>
  <c r="E79" i="9"/>
  <c r="E79" i="12"/>
  <c r="G93" i="11"/>
  <c r="G90" i="14"/>
  <c r="F30" i="5"/>
  <c r="F32" i="5" s="1"/>
  <c r="E64" i="2"/>
  <c r="E78" i="10"/>
  <c r="E80" i="10" s="1"/>
  <c r="G96" i="11" l="1"/>
  <c r="G98" i="11"/>
  <c r="G101" i="11" s="1"/>
  <c r="H77" i="13"/>
  <c r="H79" i="13" s="1"/>
  <c r="H86" i="13" s="1"/>
  <c r="H42" i="13"/>
  <c r="H91" i="13"/>
  <c r="H94" i="13" s="1"/>
  <c r="H97" i="13" s="1"/>
  <c r="E81" i="12"/>
  <c r="H58" i="9"/>
  <c r="H60" i="9" s="1"/>
  <c r="H58" i="10"/>
  <c r="H60" i="10" s="1"/>
  <c r="H79" i="22"/>
  <c r="H58" i="12"/>
  <c r="H60" i="12" s="1"/>
  <c r="H58" i="13"/>
  <c r="H60" i="13" s="1"/>
  <c r="H58" i="11"/>
  <c r="H60" i="11" s="1"/>
  <c r="H58" i="14"/>
  <c r="H60" i="14" s="1"/>
  <c r="F21" i="8"/>
  <c r="F22" i="8" s="1"/>
  <c r="F24" i="8" s="1"/>
  <c r="H84" i="14"/>
  <c r="H87" i="14" s="1"/>
  <c r="H90" i="14" s="1"/>
  <c r="H42" i="14"/>
  <c r="H43" i="14" s="1"/>
  <c r="H45" i="14" s="1"/>
  <c r="G101" i="9"/>
  <c r="G99" i="9"/>
  <c r="G102" i="9" s="1"/>
  <c r="H98" i="9" s="1"/>
  <c r="G104" i="9"/>
  <c r="H42" i="12"/>
  <c r="H43" i="12" s="1"/>
  <c r="H90" i="12"/>
  <c r="H93" i="12" s="1"/>
  <c r="H96" i="12" s="1"/>
  <c r="L13" i="22"/>
  <c r="L14" i="22"/>
  <c r="L17" i="22" s="1"/>
  <c r="E81" i="9"/>
  <c r="G98" i="10"/>
  <c r="G101" i="10"/>
  <c r="G96" i="10"/>
  <c r="G99" i="10" s="1"/>
  <c r="H95" i="10" s="1"/>
  <c r="H43" i="10"/>
  <c r="H45" i="10" s="1"/>
  <c r="H87" i="10"/>
  <c r="H90" i="10" s="1"/>
  <c r="H93" i="10" s="1"/>
  <c r="H42" i="10"/>
  <c r="H87" i="11"/>
  <c r="H90" i="11" s="1"/>
  <c r="H93" i="11" s="1"/>
  <c r="H42" i="11"/>
  <c r="H80" i="9"/>
  <c r="H79" i="10"/>
  <c r="H80" i="12"/>
  <c r="H79" i="11"/>
  <c r="G101" i="12"/>
  <c r="G104" i="12"/>
  <c r="G99" i="12"/>
  <c r="G102" i="12" s="1"/>
  <c r="H98" i="12" s="1"/>
  <c r="G93" i="14"/>
  <c r="G96" i="14" s="1"/>
  <c r="H92" i="14" s="1"/>
  <c r="G95" i="14"/>
  <c r="G98" i="14" s="1"/>
  <c r="I53" i="22"/>
  <c r="I72" i="22"/>
  <c r="I54" i="22"/>
  <c r="I57" i="22" s="1"/>
  <c r="L40" i="22"/>
  <c r="L41" i="22"/>
  <c r="L44" i="22" s="1"/>
  <c r="H42" i="9"/>
  <c r="H90" i="9"/>
  <c r="H93" i="9" s="1"/>
  <c r="H96" i="9" s="1"/>
  <c r="H12" i="8"/>
  <c r="G100" i="13"/>
  <c r="G102" i="13"/>
  <c r="G105" i="13"/>
  <c r="F63" i="9" l="1"/>
  <c r="F63" i="10"/>
  <c r="G20" i="5"/>
  <c r="F63" i="12"/>
  <c r="F63" i="11"/>
  <c r="F63" i="13"/>
  <c r="F63" i="14"/>
  <c r="G62" i="14"/>
  <c r="G62" i="11"/>
  <c r="H45" i="12"/>
  <c r="G62" i="9"/>
  <c r="E83" i="9"/>
  <c r="G99" i="11"/>
  <c r="H95" i="11" s="1"/>
  <c r="H98" i="11" s="1"/>
  <c r="H101" i="11" s="1"/>
  <c r="H62" i="11" s="1"/>
  <c r="G107" i="13"/>
  <c r="H43" i="4"/>
  <c r="L47" i="22"/>
  <c r="L48" i="22"/>
  <c r="M32" i="22" s="1"/>
  <c r="H43" i="11"/>
  <c r="H45" i="11" s="1"/>
  <c r="G103" i="13"/>
  <c r="H99" i="13" s="1"/>
  <c r="H102" i="13" s="1"/>
  <c r="H105" i="13" s="1"/>
  <c r="H107" i="13" s="1"/>
  <c r="H62" i="13" s="1"/>
  <c r="H96" i="11"/>
  <c r="H99" i="9"/>
  <c r="H101" i="9"/>
  <c r="H104" i="9" s="1"/>
  <c r="H62" i="9" s="1"/>
  <c r="L20" i="22"/>
  <c r="L21" i="22"/>
  <c r="L24" i="22" s="1"/>
  <c r="E83" i="12"/>
  <c r="G62" i="12"/>
  <c r="I61" i="22"/>
  <c r="I64" i="22" s="1"/>
  <c r="I60" i="22"/>
  <c r="H43" i="9"/>
  <c r="H45" i="9" s="1"/>
  <c r="H96" i="10"/>
  <c r="H98" i="10"/>
  <c r="H101" i="10" s="1"/>
  <c r="H43" i="13"/>
  <c r="H44" i="4" s="1"/>
  <c r="G62" i="10"/>
  <c r="G8" i="8"/>
  <c r="H99" i="12"/>
  <c r="H101" i="12"/>
  <c r="H104" i="12" s="1"/>
  <c r="H62" i="12" s="1"/>
  <c r="H93" i="14"/>
  <c r="H95" i="14"/>
  <c r="H98" i="14" s="1"/>
  <c r="H62" i="14" s="1"/>
  <c r="H100" i="13"/>
  <c r="H99" i="10" l="1"/>
  <c r="I95" i="10" s="1"/>
  <c r="H102" i="12"/>
  <c r="I98" i="12" s="1"/>
  <c r="H96" i="14"/>
  <c r="I92" i="14" s="1"/>
  <c r="H102" i="9"/>
  <c r="I98" i="9" s="1"/>
  <c r="H62" i="10"/>
  <c r="H8" i="8"/>
  <c r="H46" i="4"/>
  <c r="F65" i="10"/>
  <c r="L27" i="22"/>
  <c r="L28" i="22"/>
  <c r="M12" i="22" s="1"/>
  <c r="G62" i="13"/>
  <c r="F65" i="9"/>
  <c r="G22" i="5"/>
  <c r="H19" i="5"/>
  <c r="G15" i="8"/>
  <c r="H45" i="13"/>
  <c r="F65" i="11"/>
  <c r="I67" i="22"/>
  <c r="I91" i="22" s="1"/>
  <c r="I39" i="4" s="1"/>
  <c r="I68" i="22"/>
  <c r="M34" i="22"/>
  <c r="M37" i="22" s="1"/>
  <c r="M33" i="22"/>
  <c r="H99" i="11"/>
  <c r="I95" i="11" s="1"/>
  <c r="F65" i="14"/>
  <c r="F65" i="12"/>
  <c r="H103" i="13"/>
  <c r="I99" i="13" s="1"/>
  <c r="F65" i="13"/>
  <c r="I38" i="9" l="1"/>
  <c r="I40" i="9" s="1"/>
  <c r="I38" i="10"/>
  <c r="I40" i="10" s="1"/>
  <c r="I38" i="12"/>
  <c r="I40" i="12" s="1"/>
  <c r="I38" i="11"/>
  <c r="I40" i="11" s="1"/>
  <c r="I38" i="13"/>
  <c r="I40" i="13" s="1"/>
  <c r="I38" i="14"/>
  <c r="I40" i="14" s="1"/>
  <c r="I41" i="4"/>
  <c r="M41" i="22"/>
  <c r="M44" i="22" s="1"/>
  <c r="M40" i="22"/>
  <c r="G16" i="8"/>
  <c r="G19" i="8" s="1"/>
  <c r="J52" i="22"/>
  <c r="I73" i="22"/>
  <c r="I76" i="22"/>
  <c r="G30" i="5"/>
  <c r="G32" i="5" s="1"/>
  <c r="F64" i="2"/>
  <c r="F78" i="10"/>
  <c r="F80" i="10" s="1"/>
  <c r="I19" i="5"/>
  <c r="H15" i="8"/>
  <c r="H16" i="8" s="1"/>
  <c r="H19" i="8" s="1"/>
  <c r="M14" i="22"/>
  <c r="M17" i="22" s="1"/>
  <c r="M13" i="22"/>
  <c r="F79" i="12"/>
  <c r="F78" i="11"/>
  <c r="F80" i="11" s="1"/>
  <c r="F79" i="9"/>
  <c r="I12" i="8" l="1"/>
  <c r="M21" i="22"/>
  <c r="M24" i="22" s="1"/>
  <c r="M20" i="22"/>
  <c r="I84" i="14"/>
  <c r="I87" i="14" s="1"/>
  <c r="I90" i="14" s="1"/>
  <c r="I42" i="14"/>
  <c r="I43" i="14" s="1"/>
  <c r="I45" i="14" s="1"/>
  <c r="I42" i="9"/>
  <c r="I43" i="9" s="1"/>
  <c r="I90" i="9"/>
  <c r="I93" i="9" s="1"/>
  <c r="I96" i="9" s="1"/>
  <c r="F81" i="12"/>
  <c r="M48" i="22"/>
  <c r="N32" i="22" s="1"/>
  <c r="M47" i="22"/>
  <c r="J15" i="5"/>
  <c r="J17" i="5" s="1"/>
  <c r="I77" i="22"/>
  <c r="I80" i="9"/>
  <c r="I79" i="10"/>
  <c r="I80" i="12"/>
  <c r="I79" i="11"/>
  <c r="I42" i="11"/>
  <c r="I43" i="11" s="1"/>
  <c r="I87" i="11"/>
  <c r="I90" i="11" s="1"/>
  <c r="I93" i="11" s="1"/>
  <c r="I42" i="12"/>
  <c r="I43" i="12" s="1"/>
  <c r="I45" i="12" s="1"/>
  <c r="I90" i="12"/>
  <c r="I93" i="12" s="1"/>
  <c r="I96" i="12" s="1"/>
  <c r="F81" i="9"/>
  <c r="I77" i="13"/>
  <c r="I79" i="13" s="1"/>
  <c r="I86" i="13" s="1"/>
  <c r="I42" i="13"/>
  <c r="I43" i="13" s="1"/>
  <c r="I91" i="13"/>
  <c r="I94" i="13" s="1"/>
  <c r="I97" i="13" s="1"/>
  <c r="J72" i="22"/>
  <c r="J53" i="22"/>
  <c r="J54" i="22"/>
  <c r="J57" i="22" s="1"/>
  <c r="G21" i="8"/>
  <c r="G22" i="8"/>
  <c r="H21" i="8" s="1"/>
  <c r="H22" i="8" s="1"/>
  <c r="H24" i="8" s="1"/>
  <c r="G24" i="8"/>
  <c r="I87" i="10"/>
  <c r="I90" i="10" s="1"/>
  <c r="I93" i="10" s="1"/>
  <c r="I42" i="10"/>
  <c r="I43" i="10" s="1"/>
  <c r="I45" i="10" s="1"/>
  <c r="I45" i="11" l="1"/>
  <c r="I43" i="4"/>
  <c r="I45" i="9"/>
  <c r="H63" i="9"/>
  <c r="H65" i="9" s="1"/>
  <c r="H63" i="10"/>
  <c r="H65" i="10" s="1"/>
  <c r="I20" i="5"/>
  <c r="I22" i="5" s="1"/>
  <c r="I30" i="5" s="1"/>
  <c r="I32" i="5" s="1"/>
  <c r="H63" i="12"/>
  <c r="H65" i="12" s="1"/>
  <c r="H63" i="11"/>
  <c r="H65" i="11" s="1"/>
  <c r="H63" i="13"/>
  <c r="H65" i="13" s="1"/>
  <c r="H63" i="14"/>
  <c r="H65" i="14" s="1"/>
  <c r="I44" i="4"/>
  <c r="I46" i="4" s="1"/>
  <c r="J60" i="22"/>
  <c r="J61" i="22"/>
  <c r="J64" i="22" s="1"/>
  <c r="M28" i="22"/>
  <c r="N12" i="22" s="1"/>
  <c r="M27" i="22"/>
  <c r="I101" i="11"/>
  <c r="I62" i="11" s="1"/>
  <c r="I96" i="11"/>
  <c r="I98" i="11"/>
  <c r="I99" i="9"/>
  <c r="I102" i="9" s="1"/>
  <c r="J98" i="9" s="1"/>
  <c r="I101" i="9"/>
  <c r="I104" i="9"/>
  <c r="I62" i="9" s="1"/>
  <c r="I101" i="12"/>
  <c r="I104" i="12" s="1"/>
  <c r="I62" i="12" s="1"/>
  <c r="I99" i="12"/>
  <c r="G63" i="9"/>
  <c r="G63" i="10"/>
  <c r="H20" i="5"/>
  <c r="G63" i="12"/>
  <c r="G63" i="11"/>
  <c r="G63" i="13"/>
  <c r="G63" i="14"/>
  <c r="F83" i="12"/>
  <c r="F83" i="9"/>
  <c r="I58" i="9"/>
  <c r="I60" i="9" s="1"/>
  <c r="I58" i="10"/>
  <c r="I60" i="10" s="1"/>
  <c r="I79" i="22"/>
  <c r="I58" i="12"/>
  <c r="I60" i="12" s="1"/>
  <c r="I58" i="11"/>
  <c r="I60" i="11" s="1"/>
  <c r="I58" i="13"/>
  <c r="I60" i="13" s="1"/>
  <c r="I58" i="14"/>
  <c r="I60" i="14" s="1"/>
  <c r="I96" i="10"/>
  <c r="I99" i="10" s="1"/>
  <c r="J95" i="10" s="1"/>
  <c r="I101" i="10"/>
  <c r="I98" i="10"/>
  <c r="I45" i="13"/>
  <c r="I102" i="13"/>
  <c r="I105" i="13" s="1"/>
  <c r="I107" i="13" s="1"/>
  <c r="I62" i="13" s="1"/>
  <c r="I100" i="13"/>
  <c r="N33" i="22"/>
  <c r="N34" i="22"/>
  <c r="N37" i="22" s="1"/>
  <c r="I95" i="14"/>
  <c r="I98" i="14"/>
  <c r="I62" i="14" s="1"/>
  <c r="I93" i="14"/>
  <c r="I96" i="14" l="1"/>
  <c r="J92" i="14" s="1"/>
  <c r="G65" i="10"/>
  <c r="G65" i="9"/>
  <c r="J67" i="22"/>
  <c r="J68" i="22"/>
  <c r="I102" i="12"/>
  <c r="J98" i="12" s="1"/>
  <c r="G65" i="14"/>
  <c r="I99" i="11"/>
  <c r="J95" i="11" s="1"/>
  <c r="I62" i="10"/>
  <c r="I8" i="8"/>
  <c r="G65" i="13"/>
  <c r="N41" i="22"/>
  <c r="N44" i="22" s="1"/>
  <c r="N40" i="22"/>
  <c r="G65" i="11"/>
  <c r="I103" i="13"/>
  <c r="J99" i="13" s="1"/>
  <c r="G65" i="12"/>
  <c r="N13" i="22"/>
  <c r="N14" i="22"/>
  <c r="N17" i="22" s="1"/>
  <c r="H22" i="5"/>
  <c r="H30" i="5" s="1"/>
  <c r="H32" i="5" s="1"/>
  <c r="J19" i="5" l="1"/>
  <c r="I15" i="8"/>
  <c r="I16" i="8" s="1"/>
  <c r="I19" i="8" s="1"/>
  <c r="G78" i="11"/>
  <c r="N21" i="22"/>
  <c r="N24" i="22" s="1"/>
  <c r="N20" i="22"/>
  <c r="G78" i="10"/>
  <c r="G79" i="12"/>
  <c r="J91" i="22"/>
  <c r="J39" i="4" s="1"/>
  <c r="J76" i="22"/>
  <c r="G79" i="9"/>
  <c r="N47" i="22"/>
  <c r="N48" i="22"/>
  <c r="O32" i="22" s="1"/>
  <c r="K52" i="22"/>
  <c r="J73" i="22"/>
  <c r="G81" i="12" l="1"/>
  <c r="H79" i="12"/>
  <c r="H81" i="12" s="1"/>
  <c r="H83" i="12" s="1"/>
  <c r="O33" i="22"/>
  <c r="O34" i="22"/>
  <c r="O37" i="22" s="1"/>
  <c r="G80" i="11"/>
  <c r="H78" i="11"/>
  <c r="H80" i="11" s="1"/>
  <c r="K15" i="5"/>
  <c r="K17" i="5" s="1"/>
  <c r="J77" i="22"/>
  <c r="N27" i="22"/>
  <c r="N28" i="22"/>
  <c r="O12" i="22" s="1"/>
  <c r="J38" i="9"/>
  <c r="J40" i="9" s="1"/>
  <c r="J38" i="10"/>
  <c r="J40" i="10" s="1"/>
  <c r="J38" i="12"/>
  <c r="J40" i="12" s="1"/>
  <c r="J38" i="11"/>
  <c r="J40" i="11" s="1"/>
  <c r="J38" i="13"/>
  <c r="J40" i="13" s="1"/>
  <c r="J38" i="14"/>
  <c r="J40" i="14" s="1"/>
  <c r="J41" i="4"/>
  <c r="J80" i="9"/>
  <c r="J79" i="10"/>
  <c r="J80" i="12"/>
  <c r="J79" i="11"/>
  <c r="K54" i="22"/>
  <c r="K57" i="22" s="1"/>
  <c r="K53" i="22"/>
  <c r="K72" i="22"/>
  <c r="G80" i="10"/>
  <c r="H78" i="10"/>
  <c r="H80" i="10" s="1"/>
  <c r="G81" i="9"/>
  <c r="H79" i="9"/>
  <c r="H81" i="9" s="1"/>
  <c r="H83" i="9" s="1"/>
  <c r="I21" i="8"/>
  <c r="I22" i="8" s="1"/>
  <c r="I24" i="8" s="1"/>
  <c r="I63" i="10" l="1"/>
  <c r="I65" i="10" s="1"/>
  <c r="I78" i="10" s="1"/>
  <c r="I80" i="10" s="1"/>
  <c r="I63" i="9"/>
  <c r="I65" i="9" s="1"/>
  <c r="I79" i="9" s="1"/>
  <c r="I81" i="9" s="1"/>
  <c r="I83" i="9" s="1"/>
  <c r="J20" i="5"/>
  <c r="J22" i="5" s="1"/>
  <c r="J30" i="5" s="1"/>
  <c r="J32" i="5" s="1"/>
  <c r="I63" i="12"/>
  <c r="I65" i="12" s="1"/>
  <c r="I79" i="12" s="1"/>
  <c r="I81" i="12" s="1"/>
  <c r="I83" i="12" s="1"/>
  <c r="I63" i="13"/>
  <c r="I65" i="13" s="1"/>
  <c r="I63" i="14"/>
  <c r="I65" i="14" s="1"/>
  <c r="I63" i="11"/>
  <c r="I65" i="11" s="1"/>
  <c r="I78" i="11" s="1"/>
  <c r="I80" i="11" s="1"/>
  <c r="K61" i="22"/>
  <c r="K64" i="22" s="1"/>
  <c r="K60" i="22"/>
  <c r="J42" i="12"/>
  <c r="J90" i="12"/>
  <c r="J93" i="12" s="1"/>
  <c r="J96" i="12" s="1"/>
  <c r="J43" i="12"/>
  <c r="J45" i="12" s="1"/>
  <c r="J87" i="10"/>
  <c r="J90" i="10" s="1"/>
  <c r="J93" i="10" s="1"/>
  <c r="J43" i="10"/>
  <c r="J42" i="10"/>
  <c r="J45" i="10" s="1"/>
  <c r="O40" i="22"/>
  <c r="O41" i="22"/>
  <c r="O44" i="22" s="1"/>
  <c r="G83" i="9"/>
  <c r="J42" i="9"/>
  <c r="J43" i="9" s="1"/>
  <c r="J45" i="9" s="1"/>
  <c r="J90" i="9"/>
  <c r="J93" i="9" s="1"/>
  <c r="J96" i="9" s="1"/>
  <c r="O14" i="22"/>
  <c r="O17" i="22" s="1"/>
  <c r="O13" i="22"/>
  <c r="J12" i="8"/>
  <c r="J42" i="13"/>
  <c r="J77" i="13"/>
  <c r="J79" i="13" s="1"/>
  <c r="J86" i="13" s="1"/>
  <c r="J91" i="13"/>
  <c r="J94" i="13" s="1"/>
  <c r="J97" i="13" s="1"/>
  <c r="J42" i="11"/>
  <c r="J43" i="11"/>
  <c r="J45" i="11"/>
  <c r="J87" i="11"/>
  <c r="J90" i="11" s="1"/>
  <c r="J93" i="11" s="1"/>
  <c r="J42" i="14"/>
  <c r="J43" i="14" s="1"/>
  <c r="J45" i="14" s="1"/>
  <c r="J84" i="14"/>
  <c r="J87" i="14" s="1"/>
  <c r="J90" i="14" s="1"/>
  <c r="J58" i="9"/>
  <c r="J60" i="9" s="1"/>
  <c r="J58" i="10"/>
  <c r="J60" i="10" s="1"/>
  <c r="J79" i="22"/>
  <c r="J58" i="12"/>
  <c r="J60" i="12" s="1"/>
  <c r="J58" i="13"/>
  <c r="J60" i="13" s="1"/>
  <c r="J58" i="11"/>
  <c r="J60" i="11" s="1"/>
  <c r="J58" i="14"/>
  <c r="J60" i="14" s="1"/>
  <c r="G83" i="12"/>
  <c r="J43" i="4" l="1"/>
  <c r="K68" i="22"/>
  <c r="K67" i="22"/>
  <c r="J96" i="10"/>
  <c r="J98" i="10"/>
  <c r="J101" i="10" s="1"/>
  <c r="J95" i="14"/>
  <c r="J98" i="14" s="1"/>
  <c r="J62" i="14" s="1"/>
  <c r="J93" i="14"/>
  <c r="J96" i="14" s="1"/>
  <c r="K92" i="14" s="1"/>
  <c r="J102" i="13"/>
  <c r="J105" i="13" s="1"/>
  <c r="J107" i="13" s="1"/>
  <c r="J62" i="13" s="1"/>
  <c r="J100" i="13"/>
  <c r="O20" i="22"/>
  <c r="O21" i="22"/>
  <c r="O24" i="22" s="1"/>
  <c r="O47" i="22"/>
  <c r="O48" i="22"/>
  <c r="P32" i="22" s="1"/>
  <c r="J101" i="12"/>
  <c r="J104" i="12" s="1"/>
  <c r="J62" i="12" s="1"/>
  <c r="J99" i="12"/>
  <c r="J96" i="11"/>
  <c r="J98" i="11"/>
  <c r="J101" i="11" s="1"/>
  <c r="J62" i="11" s="1"/>
  <c r="J43" i="13"/>
  <c r="J44" i="4" s="1"/>
  <c r="J99" i="9"/>
  <c r="J101" i="9"/>
  <c r="J104" i="9" s="1"/>
  <c r="J62" i="9" s="1"/>
  <c r="J46" i="4" l="1"/>
  <c r="J99" i="10"/>
  <c r="K95" i="10" s="1"/>
  <c r="J62" i="10"/>
  <c r="J8" i="8"/>
  <c r="J99" i="11"/>
  <c r="K95" i="11" s="1"/>
  <c r="O27" i="22"/>
  <c r="O28" i="22"/>
  <c r="P12" i="22" s="1"/>
  <c r="L52" i="22"/>
  <c r="K73" i="22"/>
  <c r="J102" i="9"/>
  <c r="K98" i="9" s="1"/>
  <c r="P33" i="22"/>
  <c r="P34" i="22"/>
  <c r="P37" i="22" s="1"/>
  <c r="K76" i="22"/>
  <c r="K91" i="22"/>
  <c r="K39" i="4" s="1"/>
  <c r="J45" i="13"/>
  <c r="J102" i="12"/>
  <c r="K98" i="12" s="1"/>
  <c r="J103" i="13"/>
  <c r="K99" i="13" s="1"/>
  <c r="K80" i="9" l="1"/>
  <c r="K79" i="10"/>
  <c r="K80" i="12"/>
  <c r="K79" i="11"/>
  <c r="P14" i="22"/>
  <c r="P17" i="22" s="1"/>
  <c r="P13" i="22"/>
  <c r="L53" i="22"/>
  <c r="L54" i="22"/>
  <c r="L57" i="22" s="1"/>
  <c r="L72" i="22"/>
  <c r="L15" i="5"/>
  <c r="L17" i="5" s="1"/>
  <c r="K77" i="22"/>
  <c r="P41" i="22"/>
  <c r="P44" i="22" s="1"/>
  <c r="P40" i="22"/>
  <c r="K38" i="9"/>
  <c r="K40" i="9" s="1"/>
  <c r="K38" i="10"/>
  <c r="K40" i="10" s="1"/>
  <c r="K38" i="12"/>
  <c r="K40" i="12" s="1"/>
  <c r="K38" i="11"/>
  <c r="K40" i="11" s="1"/>
  <c r="K38" i="13"/>
  <c r="K40" i="13" s="1"/>
  <c r="K38" i="14"/>
  <c r="K40" i="14" s="1"/>
  <c r="K41" i="4"/>
  <c r="K19" i="5"/>
  <c r="J15" i="8"/>
  <c r="J16" i="8" s="1"/>
  <c r="J19" i="8" s="1"/>
  <c r="K42" i="11" l="1"/>
  <c r="K43" i="11"/>
  <c r="K45" i="11" s="1"/>
  <c r="K87" i="11"/>
  <c r="K90" i="11" s="1"/>
  <c r="K93" i="11" s="1"/>
  <c r="K87" i="10"/>
  <c r="K90" i="10" s="1"/>
  <c r="K93" i="10" s="1"/>
  <c r="K42" i="10"/>
  <c r="K77" i="13"/>
  <c r="K79" i="13" s="1"/>
  <c r="K86" i="13" s="1"/>
  <c r="K42" i="13"/>
  <c r="K91" i="13"/>
  <c r="K94" i="13" s="1"/>
  <c r="K97" i="13" s="1"/>
  <c r="P48" i="22"/>
  <c r="Q32" i="22" s="1"/>
  <c r="P47" i="22"/>
  <c r="K58" i="9"/>
  <c r="K60" i="9" s="1"/>
  <c r="K58" i="10"/>
  <c r="K60" i="10" s="1"/>
  <c r="K79" i="22"/>
  <c r="K58" i="12"/>
  <c r="K60" i="12" s="1"/>
  <c r="K58" i="11"/>
  <c r="K60" i="11" s="1"/>
  <c r="K58" i="14"/>
  <c r="K60" i="14" s="1"/>
  <c r="K58" i="13"/>
  <c r="K60" i="13" s="1"/>
  <c r="K42" i="12"/>
  <c r="K43" i="12" s="1"/>
  <c r="K45" i="12" s="1"/>
  <c r="K90" i="12"/>
  <c r="K93" i="12" s="1"/>
  <c r="K96" i="12" s="1"/>
  <c r="P21" i="22"/>
  <c r="P24" i="22" s="1"/>
  <c r="P20" i="22"/>
  <c r="J21" i="8"/>
  <c r="J22" i="8" s="1"/>
  <c r="J24" i="8" s="1"/>
  <c r="K43" i="9"/>
  <c r="K42" i="9"/>
  <c r="K90" i="9"/>
  <c r="K93" i="9" s="1"/>
  <c r="K96" i="9" s="1"/>
  <c r="L61" i="22"/>
  <c r="L64" i="22" s="1"/>
  <c r="L60" i="22"/>
  <c r="K42" i="14"/>
  <c r="K43" i="14"/>
  <c r="K45" i="14" s="1"/>
  <c r="K84" i="14"/>
  <c r="K87" i="14" s="1"/>
  <c r="K90" i="14" s="1"/>
  <c r="K12" i="8"/>
  <c r="K45" i="9" l="1"/>
  <c r="K20" i="5"/>
  <c r="K22" i="5" s="1"/>
  <c r="K30" i="5" s="1"/>
  <c r="K32" i="5" s="1"/>
  <c r="J63" i="10"/>
  <c r="J65" i="10" s="1"/>
  <c r="J78" i="10" s="1"/>
  <c r="J80" i="10" s="1"/>
  <c r="J63" i="9"/>
  <c r="J65" i="9" s="1"/>
  <c r="J79" i="9" s="1"/>
  <c r="J81" i="9" s="1"/>
  <c r="J83" i="9" s="1"/>
  <c r="J63" i="12"/>
  <c r="J65" i="12" s="1"/>
  <c r="J79" i="12" s="1"/>
  <c r="J81" i="12" s="1"/>
  <c r="J83" i="12" s="1"/>
  <c r="J63" i="11"/>
  <c r="J65" i="11" s="1"/>
  <c r="J78" i="11" s="1"/>
  <c r="J80" i="11" s="1"/>
  <c r="J63" i="13"/>
  <c r="J65" i="13" s="1"/>
  <c r="J63" i="14"/>
  <c r="J65" i="14" s="1"/>
  <c r="Q33" i="22"/>
  <c r="Q34" i="22"/>
  <c r="Q37" i="22" s="1"/>
  <c r="K43" i="10"/>
  <c r="K45" i="10" s="1"/>
  <c r="K93" i="14"/>
  <c r="K95" i="14"/>
  <c r="K98" i="14"/>
  <c r="K62" i="14" s="1"/>
  <c r="K100" i="13"/>
  <c r="K102" i="13"/>
  <c r="K105" i="13"/>
  <c r="K107" i="13" s="1"/>
  <c r="K62" i="13" s="1"/>
  <c r="L68" i="22"/>
  <c r="L67" i="22"/>
  <c r="K43" i="4"/>
  <c r="K99" i="9"/>
  <c r="K101" i="9"/>
  <c r="K104" i="9" s="1"/>
  <c r="K62" i="9" s="1"/>
  <c r="P28" i="22"/>
  <c r="Q12" i="22" s="1"/>
  <c r="P27" i="22"/>
  <c r="K98" i="10"/>
  <c r="K101" i="10" s="1"/>
  <c r="K96" i="10"/>
  <c r="K96" i="11"/>
  <c r="K98" i="11"/>
  <c r="K101" i="11" s="1"/>
  <c r="K62" i="11" s="1"/>
  <c r="K99" i="12"/>
  <c r="K101" i="12"/>
  <c r="K104" i="12" s="1"/>
  <c r="K62" i="12" s="1"/>
  <c r="K43" i="13"/>
  <c r="K45" i="13"/>
  <c r="K102" i="9" l="1"/>
  <c r="L98" i="9" s="1"/>
  <c r="K44" i="4"/>
  <c r="K62" i="10"/>
  <c r="K8" i="8"/>
  <c r="Q13" i="22"/>
  <c r="Q14" i="22"/>
  <c r="Q17" i="22" s="1"/>
  <c r="K103" i="13"/>
  <c r="L99" i="13" s="1"/>
  <c r="K99" i="10"/>
  <c r="L95" i="10" s="1"/>
  <c r="K99" i="11"/>
  <c r="L95" i="11" s="1"/>
  <c r="K46" i="4"/>
  <c r="Q40" i="22"/>
  <c r="Q41" i="22"/>
  <c r="Q44" i="22" s="1"/>
  <c r="K102" i="12"/>
  <c r="L98" i="12" s="1"/>
  <c r="L91" i="22"/>
  <c r="L39" i="4" s="1"/>
  <c r="L76" i="22"/>
  <c r="K96" i="14"/>
  <c r="L92" i="14" s="1"/>
  <c r="L73" i="22"/>
  <c r="M52" i="22"/>
  <c r="Q48" i="22" l="1"/>
  <c r="R32" i="22" s="1"/>
  <c r="Q47" i="22"/>
  <c r="Q20" i="22"/>
  <c r="Q21" i="22"/>
  <c r="Q24" i="22" s="1"/>
  <c r="M15" i="5"/>
  <c r="M17" i="5" s="1"/>
  <c r="L77" i="22"/>
  <c r="M54" i="22"/>
  <c r="M57" i="22" s="1"/>
  <c r="M53" i="22"/>
  <c r="M72" i="22"/>
  <c r="L38" i="9"/>
  <c r="L40" i="9" s="1"/>
  <c r="L38" i="10"/>
  <c r="L40" i="10" s="1"/>
  <c r="L38" i="12"/>
  <c r="L40" i="12" s="1"/>
  <c r="L38" i="11"/>
  <c r="L40" i="11" s="1"/>
  <c r="L38" i="13"/>
  <c r="L40" i="13" s="1"/>
  <c r="L38" i="14"/>
  <c r="L40" i="14" s="1"/>
  <c r="L41" i="4"/>
  <c r="L80" i="9"/>
  <c r="L79" i="10"/>
  <c r="L80" i="12"/>
  <c r="L79" i="11"/>
  <c r="L19" i="5"/>
  <c r="K15" i="8"/>
  <c r="K16" i="8" s="1"/>
  <c r="K19" i="8" s="1"/>
  <c r="L42" i="14" l="1"/>
  <c r="L43" i="14" s="1"/>
  <c r="L45" i="14" s="1"/>
  <c r="L84" i="14"/>
  <c r="L87" i="14" s="1"/>
  <c r="L90" i="14" s="1"/>
  <c r="K21" i="8"/>
  <c r="K22" i="8" s="1"/>
  <c r="K24" i="8" s="1"/>
  <c r="L90" i="9"/>
  <c r="L93" i="9" s="1"/>
  <c r="L96" i="9" s="1"/>
  <c r="L42" i="9"/>
  <c r="L43" i="9" s="1"/>
  <c r="L58" i="9"/>
  <c r="L60" i="9" s="1"/>
  <c r="L79" i="22"/>
  <c r="L58" i="10"/>
  <c r="L60" i="10" s="1"/>
  <c r="L58" i="12"/>
  <c r="L60" i="12" s="1"/>
  <c r="L58" i="14"/>
  <c r="L60" i="14" s="1"/>
  <c r="L58" i="13"/>
  <c r="L60" i="13" s="1"/>
  <c r="L58" i="11"/>
  <c r="L60" i="11" s="1"/>
  <c r="L42" i="13"/>
  <c r="L77" i="13"/>
  <c r="L79" i="13" s="1"/>
  <c r="L86" i="13" s="1"/>
  <c r="L91" i="13"/>
  <c r="L94" i="13" s="1"/>
  <c r="L97" i="13" s="1"/>
  <c r="L42" i="11"/>
  <c r="L87" i="11"/>
  <c r="L90" i="11" s="1"/>
  <c r="L93" i="11" s="1"/>
  <c r="R34" i="22"/>
  <c r="R37" i="22" s="1"/>
  <c r="R33" i="22"/>
  <c r="L12" i="8"/>
  <c r="Q27" i="22"/>
  <c r="Q28" i="22"/>
  <c r="R12" i="22" s="1"/>
  <c r="M60" i="22"/>
  <c r="M61" i="22"/>
  <c r="M64" i="22" s="1"/>
  <c r="L42" i="12"/>
  <c r="L90" i="12"/>
  <c r="L93" i="12" s="1"/>
  <c r="L96" i="12" s="1"/>
  <c r="L43" i="12"/>
  <c r="L45" i="12" s="1"/>
  <c r="L42" i="10"/>
  <c r="L43" i="10"/>
  <c r="L87" i="10"/>
  <c r="L90" i="10" s="1"/>
  <c r="L93" i="10" s="1"/>
  <c r="L43" i="4" l="1"/>
  <c r="L45" i="10"/>
  <c r="L45" i="11"/>
  <c r="L43" i="11"/>
  <c r="K63" i="9"/>
  <c r="K65" i="9" s="1"/>
  <c r="K79" i="9" s="1"/>
  <c r="K81" i="9" s="1"/>
  <c r="K83" i="9" s="1"/>
  <c r="K63" i="10"/>
  <c r="K65" i="10" s="1"/>
  <c r="K78" i="10" s="1"/>
  <c r="K80" i="10" s="1"/>
  <c r="L20" i="5"/>
  <c r="L22" i="5" s="1"/>
  <c r="L30" i="5" s="1"/>
  <c r="L32" i="5" s="1"/>
  <c r="K63" i="12"/>
  <c r="K65" i="12" s="1"/>
  <c r="K79" i="12" s="1"/>
  <c r="K81" i="12" s="1"/>
  <c r="K83" i="12" s="1"/>
  <c r="K63" i="13"/>
  <c r="K65" i="13" s="1"/>
  <c r="K63" i="11"/>
  <c r="K65" i="11" s="1"/>
  <c r="K78" i="11" s="1"/>
  <c r="K80" i="11" s="1"/>
  <c r="K63" i="14"/>
  <c r="K65" i="14" s="1"/>
  <c r="M76" i="22"/>
  <c r="L98" i="10"/>
  <c r="L101" i="10" s="1"/>
  <c r="L96" i="10"/>
  <c r="R14" i="22"/>
  <c r="R17" i="22" s="1"/>
  <c r="R13" i="22"/>
  <c r="L99" i="12"/>
  <c r="L101" i="12"/>
  <c r="L104" i="12" s="1"/>
  <c r="L62" i="12" s="1"/>
  <c r="R41" i="22"/>
  <c r="R44" i="22" s="1"/>
  <c r="R40" i="22"/>
  <c r="L43" i="13"/>
  <c r="L44" i="4" s="1"/>
  <c r="L46" i="4" s="1"/>
  <c r="M68" i="22"/>
  <c r="M67" i="22"/>
  <c r="M91" i="22"/>
  <c r="M39" i="4" s="1"/>
  <c r="L95" i="14"/>
  <c r="L98" i="14" s="1"/>
  <c r="L62" i="14" s="1"/>
  <c r="L93" i="14"/>
  <c r="L45" i="9"/>
  <c r="L98" i="11"/>
  <c r="L101" i="11"/>
  <c r="L62" i="11" s="1"/>
  <c r="L96" i="11"/>
  <c r="L45" i="13"/>
  <c r="L102" i="13"/>
  <c r="L105" i="13" s="1"/>
  <c r="L107" i="13" s="1"/>
  <c r="L62" i="13" s="1"/>
  <c r="L100" i="13"/>
  <c r="L99" i="9"/>
  <c r="L101" i="9"/>
  <c r="L104" i="9"/>
  <c r="L62" i="9" s="1"/>
  <c r="L99" i="10" l="1"/>
  <c r="M95" i="10" s="1"/>
  <c r="N15" i="5"/>
  <c r="N17" i="5" s="1"/>
  <c r="M77" i="22"/>
  <c r="L103" i="13"/>
  <c r="M99" i="13" s="1"/>
  <c r="M73" i="22"/>
  <c r="N52" i="22"/>
  <c r="L102" i="12"/>
  <c r="M98" i="12" s="1"/>
  <c r="R47" i="22"/>
  <c r="R48" i="22"/>
  <c r="S32" i="22" s="1"/>
  <c r="L62" i="10"/>
  <c r="L8" i="8"/>
  <c r="M38" i="10"/>
  <c r="M40" i="10" s="1"/>
  <c r="M38" i="9"/>
  <c r="M40" i="9" s="1"/>
  <c r="M38" i="12"/>
  <c r="M40" i="12" s="1"/>
  <c r="M38" i="13"/>
  <c r="M40" i="13" s="1"/>
  <c r="M38" i="11"/>
  <c r="M40" i="11" s="1"/>
  <c r="M38" i="14"/>
  <c r="M40" i="14" s="1"/>
  <c r="M41" i="4"/>
  <c r="L102" i="9"/>
  <c r="M98" i="9" s="1"/>
  <c r="R20" i="22"/>
  <c r="R21" i="22"/>
  <c r="R24" i="22" s="1"/>
  <c r="L99" i="11"/>
  <c r="M95" i="11" s="1"/>
  <c r="L96" i="14"/>
  <c r="M92" i="14" s="1"/>
  <c r="M12" i="8" l="1"/>
  <c r="M79" i="10"/>
  <c r="M80" i="9"/>
  <c r="M79" i="11"/>
  <c r="M80" i="12"/>
  <c r="M84" i="14"/>
  <c r="M87" i="14" s="1"/>
  <c r="M90" i="14" s="1"/>
  <c r="M42" i="14"/>
  <c r="M43" i="14" s="1"/>
  <c r="S34" i="22"/>
  <c r="S37" i="22" s="1"/>
  <c r="S33" i="22"/>
  <c r="M87" i="11"/>
  <c r="M90" i="11" s="1"/>
  <c r="M93" i="11" s="1"/>
  <c r="M42" i="11"/>
  <c r="M43" i="11" s="1"/>
  <c r="M91" i="13"/>
  <c r="M94" i="13" s="1"/>
  <c r="M97" i="13" s="1"/>
  <c r="M77" i="13"/>
  <c r="M79" i="13" s="1"/>
  <c r="M86" i="13" s="1"/>
  <c r="M42" i="13"/>
  <c r="M43" i="13" s="1"/>
  <c r="R27" i="22"/>
  <c r="R28" i="22"/>
  <c r="S12" i="22" s="1"/>
  <c r="M42" i="12"/>
  <c r="M43" i="12" s="1"/>
  <c r="M45" i="12" s="1"/>
  <c r="M90" i="12"/>
  <c r="M93" i="12" s="1"/>
  <c r="M96" i="12" s="1"/>
  <c r="M58" i="9"/>
  <c r="M60" i="9" s="1"/>
  <c r="M58" i="10"/>
  <c r="M60" i="10" s="1"/>
  <c r="M79" i="22"/>
  <c r="M58" i="12"/>
  <c r="M60" i="12" s="1"/>
  <c r="M58" i="11"/>
  <c r="M60" i="11" s="1"/>
  <c r="M58" i="13"/>
  <c r="M60" i="13" s="1"/>
  <c r="M58" i="14"/>
  <c r="M60" i="14" s="1"/>
  <c r="M42" i="9"/>
  <c r="M43" i="9" s="1"/>
  <c r="M90" i="9"/>
  <c r="M93" i="9" s="1"/>
  <c r="M96" i="9" s="1"/>
  <c r="M42" i="10"/>
  <c r="M43" i="10"/>
  <c r="M45" i="10" s="1"/>
  <c r="M87" i="10"/>
  <c r="M90" i="10" s="1"/>
  <c r="M93" i="10" s="1"/>
  <c r="M19" i="5"/>
  <c r="L15" i="8"/>
  <c r="L16" i="8" s="1"/>
  <c r="L19" i="8" s="1"/>
  <c r="N54" i="22"/>
  <c r="N57" i="22" s="1"/>
  <c r="N53" i="22"/>
  <c r="N72" i="22"/>
  <c r="M44" i="4" l="1"/>
  <c r="M45" i="9"/>
  <c r="N61" i="22"/>
  <c r="N64" i="22" s="1"/>
  <c r="N60" i="22"/>
  <c r="M96" i="10"/>
  <c r="M98" i="10"/>
  <c r="M101" i="10"/>
  <c r="M99" i="12"/>
  <c r="M104" i="12"/>
  <c r="M62" i="12" s="1"/>
  <c r="M101" i="12"/>
  <c r="M102" i="13"/>
  <c r="M105" i="13" s="1"/>
  <c r="M107" i="13" s="1"/>
  <c r="M62" i="13" s="1"/>
  <c r="M100" i="13"/>
  <c r="M45" i="13"/>
  <c r="S41" i="22"/>
  <c r="S44" i="22" s="1"/>
  <c r="S40" i="22"/>
  <c r="M45" i="14"/>
  <c r="S13" i="22"/>
  <c r="S14" i="22"/>
  <c r="S17" i="22" s="1"/>
  <c r="L21" i="8"/>
  <c r="L22" i="8" s="1"/>
  <c r="L24" i="8" s="1"/>
  <c r="M101" i="9"/>
  <c r="M99" i="9"/>
  <c r="M104" i="9"/>
  <c r="M62" i="9" s="1"/>
  <c r="M98" i="11"/>
  <c r="M101" i="11" s="1"/>
  <c r="M62" i="11" s="1"/>
  <c r="M96" i="11"/>
  <c r="M95" i="14"/>
  <c r="M98" i="14" s="1"/>
  <c r="M62" i="14" s="1"/>
  <c r="M93" i="14"/>
  <c r="M43" i="4"/>
  <c r="M45" i="11"/>
  <c r="M46" i="4" l="1"/>
  <c r="L63" i="9"/>
  <c r="L65" i="9" s="1"/>
  <c r="L79" i="9" s="1"/>
  <c r="L81" i="9" s="1"/>
  <c r="L83" i="9" s="1"/>
  <c r="L63" i="10"/>
  <c r="L65" i="10" s="1"/>
  <c r="L78" i="10" s="1"/>
  <c r="L80" i="10" s="1"/>
  <c r="M20" i="5"/>
  <c r="M22" i="5" s="1"/>
  <c r="M30" i="5" s="1"/>
  <c r="M32" i="5" s="1"/>
  <c r="L63" i="12"/>
  <c r="L65" i="12" s="1"/>
  <c r="L79" i="12" s="1"/>
  <c r="L81" i="12" s="1"/>
  <c r="L83" i="12" s="1"/>
  <c r="L63" i="11"/>
  <c r="L65" i="11" s="1"/>
  <c r="L78" i="11" s="1"/>
  <c r="L80" i="11" s="1"/>
  <c r="L63" i="14"/>
  <c r="L65" i="14" s="1"/>
  <c r="L63" i="13"/>
  <c r="L65" i="13" s="1"/>
  <c r="M62" i="10"/>
  <c r="M8" i="8"/>
  <c r="M96" i="14"/>
  <c r="N92" i="14" s="1"/>
  <c r="M103" i="13"/>
  <c r="N99" i="13" s="1"/>
  <c r="M99" i="10"/>
  <c r="N95" i="10" s="1"/>
  <c r="M102" i="9"/>
  <c r="N98" i="9" s="1"/>
  <c r="M99" i="11"/>
  <c r="N95" i="11" s="1"/>
  <c r="N68" i="22"/>
  <c r="N67" i="22"/>
  <c r="S21" i="22"/>
  <c r="S24" i="22" s="1"/>
  <c r="S20" i="22"/>
  <c r="S48" i="22"/>
  <c r="T32" i="22" s="1"/>
  <c r="S47" i="22"/>
  <c r="M102" i="12"/>
  <c r="N98" i="12" s="1"/>
  <c r="T34" i="22" l="1"/>
  <c r="T37" i="22" s="1"/>
  <c r="T33" i="22"/>
  <c r="N76" i="22"/>
  <c r="N91" i="22"/>
  <c r="N39" i="4" s="1"/>
  <c r="O52" i="22"/>
  <c r="N73" i="22"/>
  <c r="S27" i="22"/>
  <c r="S28" i="22"/>
  <c r="T12" i="22" s="1"/>
  <c r="N19" i="5"/>
  <c r="M15" i="8"/>
  <c r="M16" i="8" s="1"/>
  <c r="M19" i="8" s="1"/>
  <c r="M21" i="8" l="1"/>
  <c r="M22" i="8" s="1"/>
  <c r="M24" i="8" s="1"/>
  <c r="N80" i="9"/>
  <c r="N79" i="10"/>
  <c r="N80" i="12"/>
  <c r="N79" i="11"/>
  <c r="N38" i="9"/>
  <c r="N40" i="9" s="1"/>
  <c r="N38" i="10"/>
  <c r="N40" i="10" s="1"/>
  <c r="N38" i="12"/>
  <c r="N40" i="12" s="1"/>
  <c r="N38" i="11"/>
  <c r="N40" i="11" s="1"/>
  <c r="N38" i="13"/>
  <c r="N40" i="13" s="1"/>
  <c r="N38" i="14"/>
  <c r="N40" i="14" s="1"/>
  <c r="N41" i="4"/>
  <c r="O15" i="5"/>
  <c r="O17" i="5" s="1"/>
  <c r="N77" i="22"/>
  <c r="O54" i="22"/>
  <c r="O57" i="22" s="1"/>
  <c r="O53" i="22"/>
  <c r="O72" i="22"/>
  <c r="T13" i="22"/>
  <c r="T14" i="22"/>
  <c r="T17" i="22" s="1"/>
  <c r="T40" i="22"/>
  <c r="T41" i="22"/>
  <c r="T44" i="22" s="1"/>
  <c r="M63" i="9" l="1"/>
  <c r="M65" i="9" s="1"/>
  <c r="M79" i="9" s="1"/>
  <c r="M81" i="9" s="1"/>
  <c r="M83" i="9" s="1"/>
  <c r="N20" i="5"/>
  <c r="N22" i="5" s="1"/>
  <c r="N30" i="5" s="1"/>
  <c r="N32" i="5" s="1"/>
  <c r="M63" i="10"/>
  <c r="M65" i="10" s="1"/>
  <c r="M78" i="10" s="1"/>
  <c r="M80" i="10" s="1"/>
  <c r="M63" i="12"/>
  <c r="M65" i="12" s="1"/>
  <c r="M79" i="12" s="1"/>
  <c r="M81" i="12" s="1"/>
  <c r="M83" i="12" s="1"/>
  <c r="M63" i="14"/>
  <c r="M65" i="14" s="1"/>
  <c r="M63" i="11"/>
  <c r="M65" i="11" s="1"/>
  <c r="M78" i="11" s="1"/>
  <c r="M80" i="11" s="1"/>
  <c r="M63" i="13"/>
  <c r="M65" i="13" s="1"/>
  <c r="T20" i="22"/>
  <c r="T21" i="22"/>
  <c r="T24" i="22" s="1"/>
  <c r="N12" i="8"/>
  <c r="T47" i="22"/>
  <c r="T48" i="22"/>
  <c r="U32" i="22" s="1"/>
  <c r="N91" i="13"/>
  <c r="N94" i="13" s="1"/>
  <c r="N97" i="13" s="1"/>
  <c r="N42" i="13"/>
  <c r="N43" i="13" s="1"/>
  <c r="N77" i="13"/>
  <c r="N79" i="13" s="1"/>
  <c r="N86" i="13" s="1"/>
  <c r="N42" i="9"/>
  <c r="N43" i="9" s="1"/>
  <c r="N45" i="9" s="1"/>
  <c r="N90" i="9"/>
  <c r="N93" i="9" s="1"/>
  <c r="N96" i="9" s="1"/>
  <c r="N84" i="14"/>
  <c r="N87" i="14" s="1"/>
  <c r="N90" i="14" s="1"/>
  <c r="N42" i="14"/>
  <c r="N43" i="14" s="1"/>
  <c r="N45" i="14" s="1"/>
  <c r="N42" i="11"/>
  <c r="N87" i="11"/>
  <c r="N90" i="11" s="1"/>
  <c r="N93" i="11" s="1"/>
  <c r="N58" i="9"/>
  <c r="N60" i="9" s="1"/>
  <c r="N58" i="10"/>
  <c r="N60" i="10" s="1"/>
  <c r="N58" i="12"/>
  <c r="N60" i="12" s="1"/>
  <c r="N79" i="22"/>
  <c r="N58" i="11"/>
  <c r="N60" i="11" s="1"/>
  <c r="N58" i="14"/>
  <c r="N60" i="14" s="1"/>
  <c r="N58" i="13"/>
  <c r="N60" i="13" s="1"/>
  <c r="O60" i="22"/>
  <c r="O61" i="22"/>
  <c r="O64" i="22" s="1"/>
  <c r="N90" i="12"/>
  <c r="N93" i="12" s="1"/>
  <c r="N96" i="12" s="1"/>
  <c r="N42" i="12"/>
  <c r="N43" i="12" s="1"/>
  <c r="N87" i="10"/>
  <c r="N90" i="10" s="1"/>
  <c r="N93" i="10" s="1"/>
  <c r="N42" i="10"/>
  <c r="N45" i="10" l="1"/>
  <c r="N43" i="10"/>
  <c r="N101" i="12"/>
  <c r="N104" i="12"/>
  <c r="N62" i="12" s="1"/>
  <c r="N99" i="12"/>
  <c r="N102" i="12" s="1"/>
  <c r="O98" i="12" s="1"/>
  <c r="N45" i="12"/>
  <c r="U34" i="22"/>
  <c r="U37" i="22" s="1"/>
  <c r="U33" i="22"/>
  <c r="N104" i="9"/>
  <c r="N62" i="9" s="1"/>
  <c r="N99" i="9"/>
  <c r="N102" i="9" s="1"/>
  <c r="O98" i="9" s="1"/>
  <c r="N101" i="9"/>
  <c r="O67" i="22"/>
  <c r="O76" i="22" s="1"/>
  <c r="O68" i="22"/>
  <c r="N43" i="4"/>
  <c r="N98" i="11"/>
  <c r="N101" i="11" s="1"/>
  <c r="N62" i="11" s="1"/>
  <c r="N96" i="11"/>
  <c r="N98" i="10"/>
  <c r="N101" i="10" s="1"/>
  <c r="N96" i="10"/>
  <c r="N100" i="13"/>
  <c r="N102" i="13"/>
  <c r="N43" i="11"/>
  <c r="N45" i="11" s="1"/>
  <c r="N95" i="14"/>
  <c r="N98" i="14"/>
  <c r="N62" i="14" s="1"/>
  <c r="N93" i="14"/>
  <c r="N96" i="14" s="1"/>
  <c r="O92" i="14" s="1"/>
  <c r="N45" i="13"/>
  <c r="T27" i="22"/>
  <c r="T28" i="22"/>
  <c r="U12" i="22" s="1"/>
  <c r="N103" i="13" l="1"/>
  <c r="O99" i="13" s="1"/>
  <c r="N62" i="10"/>
  <c r="P15" i="5"/>
  <c r="P17" i="5" s="1"/>
  <c r="O77" i="22"/>
  <c r="N99" i="10"/>
  <c r="O95" i="10" s="1"/>
  <c r="P52" i="22"/>
  <c r="O73" i="22"/>
  <c r="N99" i="11"/>
  <c r="O95" i="11" s="1"/>
  <c r="U41" i="22"/>
  <c r="U44" i="22" s="1"/>
  <c r="U40" i="22"/>
  <c r="U14" i="22"/>
  <c r="U17" i="22" s="1"/>
  <c r="U13" i="22"/>
  <c r="N44" i="4"/>
  <c r="N46" i="4" s="1"/>
  <c r="O91" i="22"/>
  <c r="O39" i="4" s="1"/>
  <c r="N105" i="13"/>
  <c r="N107" i="13" s="1"/>
  <c r="N62" i="13" s="1"/>
  <c r="O79" i="10" l="1"/>
  <c r="O80" i="9"/>
  <c r="O80" i="12"/>
  <c r="O79" i="11"/>
  <c r="U21" i="22"/>
  <c r="U24" i="22" s="1"/>
  <c r="U20" i="22"/>
  <c r="P54" i="22"/>
  <c r="P57" i="22" s="1"/>
  <c r="P72" i="22"/>
  <c r="P53" i="22"/>
  <c r="O58" i="9"/>
  <c r="O60" i="9" s="1"/>
  <c r="O58" i="10"/>
  <c r="O60" i="10" s="1"/>
  <c r="O79" i="22"/>
  <c r="O58" i="12"/>
  <c r="O60" i="12" s="1"/>
  <c r="O58" i="11"/>
  <c r="O60" i="11" s="1"/>
  <c r="O58" i="13"/>
  <c r="O60" i="13" s="1"/>
  <c r="O58" i="14"/>
  <c r="O60" i="14" s="1"/>
  <c r="O38" i="9"/>
  <c r="O40" i="9" s="1"/>
  <c r="O38" i="10"/>
  <c r="O40" i="10" s="1"/>
  <c r="O38" i="12"/>
  <c r="O40" i="12" s="1"/>
  <c r="O38" i="11"/>
  <c r="O40" i="11" s="1"/>
  <c r="O38" i="13"/>
  <c r="O40" i="13" s="1"/>
  <c r="O38" i="14"/>
  <c r="O40" i="14" s="1"/>
  <c r="O41" i="4"/>
  <c r="U48" i="22"/>
  <c r="U47" i="22"/>
  <c r="N8" i="8"/>
  <c r="O19" i="5" l="1"/>
  <c r="N15" i="8"/>
  <c r="N16" i="8" s="1"/>
  <c r="N19" i="8" s="1"/>
  <c r="O90" i="12"/>
  <c r="O93" i="12" s="1"/>
  <c r="O96" i="12" s="1"/>
  <c r="O42" i="12"/>
  <c r="O43" i="12" s="1"/>
  <c r="O42" i="10"/>
  <c r="O43" i="10" s="1"/>
  <c r="O45" i="10" s="1"/>
  <c r="O87" i="10"/>
  <c r="O90" i="10" s="1"/>
  <c r="O93" i="10" s="1"/>
  <c r="O42" i="9"/>
  <c r="O43" i="9" s="1"/>
  <c r="O45" i="9" s="1"/>
  <c r="O90" i="9"/>
  <c r="O93" i="9" s="1"/>
  <c r="O96" i="9" s="1"/>
  <c r="U28" i="22"/>
  <c r="U27" i="22"/>
  <c r="O91" i="13"/>
  <c r="O94" i="13" s="1"/>
  <c r="O97" i="13" s="1"/>
  <c r="O77" i="13"/>
  <c r="O79" i="13" s="1"/>
  <c r="O86" i="13" s="1"/>
  <c r="O42" i="13"/>
  <c r="O42" i="11"/>
  <c r="O43" i="11"/>
  <c r="O87" i="11"/>
  <c r="O90" i="11" s="1"/>
  <c r="O93" i="11" s="1"/>
  <c r="O12" i="8"/>
  <c r="O84" i="14"/>
  <c r="O87" i="14" s="1"/>
  <c r="O90" i="14" s="1"/>
  <c r="O42" i="14"/>
  <c r="O43" i="14" s="1"/>
  <c r="P60" i="22"/>
  <c r="P61" i="22"/>
  <c r="P64" i="22" s="1"/>
  <c r="O45" i="11" l="1"/>
  <c r="O101" i="9"/>
  <c r="O99" i="9"/>
  <c r="O45" i="14"/>
  <c r="O93" i="14"/>
  <c r="O96" i="14" s="1"/>
  <c r="P92" i="14" s="1"/>
  <c r="O95" i="14"/>
  <c r="O98" i="14" s="1"/>
  <c r="O62" i="14" s="1"/>
  <c r="N21" i="8"/>
  <c r="N22" i="8" s="1"/>
  <c r="N24" i="8" s="1"/>
  <c r="O99" i="12"/>
  <c r="O101" i="12"/>
  <c r="O104" i="12" s="1"/>
  <c r="O62" i="12" s="1"/>
  <c r="O43" i="4"/>
  <c r="O98" i="10"/>
  <c r="O101" i="10"/>
  <c r="O96" i="10"/>
  <c r="O99" i="10" s="1"/>
  <c r="P95" i="10" s="1"/>
  <c r="O100" i="13"/>
  <c r="O102" i="13"/>
  <c r="O45" i="12"/>
  <c r="O43" i="13"/>
  <c r="O44" i="4" s="1"/>
  <c r="P67" i="22"/>
  <c r="P68" i="22"/>
  <c r="O96" i="11"/>
  <c r="O98" i="11"/>
  <c r="O102" i="12" l="1"/>
  <c r="P98" i="12" s="1"/>
  <c r="O45" i="13"/>
  <c r="O102" i="9"/>
  <c r="P98" i="9" s="1"/>
  <c r="N63" i="10"/>
  <c r="N65" i="10" s="1"/>
  <c r="N78" i="10" s="1"/>
  <c r="N80" i="10" s="1"/>
  <c r="N63" i="9"/>
  <c r="N65" i="9" s="1"/>
  <c r="N79" i="9" s="1"/>
  <c r="N81" i="9" s="1"/>
  <c r="N83" i="9" s="1"/>
  <c r="O20" i="5"/>
  <c r="O22" i="5" s="1"/>
  <c r="O30" i="5" s="1"/>
  <c r="O32" i="5" s="1"/>
  <c r="N63" i="12"/>
  <c r="N65" i="12" s="1"/>
  <c r="N79" i="12" s="1"/>
  <c r="N81" i="12" s="1"/>
  <c r="N83" i="12" s="1"/>
  <c r="N63" i="11"/>
  <c r="N65" i="11" s="1"/>
  <c r="N78" i="11" s="1"/>
  <c r="N80" i="11" s="1"/>
  <c r="N63" i="14"/>
  <c r="N65" i="14" s="1"/>
  <c r="N63" i="13"/>
  <c r="N65" i="13" s="1"/>
  <c r="O99" i="11"/>
  <c r="P95" i="11" s="1"/>
  <c r="P73" i="22"/>
  <c r="Q52" i="22"/>
  <c r="O46" i="4"/>
  <c r="O103" i="13"/>
  <c r="P99" i="13" s="1"/>
  <c r="O101" i="11"/>
  <c r="O62" i="11" s="1"/>
  <c r="O62" i="10"/>
  <c r="O8" i="8"/>
  <c r="P76" i="22"/>
  <c r="P91" i="22"/>
  <c r="P39" i="4" s="1"/>
  <c r="O104" i="9"/>
  <c r="O62" i="9" s="1"/>
  <c r="O105" i="13"/>
  <c r="O107" i="13" s="1"/>
  <c r="O62" i="13" s="1"/>
  <c r="P80" i="9" l="1"/>
  <c r="P79" i="10"/>
  <c r="P80" i="12"/>
  <c r="P79" i="11"/>
  <c r="P19" i="5"/>
  <c r="O15" i="8"/>
  <c r="O16" i="8" s="1"/>
  <c r="O19" i="8" s="1"/>
  <c r="Q53" i="22"/>
  <c r="Q72" i="22"/>
  <c r="Q54" i="22"/>
  <c r="Q57" i="22" s="1"/>
  <c r="P38" i="9"/>
  <c r="P40" i="9" s="1"/>
  <c r="P38" i="10"/>
  <c r="P40" i="10" s="1"/>
  <c r="P38" i="12"/>
  <c r="P40" i="12" s="1"/>
  <c r="P38" i="11"/>
  <c r="P40" i="11" s="1"/>
  <c r="P38" i="14"/>
  <c r="P40" i="14" s="1"/>
  <c r="P38" i="13"/>
  <c r="P40" i="13" s="1"/>
  <c r="P41" i="4"/>
  <c r="Q15" i="5"/>
  <c r="Q17" i="5" s="1"/>
  <c r="P77" i="22"/>
  <c r="P84" i="14" l="1"/>
  <c r="P87" i="14" s="1"/>
  <c r="P90" i="14" s="1"/>
  <c r="P42" i="14"/>
  <c r="P42" i="13"/>
  <c r="P43" i="13"/>
  <c r="P91" i="13"/>
  <c r="P94" i="13" s="1"/>
  <c r="P97" i="13" s="1"/>
  <c r="P77" i="13"/>
  <c r="P79" i="13" s="1"/>
  <c r="P86" i="13" s="1"/>
  <c r="P42" i="12"/>
  <c r="P43" i="12" s="1"/>
  <c r="P90" i="12"/>
  <c r="P93" i="12" s="1"/>
  <c r="P96" i="12" s="1"/>
  <c r="P42" i="9"/>
  <c r="P90" i="9"/>
  <c r="P93" i="9" s="1"/>
  <c r="P96" i="9" s="1"/>
  <c r="P87" i="11"/>
  <c r="P90" i="11" s="1"/>
  <c r="P93" i="11" s="1"/>
  <c r="P42" i="11"/>
  <c r="P43" i="11"/>
  <c r="P87" i="10"/>
  <c r="P90" i="10" s="1"/>
  <c r="P93" i="10" s="1"/>
  <c r="P42" i="10"/>
  <c r="P43" i="10" s="1"/>
  <c r="P45" i="10" s="1"/>
  <c r="O21" i="8"/>
  <c r="O22" i="8"/>
  <c r="O24" i="8" s="1"/>
  <c r="P58" i="9"/>
  <c r="P60" i="9" s="1"/>
  <c r="P58" i="10"/>
  <c r="P60" i="10" s="1"/>
  <c r="P79" i="22"/>
  <c r="P58" i="12"/>
  <c r="P60" i="12" s="1"/>
  <c r="P58" i="11"/>
  <c r="P60" i="11" s="1"/>
  <c r="P58" i="13"/>
  <c r="P60" i="13" s="1"/>
  <c r="P58" i="14"/>
  <c r="P60" i="14" s="1"/>
  <c r="Q61" i="22"/>
  <c r="Q64" i="22" s="1"/>
  <c r="Q60" i="22"/>
  <c r="P12" i="8"/>
  <c r="P45" i="11" l="1"/>
  <c r="P99" i="12"/>
  <c r="P101" i="12"/>
  <c r="P104" i="12"/>
  <c r="P62" i="12" s="1"/>
  <c r="P43" i="4"/>
  <c r="P45" i="12"/>
  <c r="P100" i="13"/>
  <c r="P102" i="13"/>
  <c r="P105" i="13" s="1"/>
  <c r="P107" i="13" s="1"/>
  <c r="P62" i="13" s="1"/>
  <c r="O63" i="9"/>
  <c r="O65" i="9" s="1"/>
  <c r="O79" i="9" s="1"/>
  <c r="O81" i="9" s="1"/>
  <c r="O83" i="9" s="1"/>
  <c r="O63" i="10"/>
  <c r="O65" i="10" s="1"/>
  <c r="O78" i="10" s="1"/>
  <c r="O80" i="10" s="1"/>
  <c r="P20" i="5"/>
  <c r="P22" i="5" s="1"/>
  <c r="P30" i="5" s="1"/>
  <c r="P32" i="5" s="1"/>
  <c r="O63" i="12"/>
  <c r="O65" i="12" s="1"/>
  <c r="O79" i="12" s="1"/>
  <c r="O81" i="12" s="1"/>
  <c r="O83" i="12" s="1"/>
  <c r="O63" i="11"/>
  <c r="O65" i="11" s="1"/>
  <c r="O78" i="11" s="1"/>
  <c r="O80" i="11" s="1"/>
  <c r="O63" i="14"/>
  <c r="O65" i="14" s="1"/>
  <c r="O63" i="13"/>
  <c r="O65" i="13" s="1"/>
  <c r="P45" i="13"/>
  <c r="P93" i="14"/>
  <c r="P96" i="14" s="1"/>
  <c r="Q92" i="14" s="1"/>
  <c r="P95" i="14"/>
  <c r="P98" i="14"/>
  <c r="P62" i="14" s="1"/>
  <c r="P98" i="11"/>
  <c r="P101" i="11" s="1"/>
  <c r="P62" i="11" s="1"/>
  <c r="P96" i="11"/>
  <c r="P43" i="9"/>
  <c r="P43" i="14"/>
  <c r="P45" i="14" s="1"/>
  <c r="Q67" i="22"/>
  <c r="Q91" i="22" s="1"/>
  <c r="Q39" i="4" s="1"/>
  <c r="Q68" i="22"/>
  <c r="P99" i="9"/>
  <c r="P101" i="9"/>
  <c r="P104" i="9" s="1"/>
  <c r="P62" i="9" s="1"/>
  <c r="P96" i="10"/>
  <c r="P98" i="10"/>
  <c r="P44" i="4" l="1"/>
  <c r="P46" i="4" s="1"/>
  <c r="Q38" i="9"/>
  <c r="Q40" i="9" s="1"/>
  <c r="Q38" i="10"/>
  <c r="Q40" i="10" s="1"/>
  <c r="Q38" i="12"/>
  <c r="Q40" i="12" s="1"/>
  <c r="Q38" i="11"/>
  <c r="Q40" i="11" s="1"/>
  <c r="Q38" i="13"/>
  <c r="Q40" i="13" s="1"/>
  <c r="Q38" i="14"/>
  <c r="Q40" i="14" s="1"/>
  <c r="Q41" i="4"/>
  <c r="R52" i="22"/>
  <c r="Q73" i="22"/>
  <c r="P102" i="12"/>
  <c r="Q98" i="12" s="1"/>
  <c r="P45" i="9"/>
  <c r="P99" i="10"/>
  <c r="Q95" i="10" s="1"/>
  <c r="Q76" i="22"/>
  <c r="P103" i="13"/>
  <c r="Q99" i="13" s="1"/>
  <c r="P101" i="10"/>
  <c r="P102" i="9"/>
  <c r="Q98" i="9" s="1"/>
  <c r="P99" i="11"/>
  <c r="Q95" i="11" s="1"/>
  <c r="Q12" i="8" l="1"/>
  <c r="Q84" i="14"/>
  <c r="Q87" i="14" s="1"/>
  <c r="Q90" i="14" s="1"/>
  <c r="Q42" i="14"/>
  <c r="Q43" i="14" s="1"/>
  <c r="Q45" i="14" s="1"/>
  <c r="Q77" i="13"/>
  <c r="Q79" i="13" s="1"/>
  <c r="Q86" i="13" s="1"/>
  <c r="Q42" i="13"/>
  <c r="Q91" i="13"/>
  <c r="Q94" i="13" s="1"/>
  <c r="Q97" i="13" s="1"/>
  <c r="Q43" i="13"/>
  <c r="Q87" i="11"/>
  <c r="Q90" i="11" s="1"/>
  <c r="Q93" i="11" s="1"/>
  <c r="Q42" i="11"/>
  <c r="Q43" i="11" s="1"/>
  <c r="Q45" i="11" s="1"/>
  <c r="Q80" i="9"/>
  <c r="Q79" i="10"/>
  <c r="Q80" i="12"/>
  <c r="Q79" i="11"/>
  <c r="Q90" i="12"/>
  <c r="Q93" i="12" s="1"/>
  <c r="Q96" i="12" s="1"/>
  <c r="Q42" i="12"/>
  <c r="Q43" i="12"/>
  <c r="Q87" i="10"/>
  <c r="Q90" i="10" s="1"/>
  <c r="Q93" i="10" s="1"/>
  <c r="Q42" i="10"/>
  <c r="P62" i="10"/>
  <c r="P8" i="8"/>
  <c r="R15" i="5"/>
  <c r="R17" i="5" s="1"/>
  <c r="Q77" i="22"/>
  <c r="R72" i="22"/>
  <c r="R54" i="22"/>
  <c r="R57" i="22" s="1"/>
  <c r="R53" i="22"/>
  <c r="Q42" i="9"/>
  <c r="Q43" i="9" s="1"/>
  <c r="Q90" i="9"/>
  <c r="Q93" i="9" s="1"/>
  <c r="Q96" i="9" s="1"/>
  <c r="Q45" i="12" l="1"/>
  <c r="Q45" i="9"/>
  <c r="Q45" i="13"/>
  <c r="Q96" i="10"/>
  <c r="Q98" i="10"/>
  <c r="Q101" i="10" s="1"/>
  <c r="Q95" i="14"/>
  <c r="Q98" i="14"/>
  <c r="Q62" i="14" s="1"/>
  <c r="Q93" i="14"/>
  <c r="Q96" i="14" s="1"/>
  <c r="Q43" i="10"/>
  <c r="Q45" i="10" s="1"/>
  <c r="Q43" i="4"/>
  <c r="Q58" i="9"/>
  <c r="Q60" i="9" s="1"/>
  <c r="Q58" i="10"/>
  <c r="Q60" i="10" s="1"/>
  <c r="Q79" i="22"/>
  <c r="Q58" i="12"/>
  <c r="Q60" i="12" s="1"/>
  <c r="Q58" i="11"/>
  <c r="Q60" i="11" s="1"/>
  <c r="Q58" i="13"/>
  <c r="Q60" i="13" s="1"/>
  <c r="Q58" i="14"/>
  <c r="Q60" i="14" s="1"/>
  <c r="R60" i="22"/>
  <c r="R61" i="22"/>
  <c r="R64" i="22" s="1"/>
  <c r="Q102" i="13"/>
  <c r="Q105" i="13"/>
  <c r="Q107" i="13" s="1"/>
  <c r="Q62" i="13" s="1"/>
  <c r="Q100" i="13"/>
  <c r="Q103" i="13" s="1"/>
  <c r="Q99" i="9"/>
  <c r="Q101" i="9"/>
  <c r="Q104" i="9" s="1"/>
  <c r="Q62" i="9" s="1"/>
  <c r="Q19" i="5"/>
  <c r="P15" i="8"/>
  <c r="P16" i="8" s="1"/>
  <c r="P19" i="8" s="1"/>
  <c r="Q99" i="12"/>
  <c r="Q101" i="12"/>
  <c r="Q104" i="12" s="1"/>
  <c r="Q62" i="12" s="1"/>
  <c r="Q98" i="11"/>
  <c r="Q96" i="11"/>
  <c r="Q99" i="11" s="1"/>
  <c r="Q101" i="11"/>
  <c r="Q62" i="11" s="1"/>
  <c r="Q62" i="10" l="1"/>
  <c r="Q8" i="8"/>
  <c r="Q102" i="9"/>
  <c r="Q44" i="4"/>
  <c r="Q46" i="4" s="1"/>
  <c r="Q102" i="12"/>
  <c r="P21" i="8"/>
  <c r="P22" i="8"/>
  <c r="P24" i="8" s="1"/>
  <c r="R67" i="22"/>
  <c r="R91" i="22" s="1"/>
  <c r="R39" i="4" s="1"/>
  <c r="R68" i="22"/>
  <c r="Q99" i="10"/>
  <c r="R38" i="9" l="1"/>
  <c r="R40" i="9" s="1"/>
  <c r="R38" i="10"/>
  <c r="R40" i="10" s="1"/>
  <c r="R38" i="12"/>
  <c r="R40" i="12" s="1"/>
  <c r="R38" i="11"/>
  <c r="R40" i="11" s="1"/>
  <c r="R38" i="14"/>
  <c r="R40" i="14" s="1"/>
  <c r="R38" i="13"/>
  <c r="R40" i="13" s="1"/>
  <c r="R41" i="4"/>
  <c r="P63" i="9"/>
  <c r="P65" i="9" s="1"/>
  <c r="P79" i="9" s="1"/>
  <c r="P81" i="9" s="1"/>
  <c r="P83" i="9" s="1"/>
  <c r="Q20" i="5"/>
  <c r="Q22" i="5" s="1"/>
  <c r="Q30" i="5" s="1"/>
  <c r="Q32" i="5" s="1"/>
  <c r="P63" i="10"/>
  <c r="P65" i="10" s="1"/>
  <c r="P78" i="10" s="1"/>
  <c r="P80" i="10" s="1"/>
  <c r="P63" i="12"/>
  <c r="P65" i="12" s="1"/>
  <c r="P79" i="12" s="1"/>
  <c r="P81" i="12" s="1"/>
  <c r="P83" i="12" s="1"/>
  <c r="P63" i="11"/>
  <c r="P65" i="11" s="1"/>
  <c r="P78" i="11" s="1"/>
  <c r="P80" i="11" s="1"/>
  <c r="P63" i="13"/>
  <c r="P65" i="13" s="1"/>
  <c r="P63" i="14"/>
  <c r="P65" i="14" s="1"/>
  <c r="R19" i="5"/>
  <c r="Q15" i="8"/>
  <c r="Q16" i="8" s="1"/>
  <c r="Q19" i="8" s="1"/>
  <c r="R73" i="22"/>
  <c r="S52" i="22"/>
  <c r="R76" i="22"/>
  <c r="R12" i="8" l="1"/>
  <c r="R42" i="13"/>
  <c r="R43" i="13" s="1"/>
  <c r="R77" i="13"/>
  <c r="R79" i="13" s="1"/>
  <c r="R86" i="13" s="1"/>
  <c r="R91" i="13"/>
  <c r="R94" i="13" s="1"/>
  <c r="R97" i="13" s="1"/>
  <c r="R42" i="14"/>
  <c r="R84" i="14"/>
  <c r="R87" i="14" s="1"/>
  <c r="R90" i="14" s="1"/>
  <c r="R42" i="11"/>
  <c r="R45" i="11" s="1"/>
  <c r="R87" i="11"/>
  <c r="R90" i="11" s="1"/>
  <c r="R93" i="11" s="1"/>
  <c r="R43" i="11"/>
  <c r="R42" i="12"/>
  <c r="R90" i="12"/>
  <c r="R93" i="12" s="1"/>
  <c r="R96" i="12" s="1"/>
  <c r="R80" i="9"/>
  <c r="R79" i="10"/>
  <c r="R80" i="12"/>
  <c r="R79" i="11"/>
  <c r="Q21" i="8"/>
  <c r="Q22" i="8" s="1"/>
  <c r="Q24" i="8" s="1"/>
  <c r="S15" i="5"/>
  <c r="S17" i="5" s="1"/>
  <c r="R77" i="22"/>
  <c r="S53" i="22"/>
  <c r="S72" i="22"/>
  <c r="S54" i="22"/>
  <c r="S57" i="22" s="1"/>
  <c r="R42" i="10"/>
  <c r="R43" i="10" s="1"/>
  <c r="R87" i="10"/>
  <c r="R90" i="10" s="1"/>
  <c r="R93" i="10" s="1"/>
  <c r="R43" i="9"/>
  <c r="R45" i="9" s="1"/>
  <c r="R42" i="9"/>
  <c r="R90" i="9"/>
  <c r="R93" i="9" s="1"/>
  <c r="R96" i="9" s="1"/>
  <c r="Q63" i="9" l="1"/>
  <c r="Q65" i="9" s="1"/>
  <c r="Q79" i="9" s="1"/>
  <c r="Q81" i="9" s="1"/>
  <c r="Q83" i="9" s="1"/>
  <c r="Q63" i="10"/>
  <c r="Q65" i="10" s="1"/>
  <c r="Q78" i="10" s="1"/>
  <c r="Q80" i="10" s="1"/>
  <c r="R20" i="5"/>
  <c r="R22" i="5" s="1"/>
  <c r="R30" i="5" s="1"/>
  <c r="R32" i="5" s="1"/>
  <c r="Q63" i="12"/>
  <c r="Q65" i="12" s="1"/>
  <c r="Q79" i="12" s="1"/>
  <c r="Q81" i="12" s="1"/>
  <c r="Q83" i="12" s="1"/>
  <c r="Q63" i="11"/>
  <c r="Q65" i="11" s="1"/>
  <c r="Q78" i="11" s="1"/>
  <c r="Q80" i="11" s="1"/>
  <c r="Q63" i="13"/>
  <c r="Q65" i="13" s="1"/>
  <c r="Q63" i="14"/>
  <c r="Q65" i="14" s="1"/>
  <c r="R96" i="11"/>
  <c r="R99" i="11" s="1"/>
  <c r="S95" i="11" s="1"/>
  <c r="R98" i="11"/>
  <c r="R101" i="11"/>
  <c r="R62" i="11" s="1"/>
  <c r="R45" i="13"/>
  <c r="R99" i="9"/>
  <c r="R101" i="9"/>
  <c r="R104" i="9" s="1"/>
  <c r="R62" i="9" s="1"/>
  <c r="R102" i="13"/>
  <c r="R105" i="13"/>
  <c r="R107" i="13" s="1"/>
  <c r="R62" i="13" s="1"/>
  <c r="R100" i="13"/>
  <c r="R45" i="10"/>
  <c r="R43" i="12"/>
  <c r="R45" i="12" s="1"/>
  <c r="R43" i="14"/>
  <c r="R45" i="14" s="1"/>
  <c r="R43" i="4"/>
  <c r="S61" i="22"/>
  <c r="S64" i="22" s="1"/>
  <c r="S60" i="22"/>
  <c r="R58" i="9"/>
  <c r="R60" i="9" s="1"/>
  <c r="R58" i="10"/>
  <c r="R60" i="10" s="1"/>
  <c r="R79" i="22"/>
  <c r="R58" i="12"/>
  <c r="R60" i="12" s="1"/>
  <c r="R58" i="13"/>
  <c r="R60" i="13" s="1"/>
  <c r="R58" i="11"/>
  <c r="R60" i="11" s="1"/>
  <c r="R58" i="14"/>
  <c r="R60" i="14" s="1"/>
  <c r="R96" i="10"/>
  <c r="R98" i="10"/>
  <c r="R101" i="10" s="1"/>
  <c r="R101" i="12"/>
  <c r="R104" i="12"/>
  <c r="R62" i="12" s="1"/>
  <c r="R99" i="12"/>
  <c r="R102" i="12" s="1"/>
  <c r="S98" i="12" s="1"/>
  <c r="R95" i="14"/>
  <c r="R98" i="14" s="1"/>
  <c r="R62" i="14" s="1"/>
  <c r="R93" i="14"/>
  <c r="R62" i="10" l="1"/>
  <c r="R8" i="8"/>
  <c r="R96" i="14"/>
  <c r="S92" i="14" s="1"/>
  <c r="R99" i="10"/>
  <c r="S95" i="10" s="1"/>
  <c r="R103" i="13"/>
  <c r="S99" i="13" s="1"/>
  <c r="S76" i="22"/>
  <c r="R102" i="9"/>
  <c r="S98" i="9" s="1"/>
  <c r="R44" i="4"/>
  <c r="R46" i="4" s="1"/>
  <c r="S68" i="22"/>
  <c r="S67" i="22"/>
  <c r="S91" i="22" s="1"/>
  <c r="S39" i="4" s="1"/>
  <c r="S38" i="9" l="1"/>
  <c r="S40" i="9" s="1"/>
  <c r="S38" i="10"/>
  <c r="S40" i="10" s="1"/>
  <c r="S38" i="12"/>
  <c r="S40" i="12" s="1"/>
  <c r="S38" i="11"/>
  <c r="S40" i="11" s="1"/>
  <c r="S38" i="13"/>
  <c r="S40" i="13" s="1"/>
  <c r="S38" i="14"/>
  <c r="S40" i="14" s="1"/>
  <c r="S41" i="4"/>
  <c r="T15" i="5"/>
  <c r="T17" i="5" s="1"/>
  <c r="S77" i="22"/>
  <c r="S19" i="5"/>
  <c r="R15" i="8"/>
  <c r="R16" i="8" s="1"/>
  <c r="R19" i="8" s="1"/>
  <c r="T52" i="22"/>
  <c r="S73" i="22"/>
  <c r="S58" i="10" l="1"/>
  <c r="S60" i="10" s="1"/>
  <c r="S79" i="22"/>
  <c r="S58" i="12"/>
  <c r="S60" i="12" s="1"/>
  <c r="S58" i="9"/>
  <c r="S60" i="9" s="1"/>
  <c r="S58" i="11"/>
  <c r="S60" i="11" s="1"/>
  <c r="S58" i="14"/>
  <c r="S60" i="14" s="1"/>
  <c r="S58" i="13"/>
  <c r="S60" i="13" s="1"/>
  <c r="R21" i="8"/>
  <c r="R22" i="8" s="1"/>
  <c r="R24" i="8" s="1"/>
  <c r="S42" i="14"/>
  <c r="S43" i="14" s="1"/>
  <c r="S45" i="14" s="1"/>
  <c r="S84" i="14"/>
  <c r="S87" i="14" s="1"/>
  <c r="S90" i="14" s="1"/>
  <c r="S87" i="11"/>
  <c r="S90" i="11" s="1"/>
  <c r="S93" i="11" s="1"/>
  <c r="S42" i="11"/>
  <c r="S43" i="11" s="1"/>
  <c r="S45" i="11" s="1"/>
  <c r="S87" i="10"/>
  <c r="S90" i="10" s="1"/>
  <c r="S93" i="10" s="1"/>
  <c r="S42" i="10"/>
  <c r="S43" i="10" s="1"/>
  <c r="S80" i="9"/>
  <c r="S79" i="10"/>
  <c r="S80" i="12"/>
  <c r="S79" i="11"/>
  <c r="T53" i="22"/>
  <c r="T54" i="22"/>
  <c r="T57" i="22" s="1"/>
  <c r="T72" i="22"/>
  <c r="S12" i="8"/>
  <c r="S42" i="13"/>
  <c r="S43" i="13" s="1"/>
  <c r="S77" i="13"/>
  <c r="S79" i="13" s="1"/>
  <c r="S86" i="13" s="1"/>
  <c r="S91" i="13"/>
  <c r="S94" i="13" s="1"/>
  <c r="S97" i="13" s="1"/>
  <c r="S42" i="12"/>
  <c r="S43" i="12" s="1"/>
  <c r="S45" i="12" s="1"/>
  <c r="S90" i="12"/>
  <c r="S93" i="12" s="1"/>
  <c r="S96" i="12" s="1"/>
  <c r="S42" i="9"/>
  <c r="S43" i="9" s="1"/>
  <c r="S90" i="9"/>
  <c r="S93" i="9" s="1"/>
  <c r="S96" i="9" s="1"/>
  <c r="S45" i="13" l="1"/>
  <c r="S45" i="9"/>
  <c r="R63" i="9"/>
  <c r="R65" i="9" s="1"/>
  <c r="R79" i="9" s="1"/>
  <c r="R81" i="9" s="1"/>
  <c r="R83" i="9" s="1"/>
  <c r="S20" i="5"/>
  <c r="S22" i="5" s="1"/>
  <c r="S30" i="5" s="1"/>
  <c r="S32" i="5" s="1"/>
  <c r="R63" i="10"/>
  <c r="R65" i="10" s="1"/>
  <c r="R78" i="10" s="1"/>
  <c r="R80" i="10" s="1"/>
  <c r="R63" i="11"/>
  <c r="R65" i="11" s="1"/>
  <c r="R78" i="11" s="1"/>
  <c r="R80" i="11" s="1"/>
  <c r="R63" i="12"/>
  <c r="R65" i="12" s="1"/>
  <c r="R79" i="12" s="1"/>
  <c r="R81" i="12" s="1"/>
  <c r="R83" i="12" s="1"/>
  <c r="R63" i="13"/>
  <c r="R65" i="13" s="1"/>
  <c r="R63" i="14"/>
  <c r="R65" i="14" s="1"/>
  <c r="S96" i="10"/>
  <c r="S98" i="10"/>
  <c r="T97" i="10" s="1"/>
  <c r="S101" i="12"/>
  <c r="T100" i="12" s="1"/>
  <c r="S99" i="12"/>
  <c r="S43" i="4"/>
  <c r="S96" i="11"/>
  <c r="S98" i="11"/>
  <c r="T97" i="11" s="1"/>
  <c r="S44" i="4"/>
  <c r="S45" i="10"/>
  <c r="S93" i="14"/>
  <c r="S95" i="14"/>
  <c r="T94" i="14" s="1"/>
  <c r="S99" i="9"/>
  <c r="S101" i="9"/>
  <c r="T100" i="9" s="1"/>
  <c r="S104" i="9"/>
  <c r="S62" i="9" s="1"/>
  <c r="T61" i="22"/>
  <c r="T64" i="22" s="1"/>
  <c r="T60" i="22"/>
  <c r="S100" i="13"/>
  <c r="S102" i="13"/>
  <c r="T101" i="13" s="1"/>
  <c r="S105" i="13" l="1"/>
  <c r="S107" i="13" s="1"/>
  <c r="S62" i="13" s="1"/>
  <c r="S104" i="12"/>
  <c r="S62" i="12" s="1"/>
  <c r="T91" i="22"/>
  <c r="T39" i="4" s="1"/>
  <c r="S98" i="14"/>
  <c r="S62" i="14" s="1"/>
  <c r="S101" i="11"/>
  <c r="S62" i="11" s="1"/>
  <c r="S101" i="10"/>
  <c r="S102" i="9"/>
  <c r="T98" i="9" s="1"/>
  <c r="S99" i="10"/>
  <c r="T95" i="10" s="1"/>
  <c r="S96" i="14"/>
  <c r="T92" i="14" s="1"/>
  <c r="S99" i="11"/>
  <c r="T95" i="11" s="1"/>
  <c r="S46" i="4"/>
  <c r="S103" i="13"/>
  <c r="T99" i="13" s="1"/>
  <c r="T68" i="22"/>
  <c r="T67" i="22"/>
  <c r="T76" i="22" s="1"/>
  <c r="S102" i="12"/>
  <c r="T98" i="12" s="1"/>
  <c r="T38" i="9" l="1"/>
  <c r="T40" i="9" s="1"/>
  <c r="T38" i="10"/>
  <c r="T40" i="10" s="1"/>
  <c r="T38" i="12"/>
  <c r="T40" i="12" s="1"/>
  <c r="T38" i="11"/>
  <c r="T40" i="11" s="1"/>
  <c r="T38" i="13"/>
  <c r="T40" i="13" s="1"/>
  <c r="T38" i="14"/>
  <c r="T40" i="14" s="1"/>
  <c r="T41" i="4"/>
  <c r="U15" i="5"/>
  <c r="U17" i="5" s="1"/>
  <c r="T77" i="22"/>
  <c r="S62" i="10"/>
  <c r="S8" i="8"/>
  <c r="U52" i="22"/>
  <c r="T73" i="22"/>
  <c r="T12" i="8" l="1"/>
  <c r="T19" i="5"/>
  <c r="S15" i="8"/>
  <c r="S16" i="8" s="1"/>
  <c r="S19" i="8" s="1"/>
  <c r="T42" i="14"/>
  <c r="T84" i="14"/>
  <c r="T87" i="14" s="1"/>
  <c r="T90" i="14" s="1"/>
  <c r="T43" i="14"/>
  <c r="T45" i="14" s="1"/>
  <c r="T42" i="13"/>
  <c r="T77" i="13"/>
  <c r="T79" i="13" s="1"/>
  <c r="T86" i="13" s="1"/>
  <c r="T91" i="13"/>
  <c r="T94" i="13" s="1"/>
  <c r="T97" i="13" s="1"/>
  <c r="U54" i="22"/>
  <c r="U57" i="22" s="1"/>
  <c r="U53" i="22"/>
  <c r="U72" i="22"/>
  <c r="T58" i="9"/>
  <c r="T60" i="9" s="1"/>
  <c r="T58" i="10"/>
  <c r="T60" i="10" s="1"/>
  <c r="T79" i="22"/>
  <c r="T58" i="12"/>
  <c r="T60" i="12" s="1"/>
  <c r="T58" i="11"/>
  <c r="T60" i="11" s="1"/>
  <c r="T58" i="13"/>
  <c r="T60" i="13" s="1"/>
  <c r="T58" i="14"/>
  <c r="T60" i="14" s="1"/>
  <c r="T42" i="11"/>
  <c r="T43" i="11" s="1"/>
  <c r="T87" i="11"/>
  <c r="T90" i="11" s="1"/>
  <c r="T93" i="11" s="1"/>
  <c r="T42" i="12"/>
  <c r="T90" i="12"/>
  <c r="T93" i="12" s="1"/>
  <c r="T96" i="12" s="1"/>
  <c r="T43" i="12"/>
  <c r="T45" i="12" s="1"/>
  <c r="T80" i="9"/>
  <c r="T79" i="10"/>
  <c r="T80" i="12"/>
  <c r="T79" i="11"/>
  <c r="T87" i="10"/>
  <c r="T90" i="10" s="1"/>
  <c r="T93" i="10" s="1"/>
  <c r="T42" i="10"/>
  <c r="T43" i="10" s="1"/>
  <c r="T45" i="10" s="1"/>
  <c r="T90" i="9"/>
  <c r="T93" i="9" s="1"/>
  <c r="T96" i="9" s="1"/>
  <c r="T42" i="9"/>
  <c r="T43" i="9" s="1"/>
  <c r="T45" i="9" l="1"/>
  <c r="T98" i="10"/>
  <c r="U97" i="10" s="1"/>
  <c r="T96" i="10"/>
  <c r="S22" i="8"/>
  <c r="S24" i="8" s="1"/>
  <c r="S21" i="8"/>
  <c r="T99" i="12"/>
  <c r="T101" i="12"/>
  <c r="U100" i="12" s="1"/>
  <c r="T98" i="11"/>
  <c r="U97" i="11" s="1"/>
  <c r="T96" i="11"/>
  <c r="T43" i="4"/>
  <c r="T45" i="11"/>
  <c r="T43" i="13"/>
  <c r="T44" i="4" s="1"/>
  <c r="T95" i="14"/>
  <c r="U94" i="14" s="1"/>
  <c r="T93" i="14"/>
  <c r="T96" i="14" s="1"/>
  <c r="U92" i="14" s="1"/>
  <c r="U60" i="22"/>
  <c r="U61" i="22"/>
  <c r="U64" i="22" s="1"/>
  <c r="T102" i="13"/>
  <c r="U101" i="13" s="1"/>
  <c r="T100" i="13"/>
  <c r="T101" i="9"/>
  <c r="U100" i="9" s="1"/>
  <c r="T99" i="9"/>
  <c r="T102" i="9" s="1"/>
  <c r="U98" i="9" s="1"/>
  <c r="T45" i="13"/>
  <c r="T104" i="9" l="1"/>
  <c r="T62" i="9" s="1"/>
  <c r="T99" i="10"/>
  <c r="U95" i="10" s="1"/>
  <c r="T101" i="10"/>
  <c r="T104" i="12"/>
  <c r="T62" i="12" s="1"/>
  <c r="S63" i="9"/>
  <c r="S65" i="9" s="1"/>
  <c r="S79" i="9" s="1"/>
  <c r="S81" i="9" s="1"/>
  <c r="S83" i="9" s="1"/>
  <c r="T20" i="5"/>
  <c r="T22" i="5" s="1"/>
  <c r="T30" i="5" s="1"/>
  <c r="T32" i="5" s="1"/>
  <c r="S63" i="10"/>
  <c r="S65" i="10" s="1"/>
  <c r="S78" i="10" s="1"/>
  <c r="S80" i="10" s="1"/>
  <c r="S63" i="12"/>
  <c r="S65" i="12" s="1"/>
  <c r="S79" i="12" s="1"/>
  <c r="S81" i="12" s="1"/>
  <c r="S83" i="12" s="1"/>
  <c r="S63" i="13"/>
  <c r="S65" i="13" s="1"/>
  <c r="S63" i="11"/>
  <c r="S65" i="11" s="1"/>
  <c r="S78" i="11" s="1"/>
  <c r="S80" i="11" s="1"/>
  <c r="S63" i="14"/>
  <c r="S65" i="14" s="1"/>
  <c r="T62" i="10"/>
  <c r="T102" i="12"/>
  <c r="U98" i="12" s="1"/>
  <c r="T98" i="14"/>
  <c r="T62" i="14" s="1"/>
  <c r="T103" i="13"/>
  <c r="U99" i="13" s="1"/>
  <c r="T46" i="4"/>
  <c r="T105" i="13"/>
  <c r="T107" i="13" s="1"/>
  <c r="T62" i="13" s="1"/>
  <c r="T99" i="11"/>
  <c r="U95" i="11" s="1"/>
  <c r="U68" i="22"/>
  <c r="U73" i="22" s="1"/>
  <c r="U67" i="22"/>
  <c r="U91" i="22" s="1"/>
  <c r="U39" i="4" s="1"/>
  <c r="T101" i="11"/>
  <c r="T62" i="11" s="1"/>
  <c r="U38" i="10" l="1"/>
  <c r="U38" i="9"/>
  <c r="U38" i="12"/>
  <c r="U38" i="11"/>
  <c r="U38" i="14"/>
  <c r="U38" i="13"/>
  <c r="W39" i="4"/>
  <c r="U41" i="4"/>
  <c r="U80" i="9"/>
  <c r="W80" i="9" s="1"/>
  <c r="U79" i="10"/>
  <c r="U80" i="12"/>
  <c r="W80" i="12" s="1"/>
  <c r="U79" i="11"/>
  <c r="U76" i="22"/>
  <c r="T8" i="8"/>
  <c r="V15" i="5" l="1"/>
  <c r="U77" i="22"/>
  <c r="X15" i="5"/>
  <c r="W38" i="14"/>
  <c r="U40" i="14"/>
  <c r="W38" i="13"/>
  <c r="U40" i="13"/>
  <c r="W38" i="12"/>
  <c r="U40" i="12"/>
  <c r="U12" i="8"/>
  <c r="W41" i="4"/>
  <c r="W38" i="11"/>
  <c r="U40" i="11"/>
  <c r="W38" i="9"/>
  <c r="U40" i="9"/>
  <c r="U19" i="5"/>
  <c r="T15" i="8"/>
  <c r="T16" i="8" s="1"/>
  <c r="T19" i="8" s="1"/>
  <c r="W38" i="10"/>
  <c r="U40" i="10"/>
  <c r="U43" i="13" l="1"/>
  <c r="U91" i="13"/>
  <c r="U42" i="13"/>
  <c r="U77" i="13"/>
  <c r="U79" i="13" s="1"/>
  <c r="U86" i="13" s="1"/>
  <c r="W40" i="13"/>
  <c r="U42" i="9"/>
  <c r="W42" i="9" s="1"/>
  <c r="U90" i="9"/>
  <c r="W40" i="9"/>
  <c r="X39" i="4"/>
  <c r="Y39" i="4" s="1"/>
  <c r="W12" i="8"/>
  <c r="U84" i="14"/>
  <c r="U42" i="14"/>
  <c r="W42" i="14" s="1"/>
  <c r="W40" i="14"/>
  <c r="T21" i="8"/>
  <c r="T22" i="8"/>
  <c r="T24" i="8" s="1"/>
  <c r="U58" i="10"/>
  <c r="U58" i="9"/>
  <c r="U79" i="22"/>
  <c r="U58" i="12"/>
  <c r="U58" i="11"/>
  <c r="U58" i="13"/>
  <c r="U58" i="14"/>
  <c r="U43" i="11"/>
  <c r="W43" i="11" s="1"/>
  <c r="U42" i="11"/>
  <c r="W42" i="11" s="1"/>
  <c r="U87" i="11"/>
  <c r="W40" i="11"/>
  <c r="U42" i="10"/>
  <c r="W42" i="10" s="1"/>
  <c r="U87" i="10"/>
  <c r="U43" i="10"/>
  <c r="W43" i="10" s="1"/>
  <c r="W40" i="10"/>
  <c r="X41" i="4" s="1"/>
  <c r="Y41" i="4" s="1"/>
  <c r="U43" i="12"/>
  <c r="W43" i="12" s="1"/>
  <c r="U42" i="12"/>
  <c r="W42" i="12" s="1"/>
  <c r="U90" i="12"/>
  <c r="W40" i="12"/>
  <c r="W15" i="5"/>
  <c r="Y15" i="5" s="1"/>
  <c r="V17" i="5"/>
  <c r="W17" i="5" s="1"/>
  <c r="U43" i="14" l="1"/>
  <c r="W43" i="14" s="1"/>
  <c r="T63" i="9"/>
  <c r="T65" i="9" s="1"/>
  <c r="T79" i="9" s="1"/>
  <c r="T81" i="9" s="1"/>
  <c r="T83" i="9" s="1"/>
  <c r="T63" i="10"/>
  <c r="T65" i="10" s="1"/>
  <c r="T78" i="10" s="1"/>
  <c r="T80" i="10" s="1"/>
  <c r="U20" i="5"/>
  <c r="U22" i="5" s="1"/>
  <c r="U30" i="5" s="1"/>
  <c r="U32" i="5" s="1"/>
  <c r="T63" i="12"/>
  <c r="T65" i="12" s="1"/>
  <c r="T79" i="12" s="1"/>
  <c r="T81" i="12" s="1"/>
  <c r="T83" i="12" s="1"/>
  <c r="T63" i="11"/>
  <c r="T65" i="11" s="1"/>
  <c r="T78" i="11" s="1"/>
  <c r="T80" i="11" s="1"/>
  <c r="T63" i="13"/>
  <c r="T65" i="13" s="1"/>
  <c r="T63" i="14"/>
  <c r="T65" i="14" s="1"/>
  <c r="U45" i="11"/>
  <c r="W58" i="9"/>
  <c r="U60" i="9"/>
  <c r="W43" i="13"/>
  <c r="W58" i="10"/>
  <c r="U60" i="10"/>
  <c r="U87" i="14"/>
  <c r="W84" i="14"/>
  <c r="U43" i="9"/>
  <c r="U44" i="4" s="1"/>
  <c r="W44" i="4" s="1"/>
  <c r="U90" i="10"/>
  <c r="W87" i="10"/>
  <c r="W58" i="14"/>
  <c r="U60" i="14"/>
  <c r="U45" i="10"/>
  <c r="W58" i="13"/>
  <c r="U60" i="13"/>
  <c r="U45" i="13"/>
  <c r="W45" i="13" s="1"/>
  <c r="W58" i="11"/>
  <c r="U60" i="11"/>
  <c r="U45" i="12"/>
  <c r="W58" i="12"/>
  <c r="U60" i="12"/>
  <c r="U43" i="4"/>
  <c r="W42" i="13"/>
  <c r="X43" i="4" s="1"/>
  <c r="U93" i="12"/>
  <c r="W90" i="12"/>
  <c r="U90" i="11"/>
  <c r="W87" i="11"/>
  <c r="G84" i="22"/>
  <c r="D49" i="2" s="1"/>
  <c r="G85" i="22"/>
  <c r="E49" i="2" s="1"/>
  <c r="U45" i="14"/>
  <c r="W45" i="14" s="1"/>
  <c r="U93" i="9"/>
  <c r="W90" i="9"/>
  <c r="U94" i="13"/>
  <c r="W91" i="13"/>
  <c r="W45" i="12" l="1"/>
  <c r="W45" i="10"/>
  <c r="W45" i="11"/>
  <c r="X12" i="8"/>
  <c r="Y12" i="8" s="1"/>
  <c r="U93" i="11"/>
  <c r="W90" i="11"/>
  <c r="U90" i="14"/>
  <c r="W87" i="14"/>
  <c r="U97" i="13"/>
  <c r="W94" i="13"/>
  <c r="W60" i="11"/>
  <c r="W60" i="14"/>
  <c r="W60" i="10"/>
  <c r="W43" i="4"/>
  <c r="Y43" i="4" s="1"/>
  <c r="U46" i="4"/>
  <c r="W46" i="4" s="1"/>
  <c r="U93" i="10"/>
  <c r="W90" i="10"/>
  <c r="U96" i="12"/>
  <c r="W93" i="12"/>
  <c r="W60" i="12"/>
  <c r="W60" i="13"/>
  <c r="W60" i="9"/>
  <c r="U96" i="9"/>
  <c r="W93" i="9"/>
  <c r="W43" i="9"/>
  <c r="X44" i="4" s="1"/>
  <c r="Y44" i="4" s="1"/>
  <c r="U45" i="9"/>
  <c r="U98" i="11" l="1"/>
  <c r="U101" i="11" s="1"/>
  <c r="U96" i="11"/>
  <c r="U101" i="12"/>
  <c r="U104" i="12"/>
  <c r="U99" i="12"/>
  <c r="U96" i="10"/>
  <c r="U98" i="10"/>
  <c r="U101" i="10" s="1"/>
  <c r="U102" i="13"/>
  <c r="U105" i="13" s="1"/>
  <c r="U100" i="13"/>
  <c r="U103" i="13" s="1"/>
  <c r="U101" i="9"/>
  <c r="U104" i="9" s="1"/>
  <c r="U99" i="9"/>
  <c r="U102" i="9" s="1"/>
  <c r="W45" i="9"/>
  <c r="X46" i="4" s="1"/>
  <c r="Y46" i="4" s="1"/>
  <c r="X17" i="5"/>
  <c r="U95" i="14"/>
  <c r="U98" i="14" s="1"/>
  <c r="U93" i="14"/>
  <c r="U99" i="10" l="1"/>
  <c r="U62" i="14"/>
  <c r="W62" i="14" s="1"/>
  <c r="W98" i="14"/>
  <c r="W105" i="13"/>
  <c r="U107" i="13"/>
  <c r="U62" i="11"/>
  <c r="W62" i="11" s="1"/>
  <c r="W101" i="11"/>
  <c r="U96" i="14"/>
  <c r="U102" i="12"/>
  <c r="U62" i="12"/>
  <c r="W62" i="12" s="1"/>
  <c r="W104" i="12"/>
  <c r="U99" i="11"/>
  <c r="U62" i="9"/>
  <c r="W62" i="9" s="1"/>
  <c r="W104" i="9"/>
  <c r="U62" i="10"/>
  <c r="W62" i="10" s="1"/>
  <c r="U8" i="8"/>
  <c r="W101" i="10"/>
  <c r="V19" i="5" l="1"/>
  <c r="W19" i="5" s="1"/>
  <c r="U15" i="8"/>
  <c r="W8" i="8"/>
  <c r="X15" i="8"/>
  <c r="U62" i="13"/>
  <c r="W62" i="13" s="1"/>
  <c r="W107" i="13"/>
  <c r="X8" i="8" s="1"/>
  <c r="X19" i="5"/>
  <c r="W15" i="8" l="1"/>
  <c r="Y15" i="8" s="1"/>
  <c r="U16" i="8"/>
  <c r="U19" i="8" s="1"/>
  <c r="Y19" i="5"/>
  <c r="Y8" i="8"/>
  <c r="U22" i="8" l="1"/>
  <c r="U24" i="8"/>
  <c r="U21" i="8"/>
  <c r="V20" i="5" l="1"/>
  <c r="U63" i="9"/>
  <c r="U63" i="10"/>
  <c r="U63" i="11"/>
  <c r="U63" i="13"/>
  <c r="U63" i="14"/>
  <c r="U63" i="12"/>
  <c r="W24" i="8"/>
  <c r="W63" i="14" l="1"/>
  <c r="U65" i="14"/>
  <c r="W65" i="14" s="1"/>
  <c r="W63" i="13"/>
  <c r="U65" i="13"/>
  <c r="W65" i="13" s="1"/>
  <c r="W63" i="12"/>
  <c r="U65" i="12"/>
  <c r="W63" i="11"/>
  <c r="U65" i="11"/>
  <c r="W63" i="10"/>
  <c r="U65" i="10"/>
  <c r="W63" i="9"/>
  <c r="U65" i="9"/>
  <c r="V22" i="5"/>
  <c r="V30" i="5" s="1"/>
  <c r="V32" i="5" s="1"/>
  <c r="B33" i="5" s="1"/>
  <c r="D58" i="2" s="1"/>
  <c r="W20" i="5"/>
  <c r="W22" i="5" l="1"/>
  <c r="W65" i="9"/>
  <c r="U79" i="9"/>
  <c r="W65" i="11"/>
  <c r="U78" i="11"/>
  <c r="U80" i="11" s="1"/>
  <c r="X24" i="8"/>
  <c r="Y24" i="8" s="1"/>
  <c r="W65" i="12"/>
  <c r="U79" i="12"/>
  <c r="W65" i="10"/>
  <c r="U78" i="10"/>
  <c r="U80" i="10" s="1"/>
  <c r="X20" i="5"/>
  <c r="Y20" i="5" s="1"/>
  <c r="U81" i="9" l="1"/>
  <c r="W79" i="9"/>
  <c r="U81" i="12"/>
  <c r="W79" i="12"/>
  <c r="X22" i="5"/>
  <c r="Y22" i="5" s="1"/>
  <c r="U83" i="9" l="1"/>
  <c r="W83" i="9" s="1"/>
  <c r="W81" i="9"/>
  <c r="U83" i="12"/>
  <c r="W83" i="12" s="1"/>
  <c r="W81" i="12"/>
</calcChain>
</file>

<file path=xl/sharedStrings.xml><?xml version="1.0" encoding="utf-8"?>
<sst xmlns="http://schemas.openxmlformats.org/spreadsheetml/2006/main" count="847" uniqueCount="299">
  <si>
    <t>DSCR</t>
  </si>
  <si>
    <t>SOURCES &amp; USES:</t>
  </si>
  <si>
    <t>TECHNICAL ASSUMPTIONS:</t>
  </si>
  <si>
    <t>1999 PROJECTS</t>
  </si>
  <si>
    <t>2000 PROJECTS</t>
  </si>
  <si>
    <t>Sources of Funds</t>
  </si>
  <si>
    <t>%</t>
  </si>
  <si>
    <t>000 $</t>
  </si>
  <si>
    <t xml:space="preserve">Total Equity </t>
  </si>
  <si>
    <t>Brownsville</t>
  </si>
  <si>
    <t>Caledonia</t>
  </si>
  <si>
    <t>New Albany</t>
  </si>
  <si>
    <t>Wheatland</t>
  </si>
  <si>
    <t>Wilton</t>
  </si>
  <si>
    <t>Bond Proceeds</t>
  </si>
  <si>
    <t>Total Sources</t>
  </si>
  <si>
    <t>Number of Turbines</t>
  </si>
  <si>
    <t>Tranche 1</t>
  </si>
  <si>
    <t>Tranche 2</t>
  </si>
  <si>
    <t>Tranche 3</t>
  </si>
  <si>
    <t>Total</t>
  </si>
  <si>
    <t>Amount ('000 $)</t>
  </si>
  <si>
    <t>Term (yrs)</t>
  </si>
  <si>
    <t>Final Maturity</t>
  </si>
  <si>
    <t>Average Life (yrs)</t>
  </si>
  <si>
    <t>Spread (%)</t>
  </si>
  <si>
    <t>All In Coupon Rate (%)</t>
  </si>
  <si>
    <t>Interest Income Rate</t>
  </si>
  <si>
    <t>DEPRECIATION ASSUMPTIONS:</t>
  </si>
  <si>
    <t>Initial Basis (000 $)</t>
  </si>
  <si>
    <t>Year</t>
  </si>
  <si>
    <t>Method</t>
  </si>
  <si>
    <t>Residual (%)</t>
  </si>
  <si>
    <t>Federal &amp; State Tax Depreciation</t>
  </si>
  <si>
    <t>MACRS</t>
  </si>
  <si>
    <t>SL</t>
  </si>
  <si>
    <t>TAX ASSUMPTIONS:</t>
  </si>
  <si>
    <t>Book Depreciation</t>
  </si>
  <si>
    <t>Federal Income Tax Rate</t>
  </si>
  <si>
    <t>State Income Tax Rate</t>
  </si>
  <si>
    <t>N/A</t>
  </si>
  <si>
    <t>SUMMARY OUTPUT:</t>
  </si>
  <si>
    <t>OPERATING COSTS ASSUMPTIONS:</t>
  </si>
  <si>
    <t>Min</t>
  </si>
  <si>
    <t>Avg.</t>
  </si>
  <si>
    <t>1999 Projects</t>
  </si>
  <si>
    <t>2000 Projects</t>
  </si>
  <si>
    <t>1999 &amp; 2000 Projects</t>
  </si>
  <si>
    <t>Fixed O&amp;M</t>
  </si>
  <si>
    <t>Variable O&amp;M</t>
  </si>
  <si>
    <t>TVA Capacity Curves:</t>
  </si>
  <si>
    <t>1998 $</t>
  </si>
  <si>
    <t>Nominal $</t>
  </si>
  <si>
    <t>(for Wilton Center)</t>
  </si>
  <si>
    <t>Southern ECAR Capacity Curves:</t>
  </si>
  <si>
    <t>(for Wheatland)</t>
  </si>
  <si>
    <t>('000 $)</t>
  </si>
  <si>
    <t>Revenue</t>
  </si>
  <si>
    <t>Demand Payment</t>
  </si>
  <si>
    <t xml:space="preserve">Variable Revenue </t>
  </si>
  <si>
    <t>Total Revenue</t>
  </si>
  <si>
    <t>Expense</t>
  </si>
  <si>
    <t>Total Expense</t>
  </si>
  <si>
    <t>EBITDA</t>
  </si>
  <si>
    <t>Depreciation &amp; Amortization</t>
  </si>
  <si>
    <t>EBIT</t>
  </si>
  <si>
    <t>Interest Expense</t>
  </si>
  <si>
    <t>EBT</t>
  </si>
  <si>
    <t>Book State Tax Benefit / (Expense)</t>
  </si>
  <si>
    <t>Shareholder Fed. Tax Benefit / (Expense)</t>
  </si>
  <si>
    <t>Net Income</t>
  </si>
  <si>
    <t>Debt Service</t>
  </si>
  <si>
    <t>Pre Tax Cash Flow</t>
  </si>
  <si>
    <t>After Tax Cash Flow</t>
  </si>
  <si>
    <t>IRR Calculation</t>
  </si>
  <si>
    <t xml:space="preserve">   IRR</t>
  </si>
  <si>
    <t>Total amount ($ '000)</t>
  </si>
  <si>
    <t>Beginning Balance</t>
  </si>
  <si>
    <t xml:space="preserve">Principal Payment </t>
  </si>
  <si>
    <t xml:space="preserve">Interest Payment </t>
  </si>
  <si>
    <t>Ending Balance</t>
  </si>
  <si>
    <t>Net Debt Service</t>
  </si>
  <si>
    <t>15 Year MACRS Table</t>
  </si>
  <si>
    <t>STATE TAXES</t>
  </si>
  <si>
    <t>FEDERAL TAXES</t>
  </si>
  <si>
    <t>INCOME STATEMENT - WHEATLAND</t>
  </si>
  <si>
    <t>CASH FLOW - WHEATLAND</t>
  </si>
  <si>
    <t>Adjusted Gross Income Tax</t>
  </si>
  <si>
    <t>State Gross Receipts Taxes</t>
  </si>
  <si>
    <t>ALLOCATION</t>
  </si>
  <si>
    <t>Project</t>
  </si>
  <si>
    <t xml:space="preserve">   Sub Total</t>
  </si>
  <si>
    <t>INCOME STATEMENT - BROWNSVILLE</t>
  </si>
  <si>
    <t>INCOME STATEMENT - CALEDONIA</t>
  </si>
  <si>
    <t>INCOME STATEMENT - NEW ALBANY</t>
  </si>
  <si>
    <t>INCOME STATEMENT - WILTON</t>
  </si>
  <si>
    <t>Less Interest Payments</t>
  </si>
  <si>
    <t>Less Principal Payments</t>
  </si>
  <si>
    <t>Average Life</t>
  </si>
  <si>
    <t xml:space="preserve"> State Cash Taxes Benefit (Expense)</t>
  </si>
  <si>
    <t xml:space="preserve"> Federal Cash Taxes Benefit (Expense)</t>
  </si>
  <si>
    <t>Unhide Sub Debt, 1999 Columns</t>
  </si>
  <si>
    <t>ANNUAL CASH FLOW AND IRR</t>
  </si>
  <si>
    <t>Gleason</t>
  </si>
  <si>
    <t>Initial Book Value</t>
  </si>
  <si>
    <t>No. of Months in Operation</t>
  </si>
  <si>
    <t>% Depreciated</t>
  </si>
  <si>
    <t>Beginning Book Value</t>
  </si>
  <si>
    <t>Depreciation</t>
  </si>
  <si>
    <t>Ending Book Value</t>
  </si>
  <si>
    <t>GenCo</t>
  </si>
  <si>
    <t>Fixed Price Period</t>
  </si>
  <si>
    <t>O&amp;M Management Fee</t>
  </si>
  <si>
    <t>Owner's Expense</t>
  </si>
  <si>
    <t>Annual Cost (000$ in Year 2000)</t>
  </si>
  <si>
    <t>Annual Escalator</t>
  </si>
  <si>
    <t>Tax Depreciation</t>
  </si>
  <si>
    <t>GENCO DEPRECIATION</t>
  </si>
  <si>
    <t>Project Cost</t>
  </si>
  <si>
    <t>Ending Value</t>
  </si>
  <si>
    <t>Beginning Value</t>
  </si>
  <si>
    <t>Close</t>
  </si>
  <si>
    <t>DEBT ISSUANCE</t>
  </si>
  <si>
    <t>Principal Payments</t>
  </si>
  <si>
    <t>ACTUAL DSCR</t>
  </si>
  <si>
    <t>Treasury (%)</t>
  </si>
  <si>
    <t>Term (years)</t>
  </si>
  <si>
    <t>Average Life (years)</t>
  </si>
  <si>
    <t>Average</t>
  </si>
  <si>
    <t>Minimum</t>
  </si>
  <si>
    <t>Time Factor</t>
  </si>
  <si>
    <t>Total State Taxes Utilizing NOLs</t>
  </si>
  <si>
    <t>State Taxable Income</t>
  </si>
  <si>
    <t>Plus Book Depreciation &amp; Amortization</t>
  </si>
  <si>
    <t>Current State Income Tax Expense (Benefit)</t>
  </si>
  <si>
    <t>Beginning NOL's</t>
  </si>
  <si>
    <t>New NOL's</t>
  </si>
  <si>
    <t>Expired NOL's</t>
  </si>
  <si>
    <t>NOL Utilization</t>
  </si>
  <si>
    <t>Ending NOL's</t>
  </si>
  <si>
    <t>Less: State Taxes</t>
  </si>
  <si>
    <t>Federal Tax Rate</t>
  </si>
  <si>
    <t>Federal Tax Expense/ (Benefit)</t>
  </si>
  <si>
    <t>Debt Closing Date</t>
  </si>
  <si>
    <t>Fixed Price Period:</t>
  </si>
  <si>
    <t>Accrued Interest</t>
  </si>
  <si>
    <t>Salvage Value</t>
  </si>
  <si>
    <t>GenCo Pre-Tax Cashflow (000 $)</t>
  </si>
  <si>
    <t>GenCo After-Tax Cashflow (000 $)</t>
  </si>
  <si>
    <t>GenCo EBITDA (000 $)</t>
  </si>
  <si>
    <t>GenCo Net Income (000 $)</t>
  </si>
  <si>
    <t>INCOME STATEMENT - GLEASON</t>
  </si>
  <si>
    <t>GENCO INCOME STATEMENT</t>
  </si>
  <si>
    <t>GENCO CASH FLOW</t>
  </si>
  <si>
    <t>Annual Generation (MWh)</t>
  </si>
  <si>
    <t>Numbers of Starts</t>
  </si>
  <si>
    <t>FINANCING ASSUMPTIONS:</t>
  </si>
  <si>
    <t>Debt Financing Summary:</t>
  </si>
  <si>
    <t>Equity Financing Summary:</t>
  </si>
  <si>
    <t>Equity Closing Date</t>
  </si>
  <si>
    <t>By Project Cost</t>
  </si>
  <si>
    <t>Check</t>
  </si>
  <si>
    <t>Principal</t>
  </si>
  <si>
    <t>By Cashflow</t>
  </si>
  <si>
    <t>ASSUMPTIONS</t>
  </si>
  <si>
    <t>SUMMARY OUTPUT</t>
  </si>
  <si>
    <t>Total Uses</t>
  </si>
  <si>
    <t>Sub Total</t>
  </si>
  <si>
    <t>Interest Income</t>
  </si>
  <si>
    <t>Plus Property Tax Liability</t>
  </si>
  <si>
    <t>Less Property Tax Expense</t>
  </si>
  <si>
    <t>GENCO FEDERAL TAXES</t>
  </si>
  <si>
    <t>CASH FLOW - CALEDONIA</t>
  </si>
  <si>
    <t>CASH FLOW - NEW ALBANY</t>
  </si>
  <si>
    <t>Adjusted Gross Income Rate</t>
  </si>
  <si>
    <t>State Adjusted Gross Income Tax</t>
  </si>
  <si>
    <t>Gross Receipts Tax Rate</t>
  </si>
  <si>
    <t>Gross Receipts Tax Liability</t>
  </si>
  <si>
    <t>Greater of Adjusted or Gross Receipts</t>
  </si>
  <si>
    <t>Franchise Tax Rate (Year 1)</t>
  </si>
  <si>
    <t>Franchise Tax Rate (Year 2-20)</t>
  </si>
  <si>
    <t>Paid-In-Capital</t>
  </si>
  <si>
    <t>SUPPLEMENTAL TAXES</t>
  </si>
  <si>
    <t>FRANCHISE TAX</t>
  </si>
  <si>
    <t>State Franchise Tax Rate</t>
  </si>
  <si>
    <t>State Franchise Tax Liability</t>
  </si>
  <si>
    <t>Franchise Tax</t>
  </si>
  <si>
    <t>STATE TAX &amp; FRANCHISE TAX - CALEDONIA</t>
  </si>
  <si>
    <t>Outstanding Debt</t>
  </si>
  <si>
    <t>Shareholders Equity &amp; Long Term Debt</t>
  </si>
  <si>
    <t>Property Taxes Liability</t>
  </si>
  <si>
    <t>STATE TAX &amp; FRANCHISE TAX - BROWNSVILLE</t>
  </si>
  <si>
    <t>STATE TAX &amp; FRANCHISE TAX - GLEASON</t>
  </si>
  <si>
    <t>Book Value of Assets</t>
  </si>
  <si>
    <t>Total Capitalization</t>
  </si>
  <si>
    <t>Total Project Cost</t>
  </si>
  <si>
    <t xml:space="preserve">Property Taxes Liability </t>
  </si>
  <si>
    <t>(for Brownsville, Caledonia, New Albany and Gleason)</t>
  </si>
  <si>
    <t>Property Taxes</t>
  </si>
  <si>
    <t>Federal Taxable Income</t>
  </si>
  <si>
    <t>Goal Seek</t>
  </si>
  <si>
    <t>Solve Equity</t>
  </si>
  <si>
    <t>Less: Tax Depreciation</t>
  </si>
  <si>
    <t>Less Tax Depreciation</t>
  </si>
  <si>
    <t>Tax Depreciation From Above</t>
  </si>
  <si>
    <t>Tax Depreciation From 6 Plants</t>
  </si>
  <si>
    <t>Difference</t>
  </si>
  <si>
    <t>Variable O&amp;M ($/MWh-year)</t>
  </si>
  <si>
    <t>Energy Payment</t>
  </si>
  <si>
    <t>Energy Charge ($/MWh)</t>
  </si>
  <si>
    <t>Greater of Book Value and Capitalization</t>
  </si>
  <si>
    <r>
      <t>Summer Capacity (MW)</t>
    </r>
    <r>
      <rPr>
        <vertAlign val="superscript"/>
        <sz val="9"/>
        <rFont val="Times New Roman"/>
        <family val="1"/>
      </rPr>
      <t>(1)</t>
    </r>
  </si>
  <si>
    <t>(1) Includes additional capacity of 20 MW at Caledonia and 15 MW at New Albany, with installation of evaporative coolers by June 2000.</t>
  </si>
  <si>
    <t xml:space="preserve">  GenCo's State Tax Benefit/(Expense)</t>
  </si>
  <si>
    <t xml:space="preserve">  GenCo's Federal Tax Benefit/(Expense)</t>
  </si>
  <si>
    <t>CASH FLOW - GLEASON</t>
  </si>
  <si>
    <t>CASH FLOW - WILTON</t>
  </si>
  <si>
    <t>CASH FLOW - BROWNSVILLE</t>
  </si>
  <si>
    <t>Total Debt</t>
  </si>
  <si>
    <t>Greater of Book Value or Capitalization</t>
  </si>
  <si>
    <t>After Tax Book Income</t>
  </si>
  <si>
    <t>STATE TAX &amp; FRANCHISE TAX - NEW ALBANY</t>
  </si>
  <si>
    <t>STATE TAX &amp; SUPPLEMENTAL TAX - WHEATLAND</t>
  </si>
  <si>
    <t>STATE TAX &amp; FRANCHISE TAX - WILTON</t>
  </si>
  <si>
    <t>Franchise Tax - Brownsville, Caledonia, New Albany, Gleason, Wheatland</t>
  </si>
  <si>
    <t>Com Ed Capacity Curves:</t>
  </si>
  <si>
    <t>ICF Capacity Price Escalator</t>
  </si>
  <si>
    <t>ICF Base ($/kW-year)</t>
  </si>
  <si>
    <t>ICF Base ($/kW-year )</t>
  </si>
  <si>
    <t>ICF Base ($/kW-month)</t>
  </si>
  <si>
    <t>Required After-Tax Rate of Return (%)</t>
  </si>
  <si>
    <t>NOL Carryforward</t>
  </si>
  <si>
    <t>Total Federal Cash Taxes Payable/(Benefit)</t>
  </si>
  <si>
    <t xml:space="preserve">Franchise Tax </t>
  </si>
  <si>
    <t>Summer MW</t>
  </si>
  <si>
    <t xml:space="preserve">Treasury Rate (%) </t>
  </si>
  <si>
    <t>Amortization %</t>
  </si>
  <si>
    <t>1999 Peakers</t>
  </si>
  <si>
    <t>2000 Peakers</t>
  </si>
  <si>
    <t>Uses of Funds</t>
  </si>
  <si>
    <t>1999 Plants</t>
  </si>
  <si>
    <t>2000 Plants</t>
  </si>
  <si>
    <t>Total Summer Capacity for 1999 &amp; 2000 Projects (MW)</t>
  </si>
  <si>
    <t>POWER PRICE ASSUMPTION</t>
  </si>
  <si>
    <t>Difference in Revenue</t>
  </si>
  <si>
    <t xml:space="preserve">NPV </t>
  </si>
  <si>
    <t>EBITDA less Contract Amortization</t>
  </si>
  <si>
    <t>Pretax Book Income less Contract Amortization</t>
  </si>
  <si>
    <t>All-in Coupon Rate (%)</t>
  </si>
  <si>
    <t>Total State &amp; Misc. Taxes</t>
  </si>
  <si>
    <t>Difference Between ICF Capacity Price and Fixed Capacity Price</t>
  </si>
  <si>
    <t>Weighted Average Heat Rate (Btu/kWh)</t>
  </si>
  <si>
    <t>Summer Heat Rate (HHV, Btu/kWh)</t>
  </si>
  <si>
    <t>Pre-Tax Cash Flow</t>
  </si>
  <si>
    <t>After-Tax Cash Flow</t>
  </si>
  <si>
    <t>Start Charge</t>
  </si>
  <si>
    <t>Start Charge ($/Start/Turbine)</t>
  </si>
  <si>
    <t>Merchant Price Period</t>
  </si>
  <si>
    <t>Merchant Price Period:</t>
  </si>
  <si>
    <t>Equity's After-Tax Returns with Salvage Value (20 yrs)</t>
  </si>
  <si>
    <t>Major Maintenance ($/Start/Turbine)</t>
  </si>
  <si>
    <t>Major Maintenance Per Plant</t>
  </si>
  <si>
    <t>Major Maintenance</t>
  </si>
  <si>
    <t>PRICING ASSUMPTIONS:</t>
  </si>
  <si>
    <t>Fixed Price Demand Charge ($/kW-month)</t>
  </si>
  <si>
    <t>Wheatland Capacity Price Curve</t>
  </si>
  <si>
    <t>TVA Plants' Capacity Price Curve</t>
  </si>
  <si>
    <t>FIXED PRICE PERIOD</t>
  </si>
  <si>
    <t>MERCHANT PRICE PERIOD</t>
  </si>
  <si>
    <t>Wilton Capacity Price Curve</t>
  </si>
  <si>
    <t>Equity's Contribution</t>
  </si>
  <si>
    <t>Equity's After-Tax Cashflow</t>
  </si>
  <si>
    <t>Equity's Net Cashflow</t>
  </si>
  <si>
    <t>Salvage Value (2 x EBITDA) at the end of 20 years ($/kW)</t>
  </si>
  <si>
    <t>Power Contract Liability</t>
  </si>
  <si>
    <t>Amortization of Power Contract</t>
  </si>
  <si>
    <t>EBITDA less Amortization of Power Contract</t>
  </si>
  <si>
    <t>Pretax Book Income less Amortization of Power Contract</t>
  </si>
  <si>
    <t>AMORTIZATION OF POWER CONTRACT</t>
  </si>
  <si>
    <t>Retained Earnings (less Amortization of Power Contract)</t>
  </si>
  <si>
    <t>Gross Receipts less Amortization pf Power Contract</t>
  </si>
  <si>
    <t>Merchant Period:</t>
  </si>
  <si>
    <t>Total Project Cost less Power Contract Liability</t>
  </si>
  <si>
    <t>ISO MW</t>
  </si>
  <si>
    <t>$ CAPITAL COST / kW</t>
  </si>
  <si>
    <t>Total Value</t>
  </si>
  <si>
    <t>PPA Value</t>
  </si>
  <si>
    <t>('000)</t>
  </si>
  <si>
    <t>Enterprise Value</t>
  </si>
  <si>
    <t>EBIT Table</t>
  </si>
  <si>
    <t>P/E Table</t>
  </si>
  <si>
    <t>Net Income @ tax rate of</t>
  </si>
  <si>
    <t>Tax rate</t>
  </si>
  <si>
    <t>P/E Analysis</t>
  </si>
  <si>
    <t>Debt @</t>
  </si>
  <si>
    <t>Equity @</t>
  </si>
  <si>
    <t>Interest Expense @</t>
  </si>
  <si>
    <t>Equity/Net Income</t>
  </si>
  <si>
    <t>Equity&amp;PPA Value/Net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</si>
</sst>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2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&quot;$&quot;* #,##0_);_(&quot;$&quot;* \(#,##0\);_(&quot;$&quot;* &quot;-&quot;??_);_(@_)"/>
    <numFmt numFmtId="166" formatCode="_(* #,##0_);_(* \(#,##0\);_(* &quot;-&quot;??_);_(@_)"/>
    <numFmt numFmtId="168" formatCode="_(* #,##0.0_);_(* \(#,##0.0\);_(* &quot;-&quot;??_);_(@_)"/>
    <numFmt numFmtId="169" formatCode="0_)"/>
    <numFmt numFmtId="170" formatCode="0.00_)"/>
    <numFmt numFmtId="171" formatCode="#,##0.0_);\(#,##0.0\)"/>
    <numFmt numFmtId="172" formatCode="#,##0.000_);\(#,##0.000\)"/>
    <numFmt numFmtId="173" formatCode="0.000%"/>
    <numFmt numFmtId="179" formatCode="0.00\x_);\(0.00\x\)"/>
    <numFmt numFmtId="180" formatCode="_(* #,##0.0_);_(* \(#,##0.0\);_(* &quot;-&quot;?_);_(@_)"/>
    <numFmt numFmtId="187" formatCode="0.0"/>
    <numFmt numFmtId="189" formatCode="0.0000"/>
    <numFmt numFmtId="190" formatCode="0.000"/>
    <numFmt numFmtId="191" formatCode="0.0000%"/>
    <numFmt numFmtId="194" formatCode="_(* #,##0.0000_);_(* \(#,##0.0000\);_(* &quot;-&quot;??_);_(@_)"/>
    <numFmt numFmtId="201" formatCode="_(&quot;$&quot;* #,##0.000_);_(&quot;$&quot;* \(#,##0.000\);_(&quot;$&quot;* &quot;-&quot;??_);_(@_)"/>
    <numFmt numFmtId="205" formatCode="#,##0.000_);[Red]\(#,##0.000\)"/>
    <numFmt numFmtId="208" formatCode="_(&quot;$&quot;* #,##0.00000_);_(&quot;$&quot;* \(#,##0.00000\);_(&quot;$&quot;* &quot;-&quot;??_);_(@_)"/>
    <numFmt numFmtId="209" formatCode="&quot;$&quot;#,##0.00000"/>
    <numFmt numFmtId="210" formatCode="0.000000000000000%"/>
    <numFmt numFmtId="212" formatCode="0.00\x"/>
    <numFmt numFmtId="221" formatCode="#,##0.0"/>
    <numFmt numFmtId="222" formatCode="#,##0.000"/>
    <numFmt numFmtId="231" formatCode="0.000000%"/>
    <numFmt numFmtId="232" formatCode="0.0000000%"/>
    <numFmt numFmtId="238" formatCode="_(* #,##0.0000000000_);_(* \(#,##0.0000000000\);_(* &quot;-&quot;_);_(@_)"/>
    <numFmt numFmtId="240" formatCode="_(* #,##0.000000000000_);_(* \(#,##0.000000000000\);_(* &quot;-&quot;_);_(@_)"/>
    <numFmt numFmtId="250" formatCode="0.0%;\-0.0%;\ &quot;-&quot;_%;@_%"/>
    <numFmt numFmtId="262" formatCode="0.000000%;\-0.000000%;\ &quot;-&quot;_%;@_%"/>
    <numFmt numFmtId="263" formatCode="_(* #,##0.0000_);_(* \(#,##0.0000\);_(* &quot;-&quot;????_);_(@_)"/>
    <numFmt numFmtId="264" formatCode="_(* #,##0.000_);_(* \(#,##0.000\);_(* &quot;-&quot;???_);_(@_)"/>
    <numFmt numFmtId="269" formatCode="_ &quot;$&quot;\ * #,##0_ ;_ &quot;$&quot;\ * \-#,##0_ ;_ &quot;$&quot;\ * &quot;-&quot;_ ;_ @_ "/>
    <numFmt numFmtId="270" formatCode="_ * #,##0_ ;_ * \-#,##0_ ;_ * &quot;-&quot;_ ;_ @_ "/>
    <numFmt numFmtId="271" formatCode="_ &quot;$&quot;\ * #,##0.00_ ;_ &quot;$&quot;\ * \-#,##0.00_ ;_ &quot;$&quot;\ * &quot;-&quot;??_ ;_ @_ "/>
    <numFmt numFmtId="272" formatCode="_ * #,##0.00_ ;_ * \-#,##0.00_ ;_ * &quot;-&quot;??_ ;_ @_ "/>
    <numFmt numFmtId="273" formatCode="_ &quot;$&quot;\ * #,##0.0_ ;_ &quot;$&quot;\ * \-#,##0.0_ ;_ &quot;$&quot;\ * &quot;-&quot;??_ ;_ @_ "/>
    <numFmt numFmtId="281" formatCode="#,##0.0000_);[Red]\(#,##0.0000\)"/>
    <numFmt numFmtId="299" formatCode="m/yy"/>
    <numFmt numFmtId="301" formatCode="0.0000_)"/>
    <numFmt numFmtId="302" formatCode=";;;"/>
    <numFmt numFmtId="304" formatCode="&quot;$&quot;#,##0;[Red]&quot;$&quot;#,##0"/>
    <numFmt numFmtId="305" formatCode="0_);[Red]\(0\)"/>
    <numFmt numFmtId="306" formatCode="_(* #,##0.000000_);_(* \(#,##0.000000\);_(* &quot;-&quot;??_);_(@_)"/>
    <numFmt numFmtId="310" formatCode="0.00000000000000000%"/>
    <numFmt numFmtId="311" formatCode="yyyy"/>
    <numFmt numFmtId="313" formatCode="mmmm\ d\,\ yyyy"/>
    <numFmt numFmtId="315" formatCode="_(* #,##0.00000000_);_(* \(#,##0.00000000\);_(* &quot;-&quot;??_);_(@_)"/>
    <numFmt numFmtId="318" formatCode="0.000000\x_);\(0.000000\x\)"/>
    <numFmt numFmtId="319" formatCode="#,##0.000000_);[Red]\(#,##0.000000\)"/>
    <numFmt numFmtId="320" formatCode="0.00000000000000%"/>
    <numFmt numFmtId="331" formatCode="#,##0.0000000_);[Red]\(#,##0.0000000\)"/>
    <numFmt numFmtId="332" formatCode="#,##0.00000000_);[Red]\(#,##0.00000000\)"/>
    <numFmt numFmtId="333" formatCode="General_)"/>
    <numFmt numFmtId="334" formatCode="dd\-mmm_)"/>
    <numFmt numFmtId="335" formatCode="mmm\-dd"/>
    <numFmt numFmtId="336" formatCode="#,##0;\(#,##0\)"/>
    <numFmt numFmtId="337" formatCode="&quot;$&quot;#,##0;\(&quot;$&quot;#,##0\)"/>
    <numFmt numFmtId="338" formatCode="##0.000\ \¢"/>
    <numFmt numFmtId="339" formatCode="0.000E+00_)"/>
    <numFmt numFmtId="340" formatCode="&quot;$&quot;#,##0.0000000_);\(&quot;$&quot;#,##0.0000000\)"/>
    <numFmt numFmtId="341" formatCode="0.000000000"/>
    <numFmt numFmtId="342" formatCode="0.0000000000"/>
    <numFmt numFmtId="345" formatCode="&quot;$&quot;#,##0.000000000_);\(&quot;$&quot;#,##0.000000000\)"/>
    <numFmt numFmtId="346" formatCode="&quot;$&quot;#,##0.0000000000_);\(&quot;$&quot;#,##0.0000000000\)"/>
    <numFmt numFmtId="347" formatCode="&quot;$&quot;#,##0.000000_);[Red]\(&quot;$&quot;#,##0.000000\)"/>
    <numFmt numFmtId="348" formatCode="&quot;$&quot;#,##0.0000000_);[Red]\(&quot;$&quot;#,##0.0000000\)"/>
    <numFmt numFmtId="350" formatCode="0.0000000_)"/>
    <numFmt numFmtId="352" formatCode="0.000000000_)"/>
    <numFmt numFmtId="353" formatCode="#,##0.0000000000_);[Red]\(#,##0.0000000000\)"/>
    <numFmt numFmtId="354" formatCode="0.0E+00"/>
    <numFmt numFmtId="355" formatCode="0E+00"/>
    <numFmt numFmtId="357" formatCode="mm/dd/yy"/>
    <numFmt numFmtId="358" formatCode="&quot;$&quot;0&quot; / kW&quot;"/>
    <numFmt numFmtId="360" formatCode="0&quot; MW&quot;"/>
  </numFmts>
  <fonts count="113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9"/>
      <name val="Times New Roman"/>
      <family val="1"/>
    </font>
    <font>
      <sz val="8"/>
      <name val="Arial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b/>
      <sz val="12"/>
      <name val="Times New Roman"/>
      <family val="1"/>
    </font>
    <font>
      <sz val="8"/>
      <name val="Times New Roman"/>
      <family val="1"/>
    </font>
    <font>
      <b/>
      <u/>
      <sz val="10"/>
      <name val="Times New Roman"/>
      <family val="1"/>
    </font>
    <font>
      <u val="singleAccounting"/>
      <sz val="10"/>
      <name val="Times New Roman"/>
      <family val="1"/>
    </font>
    <font>
      <b/>
      <sz val="10"/>
      <color indexed="10"/>
      <name val="Times New Roman"/>
      <family val="1"/>
    </font>
    <font>
      <sz val="10"/>
      <color indexed="12"/>
      <name val="Times New Roman"/>
      <family val="1"/>
    </font>
    <font>
      <u/>
      <sz val="10"/>
      <name val="Times New Roman"/>
      <family val="1"/>
    </font>
    <font>
      <sz val="10"/>
      <color indexed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u/>
      <sz val="12"/>
      <name val="Times New Roman"/>
      <family val="1"/>
    </font>
    <font>
      <b/>
      <sz val="8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2"/>
      <name val="Arial"/>
    </font>
    <font>
      <sz val="10"/>
      <name val="Times New Roman"/>
    </font>
    <font>
      <sz val="12"/>
      <color indexed="8"/>
      <name val="Arial MT"/>
    </font>
    <font>
      <sz val="12"/>
      <color indexed="12"/>
      <name val="Times New Roman"/>
      <family val="1"/>
    </font>
    <font>
      <b/>
      <sz val="10"/>
      <color indexed="9"/>
      <name val="Times New Roman"/>
      <family val="1"/>
    </font>
    <font>
      <sz val="10"/>
      <color indexed="9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i/>
      <u/>
      <sz val="10"/>
      <color indexed="10"/>
      <name val="Times New Roman"/>
      <family val="1"/>
    </font>
    <font>
      <b/>
      <sz val="7"/>
      <name val="Times New Roman"/>
      <family val="1"/>
    </font>
    <font>
      <u val="singleAccounting"/>
      <sz val="8"/>
      <name val="Times New Roman"/>
      <family val="1"/>
    </font>
    <font>
      <b/>
      <sz val="20"/>
      <name val="Times New Roman"/>
      <family val="1"/>
    </font>
    <font>
      <u/>
      <sz val="10"/>
      <color indexed="20"/>
      <name val="Times New Roman"/>
      <family val="1"/>
    </font>
    <font>
      <sz val="10"/>
      <color indexed="12"/>
      <name val="Arial"/>
      <family val="2"/>
    </font>
    <font>
      <u/>
      <sz val="12"/>
      <name val="Times New Roman"/>
      <family val="1"/>
    </font>
    <font>
      <b/>
      <sz val="12"/>
      <color indexed="12"/>
      <name val="Times New Roman"/>
      <family val="1"/>
    </font>
    <font>
      <i/>
      <u/>
      <sz val="12"/>
      <name val="Times New Roman"/>
      <family val="1"/>
    </font>
    <font>
      <sz val="8"/>
      <name val="Arial"/>
      <family val="2"/>
    </font>
    <font>
      <sz val="12"/>
      <name val="Times New Roman"/>
    </font>
    <font>
      <b/>
      <sz val="12"/>
      <color indexed="8"/>
      <name val="Times New Roman"/>
      <family val="1"/>
    </font>
    <font>
      <sz val="10"/>
      <name val="Helv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0"/>
      <name val="MS Sans Serif"/>
    </font>
    <font>
      <sz val="10"/>
      <name val="Geneva"/>
      <family val="2"/>
    </font>
    <font>
      <sz val="10"/>
      <name val="Helv"/>
    </font>
    <font>
      <b/>
      <u/>
      <sz val="11"/>
      <color indexed="37"/>
      <name val="Arial"/>
      <family val="2"/>
    </font>
    <font>
      <u/>
      <sz val="8.4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10"/>
      <name val="Book Antiqua"/>
      <family val="1"/>
    </font>
    <font>
      <sz val="8"/>
      <name val="Arial"/>
    </font>
    <font>
      <sz val="8"/>
      <name val="MS Sans Serif"/>
      <family val="2"/>
    </font>
    <font>
      <sz val="10"/>
      <color indexed="8"/>
      <name val="Arial"/>
      <family val="2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0"/>
      <name val="Univers (W1)"/>
      <family val="2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0"/>
      <name val="Advisor SSi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10"/>
      <name val="Arial Narrow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</font>
    <font>
      <sz val="8"/>
      <color indexed="12"/>
      <name val="Arial"/>
      <family val="2"/>
    </font>
    <font>
      <b/>
      <sz val="18"/>
      <name val="Times New Roman"/>
      <family val="1"/>
    </font>
    <font>
      <b/>
      <sz val="12"/>
      <color indexed="10"/>
      <name val="Times New Roman"/>
      <family val="1"/>
    </font>
    <font>
      <b/>
      <sz val="10"/>
      <color indexed="20"/>
      <name val="Times New Roman"/>
      <family val="1"/>
    </font>
    <font>
      <b/>
      <i/>
      <sz val="10"/>
      <color indexed="10"/>
      <name val="Times New Roman"/>
      <family val="1"/>
    </font>
    <font>
      <i/>
      <sz val="10"/>
      <color indexed="10"/>
      <name val="Times New Roman"/>
      <family val="1"/>
    </font>
    <font>
      <b/>
      <u/>
      <sz val="10"/>
      <color indexed="10"/>
      <name val="Times New Roman"/>
      <family val="1"/>
    </font>
    <font>
      <b/>
      <u/>
      <sz val="8"/>
      <name val="Times New Roman"/>
      <family val="1"/>
    </font>
    <font>
      <i/>
      <u/>
      <sz val="8"/>
      <name val="Times New Roman"/>
      <family val="1"/>
    </font>
    <font>
      <u/>
      <sz val="10"/>
      <color indexed="8"/>
      <name val="Times New Roman"/>
      <family val="1"/>
    </font>
    <font>
      <vertAlign val="superscript"/>
      <sz val="9"/>
      <name val="Times New Roman"/>
      <family val="1"/>
    </font>
    <font>
      <b/>
      <sz val="10"/>
      <name val="Arial"/>
      <family val="2"/>
    </font>
    <font>
      <b/>
      <sz val="12"/>
      <name val="Arial"/>
      <family val="2"/>
    </font>
    <font>
      <b/>
      <sz val="15"/>
      <name val="Arial"/>
      <family val="2"/>
    </font>
    <font>
      <b/>
      <sz val="10"/>
      <color indexed="39"/>
      <name val="Arial"/>
      <family val="2"/>
    </font>
    <font>
      <sz val="10"/>
      <color indexed="39"/>
      <name val="Arial"/>
      <family val="2"/>
    </font>
    <font>
      <b/>
      <sz val="11"/>
      <name val="Arial"/>
      <family val="2"/>
    </font>
    <font>
      <sz val="10"/>
      <color indexed="9"/>
      <name val="Arial"/>
      <family val="2"/>
    </font>
    <font>
      <b/>
      <sz val="10"/>
      <color indexed="1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</fills>
  <borders count="29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4">
    <xf numFmtId="0" fontId="0" fillId="0" borderId="0"/>
    <xf numFmtId="0" fontId="46" fillId="0" borderId="0"/>
    <xf numFmtId="299" fontId="1" fillId="2" borderId="1">
      <alignment horizontal="center" vertical="center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6" fontId="49" fillId="0" borderId="0">
      <protection locked="0"/>
    </xf>
    <xf numFmtId="340" fontId="1" fillId="0" borderId="0" applyFont="0" applyFill="0" applyBorder="0" applyAlignment="0" applyProtection="0"/>
    <xf numFmtId="342" fontId="1" fillId="0" borderId="0" applyFont="0" applyFill="0" applyBorder="0" applyAlignment="0" applyProtection="0"/>
    <xf numFmtId="313" fontId="1" fillId="0" borderId="0">
      <protection locked="0"/>
    </xf>
    <xf numFmtId="38" fontId="42" fillId="4" borderId="0" applyNumberFormat="0" applyBorder="0" applyAlignment="0" applyProtection="0"/>
    <xf numFmtId="0" fontId="56" fillId="0" borderId="0" applyNumberFormat="0" applyFill="0" applyBorder="0" applyAlignment="0" applyProtection="0"/>
    <xf numFmtId="14" fontId="1" fillId="0" borderId="0">
      <protection locked="0"/>
    </xf>
    <xf numFmtId="14" fontId="1" fillId="0" borderId="0">
      <protection locked="0"/>
    </xf>
    <xf numFmtId="0" fontId="38" fillId="0" borderId="2" applyNumberFormat="0" applyFill="0" applyAlignment="0" applyProtection="0"/>
    <xf numFmtId="10" fontId="42" fillId="5" borderId="3" applyNumberFormat="0" applyBorder="0" applyAlignment="0" applyProtection="0"/>
    <xf numFmtId="37" fontId="58" fillId="0" borderId="0"/>
    <xf numFmtId="170" fontId="59" fillId="0" borderId="0"/>
    <xf numFmtId="0" fontId="1" fillId="0" borderId="0"/>
    <xf numFmtId="37" fontId="6" fillId="0" borderId="0" applyBorder="0" applyAlignment="0" applyProtection="0">
      <alignment horizontal="center"/>
    </xf>
    <xf numFmtId="0" fontId="1" fillId="0" borderId="0"/>
    <xf numFmtId="0" fontId="26" fillId="0" borderId="0"/>
    <xf numFmtId="0" fontId="3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6" borderId="0"/>
    <xf numFmtId="14" fontId="1" fillId="0" borderId="5">
      <protection locked="0"/>
    </xf>
    <xf numFmtId="331" fontId="1" fillId="0" borderId="0"/>
    <xf numFmtId="38" fontId="42" fillId="8" borderId="0" applyNumberFormat="0" applyBorder="0" applyAlignment="0" applyProtection="0"/>
    <xf numFmtId="37" fontId="42" fillId="8" borderId="0" applyNumberFormat="0" applyBorder="0" applyAlignment="0" applyProtection="0"/>
    <xf numFmtId="37" fontId="6" fillId="0" borderId="0"/>
    <xf numFmtId="37" fontId="6" fillId="4" borderId="0" applyNumberFormat="0" applyBorder="0" applyAlignment="0" applyProtection="0"/>
    <xf numFmtId="3" fontId="94" fillId="9" borderId="2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</cellStyleXfs>
  <cellXfs count="614">
    <xf numFmtId="0" fontId="0" fillId="0" borderId="0" xfId="0"/>
    <xf numFmtId="0" fontId="2" fillId="0" borderId="0" xfId="0" applyFont="1" applyFill="1"/>
    <xf numFmtId="0" fontId="2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Border="1"/>
    <xf numFmtId="0" fontId="2" fillId="0" borderId="6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centerContinuous"/>
    </xf>
    <xf numFmtId="43" fontId="2" fillId="0" borderId="0" xfId="3" applyFont="1" applyFill="1" applyAlignment="1">
      <alignment horizontal="left"/>
    </xf>
    <xf numFmtId="43" fontId="3" fillId="0" borderId="0" xfId="3" applyFont="1" applyFill="1" applyAlignment="1">
      <alignment horizontal="left"/>
    </xf>
    <xf numFmtId="0" fontId="10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37" fontId="10" fillId="0" borderId="0" xfId="18" applyFont="1" applyAlignment="1"/>
    <xf numFmtId="166" fontId="3" fillId="0" borderId="0" xfId="3" applyNumberFormat="1" applyFont="1"/>
    <xf numFmtId="166" fontId="3" fillId="0" borderId="0" xfId="3" applyNumberFormat="1" applyFont="1" applyBorder="1" applyProtection="1"/>
    <xf numFmtId="0" fontId="3" fillId="0" borderId="0" xfId="0" applyFont="1" applyBorder="1" applyAlignment="1" applyProtection="1">
      <alignment horizontal="left"/>
    </xf>
    <xf numFmtId="166" fontId="3" fillId="0" borderId="0" xfId="3" applyNumberFormat="1" applyFont="1" applyBorder="1"/>
    <xf numFmtId="0" fontId="16" fillId="0" borderId="0" xfId="0" applyFont="1"/>
    <xf numFmtId="0" fontId="18" fillId="0" borderId="0" xfId="0" applyFont="1"/>
    <xf numFmtId="0" fontId="9" fillId="0" borderId="0" xfId="0" applyFont="1"/>
    <xf numFmtId="0" fontId="3" fillId="4" borderId="0" xfId="0" applyFont="1" applyFill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6" xfId="0" applyFont="1" applyBorder="1"/>
    <xf numFmtId="0" fontId="2" fillId="0" borderId="0" xfId="0" applyFont="1" applyBorder="1"/>
    <xf numFmtId="166" fontId="2" fillId="0" borderId="0" xfId="3" applyNumberFormat="1" applyFont="1"/>
    <xf numFmtId="166" fontId="2" fillId="0" borderId="0" xfId="3" applyNumberFormat="1" applyFont="1" applyBorder="1" applyProtection="1"/>
    <xf numFmtId="0" fontId="3" fillId="0" borderId="0" xfId="0" applyFont="1" applyAlignment="1">
      <alignment horizontal="left"/>
    </xf>
    <xf numFmtId="0" fontId="22" fillId="0" borderId="0" xfId="0" applyFont="1"/>
    <xf numFmtId="0" fontId="23" fillId="0" borderId="0" xfId="0" applyFont="1" applyBorder="1"/>
    <xf numFmtId="0" fontId="24" fillId="0" borderId="0" xfId="0" applyFont="1"/>
    <xf numFmtId="0" fontId="11" fillId="0" borderId="0" xfId="0" applyFont="1"/>
    <xf numFmtId="3" fontId="3" fillId="0" borderId="0" xfId="0" applyNumberFormat="1" applyFont="1"/>
    <xf numFmtId="3" fontId="2" fillId="0" borderId="0" xfId="0" applyNumberFormat="1" applyFont="1"/>
    <xf numFmtId="0" fontId="17" fillId="0" borderId="0" xfId="0" applyFont="1"/>
    <xf numFmtId="0" fontId="17" fillId="0" borderId="0" xfId="0" applyFont="1" applyBorder="1"/>
    <xf numFmtId="0" fontId="13" fillId="0" borderId="0" xfId="0" applyFont="1"/>
    <xf numFmtId="0" fontId="9" fillId="0" borderId="0" xfId="0" applyFont="1" applyFill="1"/>
    <xf numFmtId="43" fontId="9" fillId="0" borderId="0" xfId="3" applyFont="1" applyFill="1"/>
    <xf numFmtId="0" fontId="3" fillId="0" borderId="1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2" xfId="0" applyFont="1" applyBorder="1"/>
    <xf numFmtId="0" fontId="3" fillId="0" borderId="4" xfId="0" applyFont="1" applyBorder="1"/>
    <xf numFmtId="166" fontId="15" fillId="0" borderId="0" xfId="3" applyNumberFormat="1" applyFont="1"/>
    <xf numFmtId="0" fontId="7" fillId="4" borderId="0" xfId="0" applyFont="1" applyFill="1"/>
    <xf numFmtId="0" fontId="8" fillId="4" borderId="0" xfId="17" applyFont="1" applyFill="1" applyBorder="1"/>
    <xf numFmtId="0" fontId="2" fillId="0" borderId="0" xfId="0" applyFont="1" applyBorder="1" applyAlignment="1">
      <alignment horizontal="left"/>
    </xf>
    <xf numFmtId="0" fontId="7" fillId="0" borderId="0" xfId="0" applyFont="1" applyFill="1"/>
    <xf numFmtId="166" fontId="3" fillId="0" borderId="0" xfId="3" applyNumberFormat="1" applyFont="1" applyFill="1"/>
    <xf numFmtId="0" fontId="2" fillId="0" borderId="0" xfId="0" applyFont="1" applyFill="1" applyBorder="1"/>
    <xf numFmtId="0" fontId="30" fillId="0" borderId="0" xfId="0" applyFont="1" applyFill="1" applyBorder="1"/>
    <xf numFmtId="166" fontId="3" fillId="0" borderId="0" xfId="3" applyNumberFormat="1" applyFont="1" applyFill="1" applyBorder="1"/>
    <xf numFmtId="166" fontId="4" fillId="0" borderId="0" xfId="3" applyNumberFormat="1" applyFont="1" applyFill="1"/>
    <xf numFmtId="166" fontId="4" fillId="0" borderId="0" xfId="3" applyNumberFormat="1" applyFont="1" applyFill="1" applyBorder="1"/>
    <xf numFmtId="0" fontId="4" fillId="0" borderId="0" xfId="0" applyFont="1" applyFill="1" applyBorder="1"/>
    <xf numFmtId="6" fontId="15" fillId="0" borderId="0" xfId="0" applyNumberFormat="1" applyFont="1" applyFill="1"/>
    <xf numFmtId="0" fontId="9" fillId="0" borderId="0" xfId="0" applyFont="1" applyFill="1" applyBorder="1"/>
    <xf numFmtId="166" fontId="2" fillId="0" borderId="0" xfId="3" applyNumberFormat="1" applyFont="1" applyFill="1" applyBorder="1"/>
    <xf numFmtId="166" fontId="12" fillId="0" borderId="0" xfId="3" applyNumberFormat="1" applyFont="1" applyFill="1"/>
    <xf numFmtId="38" fontId="3" fillId="0" borderId="0" xfId="3" applyNumberFormat="1" applyFont="1" applyFill="1"/>
    <xf numFmtId="168" fontId="3" fillId="0" borderId="0" xfId="3" applyNumberFormat="1" applyFont="1" applyFill="1"/>
    <xf numFmtId="43" fontId="3" fillId="0" borderId="0" xfId="3" applyFont="1" applyFill="1" applyBorder="1"/>
    <xf numFmtId="0" fontId="24" fillId="0" borderId="0" xfId="0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/>
    </xf>
    <xf numFmtId="0" fontId="31" fillId="0" borderId="0" xfId="0" applyFont="1" applyFill="1" applyBorder="1" applyAlignment="1">
      <alignment horizontal="center"/>
    </xf>
    <xf numFmtId="37" fontId="3" fillId="0" borderId="0" xfId="0" applyNumberFormat="1" applyFont="1" applyFill="1" applyBorder="1"/>
    <xf numFmtId="37" fontId="2" fillId="0" borderId="0" xfId="0" applyNumberFormat="1" applyFont="1" applyFill="1" applyBorder="1"/>
    <xf numFmtId="0" fontId="32" fillId="0" borderId="0" xfId="0" applyFont="1" applyFill="1" applyBorder="1"/>
    <xf numFmtId="43" fontId="33" fillId="0" borderId="0" xfId="3" applyFont="1" applyFill="1" applyBorder="1"/>
    <xf numFmtId="9" fontId="33" fillId="0" borderId="0" xfId="22" applyFont="1" applyFill="1" applyBorder="1"/>
    <xf numFmtId="43" fontId="2" fillId="0" borderId="0" xfId="3" applyFont="1" applyFill="1" applyBorder="1" applyAlignment="1">
      <alignment horizontal="left"/>
    </xf>
    <xf numFmtId="43" fontId="3" fillId="0" borderId="0" xfId="3" applyFont="1" applyFill="1" applyBorder="1" applyAlignment="1">
      <alignment horizontal="left"/>
    </xf>
    <xf numFmtId="43" fontId="2" fillId="0" borderId="0" xfId="3" applyFont="1" applyFill="1" applyBorder="1"/>
    <xf numFmtId="43" fontId="5" fillId="0" borderId="0" xfId="3" applyFont="1" applyFill="1" applyBorder="1" applyAlignment="1">
      <alignment horizontal="left"/>
    </xf>
    <xf numFmtId="43" fontId="18" fillId="0" borderId="0" xfId="3" applyFont="1" applyFill="1" applyBorder="1" applyAlignment="1">
      <alignment horizontal="left"/>
    </xf>
    <xf numFmtId="168" fontId="3" fillId="0" borderId="0" xfId="3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41" fontId="3" fillId="0" borderId="0" xfId="0" applyNumberFormat="1" applyFont="1" applyFill="1" applyBorder="1"/>
    <xf numFmtId="9" fontId="2" fillId="0" borderId="0" xfId="22" applyFont="1" applyFill="1" applyBorder="1"/>
    <xf numFmtId="0" fontId="17" fillId="0" borderId="0" xfId="21" applyFont="1" applyFill="1" applyBorder="1" applyAlignment="1" applyProtection="1">
      <alignment horizontal="left"/>
    </xf>
    <xf numFmtId="0" fontId="17" fillId="0" borderId="0" xfId="21" applyFont="1" applyFill="1" applyBorder="1" applyAlignment="1">
      <alignment horizontal="center"/>
    </xf>
    <xf numFmtId="38" fontId="3" fillId="0" borderId="0" xfId="0" applyNumberFormat="1" applyFont="1" applyFill="1" applyBorder="1"/>
    <xf numFmtId="9" fontId="3" fillId="0" borderId="0" xfId="0" applyNumberFormat="1" applyFont="1" applyFill="1" applyBorder="1"/>
    <xf numFmtId="40" fontId="3" fillId="0" borderId="0" xfId="0" applyNumberFormat="1" applyFont="1" applyFill="1" applyBorder="1"/>
    <xf numFmtId="0" fontId="18" fillId="0" borderId="0" xfId="21" applyFont="1" applyFill="1" applyBorder="1" applyAlignment="1" applyProtection="1">
      <alignment horizontal="left"/>
    </xf>
    <xf numFmtId="190" fontId="3" fillId="0" borderId="0" xfId="0" applyNumberFormat="1" applyFont="1" applyFill="1" applyBorder="1"/>
    <xf numFmtId="172" fontId="18" fillId="0" borderId="0" xfId="0" applyNumberFormat="1" applyFont="1" applyFill="1" applyBorder="1" applyProtection="1"/>
    <xf numFmtId="166" fontId="14" fillId="0" borderId="0" xfId="3" applyNumberFormat="1" applyFont="1" applyFill="1" applyBorder="1"/>
    <xf numFmtId="166" fontId="3" fillId="0" borderId="0" xfId="0" applyNumberFormat="1" applyFont="1" applyFill="1" applyBorder="1"/>
    <xf numFmtId="41" fontId="14" fillId="0" borderId="0" xfId="0" applyNumberFormat="1" applyFont="1" applyFill="1" applyBorder="1"/>
    <xf numFmtId="41" fontId="2" fillId="0" borderId="0" xfId="0" applyNumberFormat="1" applyFont="1" applyFill="1" applyBorder="1"/>
    <xf numFmtId="41" fontId="18" fillId="0" borderId="0" xfId="0" applyNumberFormat="1" applyFont="1" applyFill="1" applyBorder="1"/>
    <xf numFmtId="0" fontId="14" fillId="0" borderId="0" xfId="0" applyFont="1" applyFill="1" applyBorder="1"/>
    <xf numFmtId="37" fontId="14" fillId="0" borderId="0" xfId="0" applyNumberFormat="1" applyFont="1" applyFill="1" applyBorder="1"/>
    <xf numFmtId="0" fontId="7" fillId="0" borderId="0" xfId="19" applyFont="1" applyFill="1" applyBorder="1"/>
    <xf numFmtId="0" fontId="2" fillId="0" borderId="0" xfId="19" applyFont="1" applyFill="1" applyBorder="1"/>
    <xf numFmtId="0" fontId="3" fillId="0" borderId="0" xfId="19" applyFont="1" applyFill="1" applyBorder="1"/>
    <xf numFmtId="0" fontId="2" fillId="0" borderId="0" xfId="19" applyFont="1" applyFill="1" applyBorder="1" applyAlignment="1">
      <alignment horizontal="center"/>
    </xf>
    <xf numFmtId="0" fontId="2" fillId="0" borderId="0" xfId="20" applyFont="1" applyFill="1" applyBorder="1"/>
    <xf numFmtId="0" fontId="3" fillId="0" borderId="0" xfId="20" applyFont="1" applyFill="1" applyBorder="1"/>
    <xf numFmtId="164" fontId="2" fillId="0" borderId="0" xfId="22" applyNumberFormat="1" applyFont="1" applyFill="1" applyBorder="1"/>
    <xf numFmtId="0" fontId="2" fillId="0" borderId="0" xfId="19" applyFont="1" applyFill="1" applyBorder="1" applyAlignment="1">
      <alignment horizontal="left"/>
    </xf>
    <xf numFmtId="41" fontId="3" fillId="0" borderId="0" xfId="19" applyNumberFormat="1" applyFont="1" applyFill="1" applyBorder="1"/>
    <xf numFmtId="168" fontId="3" fillId="0" borderId="0" xfId="3" applyNumberFormat="1" applyFont="1" applyFill="1" applyBorder="1" applyAlignment="1">
      <alignment horizontal="left"/>
    </xf>
    <xf numFmtId="10" fontId="3" fillId="0" borderId="0" xfId="22" applyNumberFormat="1" applyFont="1" applyFill="1" applyBorder="1"/>
    <xf numFmtId="43" fontId="4" fillId="0" borderId="0" xfId="3" applyFont="1" applyFill="1" applyBorder="1" applyAlignment="1">
      <alignment horizontal="left"/>
    </xf>
    <xf numFmtId="0" fontId="4" fillId="0" borderId="0" xfId="19" applyFont="1" applyFill="1" applyBorder="1"/>
    <xf numFmtId="43" fontId="34" fillId="0" borderId="0" xfId="3" applyFont="1" applyFill="1" applyBorder="1"/>
    <xf numFmtId="0" fontId="2" fillId="0" borderId="0" xfId="0" applyFont="1" applyFill="1" applyBorder="1" applyAlignment="1">
      <alignment horizontal="right"/>
    </xf>
    <xf numFmtId="0" fontId="18" fillId="0" borderId="0" xfId="0" applyFont="1" applyFill="1" applyBorder="1" applyAlignment="1">
      <alignment horizontal="left"/>
    </xf>
    <xf numFmtId="166" fontId="2" fillId="0" borderId="0" xfId="3" applyNumberFormat="1" applyFont="1" applyFill="1"/>
    <xf numFmtId="38" fontId="15" fillId="0" borderId="0" xfId="0" applyNumberFormat="1" applyFont="1" applyFill="1"/>
    <xf numFmtId="38" fontId="3" fillId="0" borderId="0" xfId="0" applyNumberFormat="1" applyFont="1"/>
    <xf numFmtId="166" fontId="3" fillId="0" borderId="0" xfId="0" applyNumberFormat="1" applyFont="1"/>
    <xf numFmtId="0" fontId="22" fillId="0" borderId="0" xfId="0" applyFont="1" applyFill="1"/>
    <xf numFmtId="0" fontId="22" fillId="0" borderId="0" xfId="0" applyFont="1" applyFill="1" applyBorder="1"/>
    <xf numFmtId="0" fontId="10" fillId="0" borderId="0" xfId="0" applyFont="1" applyFill="1"/>
    <xf numFmtId="38" fontId="3" fillId="0" borderId="0" xfId="0" applyNumberFormat="1" applyFont="1" applyFill="1"/>
    <xf numFmtId="38" fontId="3" fillId="0" borderId="4" xfId="3" applyNumberFormat="1" applyFont="1" applyFill="1" applyBorder="1"/>
    <xf numFmtId="38" fontId="3" fillId="0" borderId="0" xfId="3" applyNumberFormat="1" applyFont="1" applyFill="1" applyBorder="1"/>
    <xf numFmtId="38" fontId="4" fillId="0" borderId="0" xfId="3" applyNumberFormat="1" applyFont="1" applyFill="1"/>
    <xf numFmtId="38" fontId="4" fillId="0" borderId="0" xfId="3" applyNumberFormat="1" applyFont="1" applyFill="1" applyBorder="1"/>
    <xf numFmtId="38" fontId="2" fillId="0" borderId="0" xfId="0" applyNumberFormat="1" applyFont="1" applyFill="1"/>
    <xf numFmtId="38" fontId="2" fillId="0" borderId="0" xfId="0" applyNumberFormat="1" applyFont="1" applyFill="1" applyBorder="1"/>
    <xf numFmtId="38" fontId="9" fillId="0" borderId="0" xfId="0" applyNumberFormat="1" applyFont="1" applyFill="1"/>
    <xf numFmtId="38" fontId="15" fillId="0" borderId="0" xfId="3" applyNumberFormat="1" applyFont="1" applyFill="1"/>
    <xf numFmtId="38" fontId="2" fillId="0" borderId="0" xfId="3" applyNumberFormat="1" applyFont="1" applyFill="1" applyBorder="1"/>
    <xf numFmtId="38" fontId="9" fillId="0" borderId="0" xfId="3" applyNumberFormat="1" applyFont="1" applyFill="1"/>
    <xf numFmtId="37" fontId="10" fillId="0" borderId="0" xfId="18" applyFont="1" applyAlignment="1">
      <alignment horizontal="right"/>
    </xf>
    <xf numFmtId="0" fontId="10" fillId="0" borderId="0" xfId="0" applyFont="1" applyFill="1" applyBorder="1"/>
    <xf numFmtId="1" fontId="3" fillId="0" borderId="0" xfId="0" applyNumberFormat="1" applyFont="1" applyFill="1"/>
    <xf numFmtId="0" fontId="36" fillId="0" borderId="0" xfId="0" applyFont="1"/>
    <xf numFmtId="0" fontId="3" fillId="0" borderId="13" xfId="0" applyFont="1" applyBorder="1"/>
    <xf numFmtId="40" fontId="4" fillId="0" borderId="0" xfId="3" applyNumberFormat="1" applyFont="1" applyFill="1"/>
    <xf numFmtId="166" fontId="37" fillId="0" borderId="0" xfId="3" applyNumberFormat="1" applyFont="1"/>
    <xf numFmtId="38" fontId="3" fillId="0" borderId="0" xfId="0" applyNumberFormat="1" applyFont="1" applyBorder="1"/>
    <xf numFmtId="38" fontId="3" fillId="0" borderId="4" xfId="0" applyNumberFormat="1" applyFont="1" applyBorder="1"/>
    <xf numFmtId="0" fontId="2" fillId="0" borderId="7" xfId="0" applyFont="1" applyBorder="1"/>
    <xf numFmtId="40" fontId="3" fillId="0" borderId="0" xfId="0" applyNumberFormat="1" applyFont="1" applyBorder="1"/>
    <xf numFmtId="43" fontId="3" fillId="0" borderId="0" xfId="3" applyFont="1"/>
    <xf numFmtId="0" fontId="7" fillId="0" borderId="0" xfId="0" applyFont="1"/>
    <xf numFmtId="14" fontId="24" fillId="0" borderId="0" xfId="0" applyNumberFormat="1" applyFont="1" applyFill="1" applyBorder="1" applyAlignment="1">
      <alignment horizontal="center"/>
    </xf>
    <xf numFmtId="166" fontId="15" fillId="0" borderId="0" xfId="3" applyNumberFormat="1" applyFont="1" applyFill="1" applyBorder="1"/>
    <xf numFmtId="3" fontId="3" fillId="0" borderId="0" xfId="0" applyNumberFormat="1" applyFont="1" applyFill="1" applyBorder="1"/>
    <xf numFmtId="166" fontId="10" fillId="0" borderId="0" xfId="3" applyNumberFormat="1" applyFont="1" applyFill="1" applyBorder="1"/>
    <xf numFmtId="37" fontId="10" fillId="0" borderId="0" xfId="18" applyFont="1" applyFill="1" applyAlignment="1"/>
    <xf numFmtId="37" fontId="10" fillId="0" borderId="0" xfId="18" applyFont="1" applyFill="1" applyAlignment="1">
      <alignment horizontal="right"/>
    </xf>
    <xf numFmtId="166" fontId="10" fillId="0" borderId="0" xfId="3" applyNumberFormat="1" applyFont="1" applyFill="1" applyBorder="1" applyProtection="1"/>
    <xf numFmtId="166" fontId="20" fillId="0" borderId="0" xfId="3" applyNumberFormat="1" applyFont="1" applyFill="1" applyBorder="1" applyProtection="1"/>
    <xf numFmtId="166" fontId="35" fillId="0" borderId="0" xfId="3" applyNumberFormat="1" applyFont="1" applyFill="1" applyBorder="1" applyProtection="1"/>
    <xf numFmtId="9" fontId="10" fillId="0" borderId="0" xfId="3" applyNumberFormat="1" applyFont="1" applyFill="1" applyBorder="1"/>
    <xf numFmtId="166" fontId="20" fillId="0" borderId="0" xfId="3" quotePrefix="1" applyNumberFormat="1" applyFont="1" applyFill="1" applyBorder="1" applyProtection="1"/>
    <xf numFmtId="37" fontId="2" fillId="0" borderId="0" xfId="0" applyNumberFormat="1" applyFont="1" applyFill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19" fillId="0" borderId="14" xfId="0" applyFont="1" applyFill="1" applyBorder="1"/>
    <xf numFmtId="0" fontId="19" fillId="0" borderId="14" xfId="0" applyFont="1" applyFill="1" applyBorder="1" applyAlignment="1" applyProtection="1">
      <alignment horizontal="left"/>
    </xf>
    <xf numFmtId="0" fontId="5" fillId="0" borderId="7" xfId="0" applyFont="1" applyFill="1" applyBorder="1"/>
    <xf numFmtId="0" fontId="39" fillId="0" borderId="10" xfId="0" applyFont="1" applyBorder="1" applyAlignment="1" applyProtection="1">
      <alignment horizontal="left"/>
    </xf>
    <xf numFmtId="0" fontId="39" fillId="0" borderId="0" xfId="0" applyFont="1" applyBorder="1" applyAlignment="1">
      <alignment horizontal="center"/>
    </xf>
    <xf numFmtId="0" fontId="22" fillId="0" borderId="0" xfId="0" applyFont="1" applyBorder="1"/>
    <xf numFmtId="0" fontId="39" fillId="0" borderId="0" xfId="0" applyFont="1" applyBorder="1" applyAlignment="1" applyProtection="1">
      <alignment horizontal="left"/>
    </xf>
    <xf numFmtId="0" fontId="22" fillId="0" borderId="10" xfId="0" applyFont="1" applyBorder="1" applyAlignment="1" applyProtection="1">
      <alignment horizontal="left"/>
    </xf>
    <xf numFmtId="0" fontId="22" fillId="0" borderId="0" xfId="0" applyFont="1" applyBorder="1" applyAlignment="1" applyProtection="1">
      <alignment horizontal="left"/>
    </xf>
    <xf numFmtId="0" fontId="22" fillId="0" borderId="10" xfId="0" applyFont="1" applyBorder="1"/>
    <xf numFmtId="0" fontId="22" fillId="0" borderId="9" xfId="0" applyFont="1" applyBorder="1"/>
    <xf numFmtId="0" fontId="22" fillId="0" borderId="15" xfId="0" applyFont="1" applyBorder="1"/>
    <xf numFmtId="0" fontId="22" fillId="0" borderId="6" xfId="0" applyFont="1" applyBorder="1"/>
    <xf numFmtId="0" fontId="39" fillId="0" borderId="10" xfId="0" applyFont="1" applyBorder="1"/>
    <xf numFmtId="0" fontId="22" fillId="0" borderId="10" xfId="0" applyFont="1" applyBorder="1" applyAlignment="1">
      <alignment horizontal="left"/>
    </xf>
    <xf numFmtId="173" fontId="22" fillId="0" borderId="0" xfId="0" applyNumberFormat="1" applyFont="1" applyBorder="1" applyAlignment="1">
      <alignment horizontal="center"/>
    </xf>
    <xf numFmtId="0" fontId="39" fillId="0" borderId="0" xfId="0" applyFont="1" applyBorder="1"/>
    <xf numFmtId="212" fontId="22" fillId="0" borderId="0" xfId="3" applyNumberFormat="1" applyFont="1" applyBorder="1" applyAlignment="1">
      <alignment horizontal="center"/>
    </xf>
    <xf numFmtId="38" fontId="22" fillId="0" borderId="0" xfId="0" applyNumberFormat="1" applyFont="1" applyBorder="1"/>
    <xf numFmtId="38" fontId="22" fillId="0" borderId="0" xfId="0" applyNumberFormat="1" applyFont="1" applyBorder="1" applyAlignment="1">
      <alignment horizontal="center"/>
    </xf>
    <xf numFmtId="38" fontId="22" fillId="0" borderId="6" xfId="0" applyNumberFormat="1" applyFont="1" applyBorder="1" applyAlignment="1">
      <alignment horizontal="center"/>
    </xf>
    <xf numFmtId="0" fontId="22" fillId="0" borderId="7" xfId="0" applyFont="1" applyFill="1" applyBorder="1"/>
    <xf numFmtId="0" fontId="19" fillId="0" borderId="7" xfId="0" applyFont="1" applyFill="1" applyBorder="1" applyAlignment="1">
      <alignment horizontal="centerContinuous"/>
    </xf>
    <xf numFmtId="0" fontId="39" fillId="0" borderId="10" xfId="0" applyFont="1" applyFill="1" applyBorder="1"/>
    <xf numFmtId="0" fontId="22" fillId="0" borderId="10" xfId="0" applyFont="1" applyFill="1" applyBorder="1"/>
    <xf numFmtId="0" fontId="22" fillId="0" borderId="15" xfId="0" applyFont="1" applyFill="1" applyBorder="1"/>
    <xf numFmtId="0" fontId="22" fillId="0" borderId="7" xfId="0" applyFont="1" applyBorder="1"/>
    <xf numFmtId="0" fontId="22" fillId="0" borderId="8" xfId="0" applyFont="1" applyBorder="1"/>
    <xf numFmtId="0" fontId="31" fillId="4" borderId="0" xfId="0" applyFont="1" applyFill="1" applyBorder="1" applyAlignment="1">
      <alignment horizontal="center"/>
    </xf>
    <xf numFmtId="0" fontId="31" fillId="4" borderId="9" xfId="0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3" fillId="0" borderId="16" xfId="0" applyFont="1" applyBorder="1"/>
    <xf numFmtId="0" fontId="3" fillId="0" borderId="17" xfId="0" applyFont="1" applyBorder="1"/>
    <xf numFmtId="38" fontId="2" fillId="0" borderId="0" xfId="0" applyNumberFormat="1" applyFont="1"/>
    <xf numFmtId="166" fontId="3" fillId="0" borderId="4" xfId="3" applyNumberFormat="1" applyFont="1" applyBorder="1"/>
    <xf numFmtId="6" fontId="39" fillId="0" borderId="0" xfId="0" quotePrefix="1" applyNumberFormat="1" applyFont="1" applyBorder="1" applyAlignment="1">
      <alignment horizontal="center"/>
    </xf>
    <xf numFmtId="0" fontId="39" fillId="0" borderId="9" xfId="0" quotePrefix="1" applyFont="1" applyBorder="1" applyAlignment="1">
      <alignment horizontal="center"/>
    </xf>
    <xf numFmtId="7" fontId="22" fillId="0" borderId="0" xfId="3" applyNumberFormat="1" applyFont="1" applyBorder="1"/>
    <xf numFmtId="44" fontId="22" fillId="0" borderId="0" xfId="4" applyFont="1" applyFill="1" applyBorder="1"/>
    <xf numFmtId="0" fontId="22" fillId="4" borderId="0" xfId="0" applyFont="1" applyFill="1"/>
    <xf numFmtId="0" fontId="28" fillId="0" borderId="0" xfId="0" applyFont="1" applyBorder="1"/>
    <xf numFmtId="2" fontId="22" fillId="0" borderId="0" xfId="0" applyNumberFormat="1" applyFont="1" applyBorder="1"/>
    <xf numFmtId="43" fontId="22" fillId="0" borderId="0" xfId="0" applyNumberFormat="1" applyFont="1" applyBorder="1"/>
    <xf numFmtId="0" fontId="22" fillId="0" borderId="0" xfId="0" applyFont="1" applyBorder="1" applyAlignment="1">
      <alignment horizontal="right"/>
    </xf>
    <xf numFmtId="0" fontId="19" fillId="0" borderId="0" xfId="3" applyNumberFormat="1" applyFont="1" applyBorder="1" applyAlignment="1">
      <alignment horizontal="right"/>
    </xf>
    <xf numFmtId="2" fontId="40" fillId="0" borderId="0" xfId="3" applyNumberFormat="1" applyFont="1" applyFill="1" applyBorder="1" applyAlignment="1">
      <alignment horizontal="right"/>
    </xf>
    <xf numFmtId="43" fontId="22" fillId="0" borderId="0" xfId="3" applyNumberFormat="1" applyFont="1" applyBorder="1" applyAlignment="1">
      <alignment horizontal="right"/>
    </xf>
    <xf numFmtId="44" fontId="22" fillId="0" borderId="0" xfId="4" applyFont="1" applyBorder="1" applyAlignment="1">
      <alignment horizontal="right"/>
    </xf>
    <xf numFmtId="44" fontId="22" fillId="0" borderId="0" xfId="4" applyFont="1" applyAlignment="1">
      <alignment horizontal="right"/>
    </xf>
    <xf numFmtId="9" fontId="40" fillId="0" borderId="0" xfId="0" applyNumberFormat="1" applyFont="1" applyBorder="1"/>
    <xf numFmtId="40" fontId="22" fillId="0" borderId="0" xfId="3" applyNumberFormat="1" applyFont="1" applyFill="1" applyBorder="1" applyAlignment="1">
      <alignment horizontal="right"/>
    </xf>
    <xf numFmtId="40" fontId="22" fillId="0" borderId="0" xfId="3" applyNumberFormat="1" applyFont="1" applyBorder="1" applyAlignment="1">
      <alignment horizontal="right"/>
    </xf>
    <xf numFmtId="40" fontId="39" fillId="0" borderId="0" xfId="3" applyNumberFormat="1" applyFont="1" applyBorder="1" applyAlignment="1">
      <alignment horizontal="right"/>
    </xf>
    <xf numFmtId="0" fontId="9" fillId="0" borderId="0" xfId="0" applyFont="1" applyBorder="1"/>
    <xf numFmtId="1" fontId="40" fillId="0" borderId="0" xfId="3" applyNumberFormat="1" applyFont="1" applyFill="1" applyBorder="1" applyAlignment="1">
      <alignment horizontal="right"/>
    </xf>
    <xf numFmtId="43" fontId="39" fillId="0" borderId="0" xfId="3" applyNumberFormat="1" applyFont="1" applyBorder="1" applyAlignment="1">
      <alignment horizontal="right"/>
    </xf>
    <xf numFmtId="7" fontId="22" fillId="0" borderId="0" xfId="3" applyNumberFormat="1" applyFont="1" applyBorder="1" applyAlignment="1">
      <alignment horizontal="right"/>
    </xf>
    <xf numFmtId="43" fontId="22" fillId="0" borderId="0" xfId="3" applyFont="1" applyBorder="1" applyAlignment="1">
      <alignment horizontal="right"/>
    </xf>
    <xf numFmtId="7" fontId="39" fillId="0" borderId="0" xfId="4" applyNumberFormat="1" applyFont="1" applyBorder="1"/>
    <xf numFmtId="166" fontId="20" fillId="0" borderId="0" xfId="3" applyNumberFormat="1" applyFont="1" applyFill="1" applyBorder="1"/>
    <xf numFmtId="43" fontId="9" fillId="0" borderId="0" xfId="3" applyFont="1" applyFill="1" applyAlignment="1">
      <alignment horizontal="left"/>
    </xf>
    <xf numFmtId="38" fontId="12" fillId="0" borderId="0" xfId="3" applyNumberFormat="1" applyFont="1" applyFill="1"/>
    <xf numFmtId="0" fontId="2" fillId="0" borderId="0" xfId="0" applyNumberFormat="1" applyFont="1" applyFill="1" applyBorder="1" applyAlignment="1">
      <alignment horizontal="left"/>
    </xf>
    <xf numFmtId="0" fontId="11" fillId="0" borderId="0" xfId="0" applyFont="1" applyBorder="1" applyAlignment="1" applyProtection="1">
      <alignment horizontal="left"/>
    </xf>
    <xf numFmtId="166" fontId="3" fillId="0" borderId="0" xfId="3" applyNumberFormat="1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166" fontId="12" fillId="0" borderId="0" xfId="3" applyNumberFormat="1" applyFont="1" applyBorder="1"/>
    <xf numFmtId="166" fontId="14" fillId="0" borderId="0" xfId="3" applyNumberFormat="1" applyFont="1" applyBorder="1" applyProtection="1"/>
    <xf numFmtId="166" fontId="15" fillId="0" borderId="0" xfId="3" applyNumberFormat="1" applyFont="1" applyBorder="1" applyProtection="1"/>
    <xf numFmtId="166" fontId="2" fillId="0" borderId="0" xfId="3" applyNumberFormat="1" applyFont="1" applyBorder="1"/>
    <xf numFmtId="166" fontId="12" fillId="0" borderId="0" xfId="3" applyNumberFormat="1" applyFont="1" applyBorder="1" applyProtection="1"/>
    <xf numFmtId="0" fontId="19" fillId="0" borderId="0" xfId="0" applyFont="1" applyBorder="1"/>
    <xf numFmtId="0" fontId="41" fillId="0" borderId="0" xfId="0" applyFont="1" applyBorder="1"/>
    <xf numFmtId="43" fontId="39" fillId="0" borderId="0" xfId="3" applyFont="1" applyBorder="1" applyAlignment="1">
      <alignment horizontal="right"/>
    </xf>
    <xf numFmtId="0" fontId="15" fillId="0" borderId="0" xfId="0" applyFont="1"/>
    <xf numFmtId="0" fontId="2" fillId="0" borderId="9" xfId="0" applyFont="1" applyBorder="1"/>
    <xf numFmtId="40" fontId="3" fillId="0" borderId="9" xfId="0" applyNumberFormat="1" applyFont="1" applyBorder="1"/>
    <xf numFmtId="166" fontId="3" fillId="0" borderId="0" xfId="3" applyNumberFormat="1" applyFont="1" applyFill="1" applyBorder="1" applyProtection="1"/>
    <xf numFmtId="37" fontId="30" fillId="0" borderId="0" xfId="18" applyFont="1" applyBorder="1" applyAlignment="1"/>
    <xf numFmtId="37" fontId="30" fillId="0" borderId="0" xfId="18" applyFont="1" applyBorder="1" applyAlignment="1">
      <alignment horizontal="right"/>
    </xf>
    <xf numFmtId="0" fontId="13" fillId="0" borderId="0" xfId="0" applyFont="1" applyBorder="1"/>
    <xf numFmtId="0" fontId="24" fillId="0" borderId="0" xfId="0" applyFont="1" applyBorder="1"/>
    <xf numFmtId="165" fontId="10" fillId="0" borderId="0" xfId="4" applyNumberFormat="1" applyFont="1" applyBorder="1" applyProtection="1"/>
    <xf numFmtId="0" fontId="3" fillId="0" borderId="0" xfId="0" applyFont="1" applyBorder="1" applyAlignment="1">
      <alignment horizontal="center"/>
    </xf>
    <xf numFmtId="173" fontId="3" fillId="0" borderId="0" xfId="0" applyNumberFormat="1" applyFont="1" applyBorder="1" applyAlignment="1">
      <alignment horizontal="center"/>
    </xf>
    <xf numFmtId="0" fontId="18" fillId="0" borderId="0" xfId="0" applyFont="1" applyBorder="1"/>
    <xf numFmtId="38" fontId="22" fillId="0" borderId="0" xfId="3" applyNumberFormat="1" applyFont="1" applyBorder="1" applyAlignment="1">
      <alignment horizontal="center"/>
    </xf>
    <xf numFmtId="38" fontId="39" fillId="0" borderId="0" xfId="3" applyNumberFormat="1" applyFont="1" applyBorder="1" applyAlignment="1">
      <alignment horizontal="center"/>
    </xf>
    <xf numFmtId="38" fontId="22" fillId="0" borderId="9" xfId="3" applyNumberFormat="1" applyFont="1" applyBorder="1" applyAlignment="1">
      <alignment horizontal="center"/>
    </xf>
    <xf numFmtId="10" fontId="22" fillId="0" borderId="0" xfId="0" applyNumberFormat="1" applyFont="1" applyBorder="1" applyAlignment="1">
      <alignment horizontal="center"/>
    </xf>
    <xf numFmtId="0" fontId="39" fillId="0" borderId="0" xfId="0" applyFont="1" applyFill="1" applyBorder="1" applyAlignment="1">
      <alignment horizontal="center"/>
    </xf>
    <xf numFmtId="9" fontId="22" fillId="0" borderId="0" xfId="22" applyFont="1" applyFill="1" applyBorder="1" applyAlignment="1">
      <alignment horizontal="center"/>
    </xf>
    <xf numFmtId="38" fontId="22" fillId="0" borderId="0" xfId="0" applyNumberFormat="1" applyFont="1" applyFill="1" applyBorder="1" applyAlignment="1">
      <alignment horizontal="center"/>
    </xf>
    <xf numFmtId="10" fontId="22" fillId="0" borderId="0" xfId="22" applyNumberFormat="1" applyFont="1" applyFill="1" applyBorder="1" applyAlignment="1">
      <alignment horizontal="center"/>
    </xf>
    <xf numFmtId="38" fontId="22" fillId="0" borderId="6" xfId="0" applyNumberFormat="1" applyFont="1" applyFill="1" applyBorder="1" applyAlignment="1">
      <alignment horizontal="center"/>
    </xf>
    <xf numFmtId="14" fontId="24" fillId="0" borderId="0" xfId="0" applyNumberFormat="1" applyFont="1" applyAlignment="1">
      <alignment horizontal="center"/>
    </xf>
    <xf numFmtId="14" fontId="2" fillId="0" borderId="6" xfId="0" applyNumberFormat="1" applyFont="1" applyFill="1" applyBorder="1" applyAlignment="1">
      <alignment horizontal="center"/>
    </xf>
    <xf numFmtId="0" fontId="22" fillId="0" borderId="4" xfId="0" applyFont="1" applyFill="1" applyBorder="1" applyAlignment="1">
      <alignment horizontal="centerContinuous"/>
    </xf>
    <xf numFmtId="0" fontId="39" fillId="0" borderId="4" xfId="0" applyFont="1" applyFill="1" applyBorder="1" applyAlignment="1">
      <alignment horizontal="centerContinuous"/>
    </xf>
    <xf numFmtId="0" fontId="9" fillId="0" borderId="0" xfId="17" applyFont="1" applyFill="1" applyBorder="1"/>
    <xf numFmtId="0" fontId="19" fillId="0" borderId="0" xfId="0" applyFont="1" applyBorder="1" applyAlignment="1">
      <alignment horizontal="centerContinuous"/>
    </xf>
    <xf numFmtId="38" fontId="22" fillId="0" borderId="0" xfId="0" applyNumberFormat="1" applyFont="1"/>
    <xf numFmtId="10" fontId="22" fillId="0" borderId="0" xfId="0" applyNumberFormat="1" applyFont="1" applyBorder="1"/>
    <xf numFmtId="3" fontId="3" fillId="0" borderId="0" xfId="0" applyNumberFormat="1" applyFont="1" applyFill="1"/>
    <xf numFmtId="14" fontId="2" fillId="0" borderId="0" xfId="0" applyNumberFormat="1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166" fontId="3" fillId="8" borderId="0" xfId="3" applyNumberFormat="1" applyFont="1" applyFill="1"/>
    <xf numFmtId="166" fontId="2" fillId="8" borderId="0" xfId="3" applyNumberFormat="1" applyFont="1" applyFill="1"/>
    <xf numFmtId="166" fontId="3" fillId="8" borderId="4" xfId="3" applyNumberFormat="1" applyFont="1" applyFill="1" applyBorder="1"/>
    <xf numFmtId="0" fontId="19" fillId="0" borderId="6" xfId="0" applyFont="1" applyBorder="1"/>
    <xf numFmtId="38" fontId="19" fillId="0" borderId="13" xfId="3" applyNumberFormat="1" applyFont="1" applyBorder="1" applyAlignment="1">
      <alignment horizontal="center"/>
    </xf>
    <xf numFmtId="164" fontId="22" fillId="0" borderId="0" xfId="0" applyNumberFormat="1" applyFont="1" applyBorder="1" applyAlignment="1">
      <alignment horizontal="center"/>
    </xf>
    <xf numFmtId="164" fontId="22" fillId="0" borderId="0" xfId="22" applyNumberFormat="1" applyFont="1" applyBorder="1" applyAlignment="1">
      <alignment horizontal="center"/>
    </xf>
    <xf numFmtId="9" fontId="19" fillId="0" borderId="6" xfId="0" applyNumberFormat="1" applyFont="1" applyBorder="1" applyAlignment="1">
      <alignment horizontal="center"/>
    </xf>
    <xf numFmtId="0" fontId="2" fillId="0" borderId="18" xfId="0" applyFont="1" applyBorder="1" applyAlignment="1"/>
    <xf numFmtId="0" fontId="3" fillId="0" borderId="11" xfId="0" applyFont="1" applyBorder="1"/>
    <xf numFmtId="164" fontId="3" fillId="0" borderId="17" xfId="22" applyNumberFormat="1" applyFont="1" applyBorder="1"/>
    <xf numFmtId="164" fontId="15" fillId="0" borderId="17" xfId="22" applyNumberFormat="1" applyFont="1" applyBorder="1"/>
    <xf numFmtId="166" fontId="10" fillId="0" borderId="19" xfId="3" applyNumberFormat="1" applyFont="1" applyBorder="1"/>
    <xf numFmtId="164" fontId="3" fillId="0" borderId="20" xfId="22" applyNumberFormat="1" applyFont="1" applyBorder="1"/>
    <xf numFmtId="0" fontId="95" fillId="0" borderId="0" xfId="0" applyFont="1"/>
    <xf numFmtId="10" fontId="39" fillId="0" borderId="0" xfId="0" applyNumberFormat="1" applyFont="1" applyBorder="1" applyAlignment="1" applyProtection="1">
      <alignment horizontal="center"/>
    </xf>
    <xf numFmtId="10" fontId="9" fillId="0" borderId="0" xfId="0" applyNumberFormat="1" applyFont="1" applyFill="1" applyBorder="1"/>
    <xf numFmtId="0" fontId="22" fillId="0" borderId="10" xfId="0" applyFont="1" applyFill="1" applyBorder="1" applyAlignment="1" applyProtection="1">
      <alignment horizontal="left"/>
    </xf>
    <xf numFmtId="10" fontId="22" fillId="8" borderId="0" xfId="0" applyNumberFormat="1" applyFont="1" applyFill="1" applyBorder="1" applyAlignment="1">
      <alignment horizontal="center"/>
    </xf>
    <xf numFmtId="173" fontId="22" fillId="8" borderId="0" xfId="0" applyNumberFormat="1" applyFont="1" applyFill="1" applyBorder="1" applyAlignment="1">
      <alignment horizontal="center"/>
    </xf>
    <xf numFmtId="173" fontId="39" fillId="8" borderId="0" xfId="0" applyNumberFormat="1" applyFont="1" applyFill="1" applyBorder="1" applyAlignment="1">
      <alignment horizontal="center"/>
    </xf>
    <xf numFmtId="38" fontId="22" fillId="8" borderId="0" xfId="0" applyNumberFormat="1" applyFont="1" applyFill="1" applyBorder="1" applyAlignment="1">
      <alignment horizontal="center"/>
    </xf>
    <xf numFmtId="43" fontId="22" fillId="0" borderId="0" xfId="3" applyFont="1" applyFill="1" applyBorder="1" applyAlignment="1">
      <alignment horizontal="center"/>
    </xf>
    <xf numFmtId="43" fontId="22" fillId="0" borderId="6" xfId="3" applyFont="1" applyFill="1" applyBorder="1" applyAlignment="1">
      <alignment horizontal="center"/>
    </xf>
    <xf numFmtId="10" fontId="22" fillId="0" borderId="9" xfId="22" applyNumberFormat="1" applyFont="1" applyFill="1" applyBorder="1" applyAlignment="1">
      <alignment horizontal="center"/>
    </xf>
    <xf numFmtId="187" fontId="3" fillId="0" borderId="0" xfId="0" applyNumberFormat="1" applyFont="1"/>
    <xf numFmtId="164" fontId="3" fillId="0" borderId="0" xfId="22" applyNumberFormat="1" applyFont="1"/>
    <xf numFmtId="3" fontId="22" fillId="0" borderId="0" xfId="3" applyNumberFormat="1" applyFont="1" applyFill="1" applyBorder="1" applyAlignment="1">
      <alignment horizontal="center"/>
    </xf>
    <xf numFmtId="3" fontId="22" fillId="0" borderId="0" xfId="3" applyNumberFormat="1" applyFont="1" applyBorder="1" applyAlignment="1">
      <alignment horizontal="center"/>
    </xf>
    <xf numFmtId="0" fontId="19" fillId="0" borderId="10" xfId="0" applyFont="1" applyBorder="1"/>
    <xf numFmtId="10" fontId="44" fillId="0" borderId="3" xfId="22" applyNumberFormat="1" applyFont="1" applyFill="1" applyBorder="1" applyAlignment="1">
      <alignment horizontal="right"/>
    </xf>
    <xf numFmtId="0" fontId="2" fillId="4" borderId="0" xfId="0" applyFont="1" applyFill="1" applyAlignment="1" applyProtection="1">
      <alignment horizontal="left"/>
      <protection locked="0"/>
    </xf>
    <xf numFmtId="166" fontId="18" fillId="0" borderId="0" xfId="3" applyNumberFormat="1" applyFont="1"/>
    <xf numFmtId="9" fontId="3" fillId="0" borderId="0" xfId="22" applyFont="1"/>
    <xf numFmtId="0" fontId="2" fillId="0" borderId="11" xfId="0" applyFont="1" applyBorder="1" applyAlignment="1"/>
    <xf numFmtId="43" fontId="3" fillId="0" borderId="0" xfId="3" applyNumberFormat="1" applyFont="1"/>
    <xf numFmtId="187" fontId="24" fillId="0" borderId="0" xfId="0" applyNumberFormat="1" applyFont="1" applyBorder="1" applyAlignment="1">
      <alignment horizontal="center"/>
    </xf>
    <xf numFmtId="0" fontId="2" fillId="0" borderId="6" xfId="0" applyNumberFormat="1" applyFont="1" applyFill="1" applyBorder="1" applyAlignment="1">
      <alignment horizontal="center"/>
    </xf>
    <xf numFmtId="14" fontId="29" fillId="0" borderId="0" xfId="0" applyNumberFormat="1" applyFont="1" applyFill="1" applyBorder="1" applyAlignment="1">
      <alignment horizontal="center"/>
    </xf>
    <xf numFmtId="14" fontId="24" fillId="0" borderId="0" xfId="0" applyNumberFormat="1" applyFont="1" applyFill="1" applyAlignment="1">
      <alignment horizontal="center"/>
    </xf>
    <xf numFmtId="0" fontId="2" fillId="0" borderId="18" xfId="0" applyFont="1" applyBorder="1"/>
    <xf numFmtId="14" fontId="15" fillId="0" borderId="0" xfId="0" applyNumberFormat="1" applyFont="1" applyFill="1" applyAlignment="1">
      <alignment horizontal="center"/>
    </xf>
    <xf numFmtId="3" fontId="15" fillId="0" borderId="0" xfId="0" applyNumberFormat="1" applyFont="1"/>
    <xf numFmtId="179" fontId="17" fillId="0" borderId="0" xfId="0" applyNumberFormat="1" applyFont="1" applyBorder="1" applyAlignment="1">
      <alignment horizontal="right"/>
    </xf>
    <xf numFmtId="166" fontId="17" fillId="0" borderId="0" xfId="3" applyNumberFormat="1" applyFont="1" applyBorder="1" applyAlignment="1">
      <alignment horizontal="right"/>
    </xf>
    <xf numFmtId="166" fontId="17" fillId="0" borderId="0" xfId="3" applyNumberFormat="1" applyFont="1" applyBorder="1" applyAlignment="1">
      <alignment horizontal="center"/>
    </xf>
    <xf numFmtId="0" fontId="3" fillId="0" borderId="18" xfId="0" applyFont="1" applyBorder="1" applyAlignment="1">
      <alignment horizontal="left"/>
    </xf>
    <xf numFmtId="173" fontId="3" fillId="0" borderId="16" xfId="0" applyNumberFormat="1" applyFont="1" applyFill="1" applyBorder="1" applyAlignment="1">
      <alignment horizontal="center"/>
    </xf>
    <xf numFmtId="173" fontId="15" fillId="0" borderId="17" xfId="0" applyNumberFormat="1" applyFont="1" applyFill="1" applyBorder="1" applyAlignment="1">
      <alignment horizontal="center"/>
    </xf>
    <xf numFmtId="0" fontId="3" fillId="0" borderId="19" xfId="0" applyFont="1" applyBorder="1" applyAlignment="1">
      <alignment horizontal="left"/>
    </xf>
    <xf numFmtId="173" fontId="3" fillId="0" borderId="20" xfId="0" applyNumberFormat="1" applyFont="1" applyBorder="1" applyAlignment="1">
      <alignment horizontal="center"/>
    </xf>
    <xf numFmtId="0" fontId="18" fillId="0" borderId="18" xfId="0" applyFont="1" applyBorder="1"/>
    <xf numFmtId="2" fontId="18" fillId="0" borderId="16" xfId="0" applyNumberFormat="1" applyFont="1" applyBorder="1" applyAlignment="1">
      <alignment horizontal="center"/>
    </xf>
    <xf numFmtId="0" fontId="18" fillId="0" borderId="11" xfId="0" applyFont="1" applyBorder="1"/>
    <xf numFmtId="4" fontId="3" fillId="0" borderId="17" xfId="0" applyNumberFormat="1" applyFont="1" applyBorder="1" applyAlignment="1">
      <alignment horizontal="center"/>
    </xf>
    <xf numFmtId="37" fontId="3" fillId="0" borderId="20" xfId="0" applyNumberFormat="1" applyFont="1" applyFill="1" applyBorder="1" applyAlignment="1">
      <alignment horizontal="center"/>
    </xf>
    <xf numFmtId="168" fontId="15" fillId="0" borderId="0" xfId="3" applyNumberFormat="1" applyFont="1"/>
    <xf numFmtId="166" fontId="3" fillId="0" borderId="4" xfId="3" applyNumberFormat="1" applyFont="1" applyBorder="1" applyAlignment="1" applyProtection="1">
      <alignment horizontal="left"/>
    </xf>
    <xf numFmtId="166" fontId="2" fillId="0" borderId="21" xfId="3" applyNumberFormat="1" applyFont="1" applyBorder="1"/>
    <xf numFmtId="166" fontId="3" fillId="0" borderId="4" xfId="3" applyNumberFormat="1" applyFont="1" applyFill="1" applyBorder="1"/>
    <xf numFmtId="0" fontId="13" fillId="0" borderId="0" xfId="0" applyFont="1" applyFill="1"/>
    <xf numFmtId="3" fontId="15" fillId="0" borderId="0" xfId="0" applyNumberFormat="1" applyFont="1" applyFill="1" applyBorder="1"/>
    <xf numFmtId="3" fontId="2" fillId="0" borderId="0" xfId="0" applyNumberFormat="1" applyFont="1" applyFill="1" applyBorder="1"/>
    <xf numFmtId="15" fontId="22" fillId="8" borderId="0" xfId="0" applyNumberFormat="1" applyFont="1" applyFill="1" applyBorder="1" applyAlignment="1">
      <alignment horizontal="center"/>
    </xf>
    <xf numFmtId="3" fontId="11" fillId="0" borderId="0" xfId="0" applyNumberFormat="1" applyFont="1"/>
    <xf numFmtId="0" fontId="17" fillId="0" borderId="22" xfId="0" applyFont="1" applyBorder="1"/>
    <xf numFmtId="166" fontId="3" fillId="0" borderId="0" xfId="0" applyNumberFormat="1" applyFont="1" applyBorder="1" applyAlignment="1">
      <alignment horizontal="left"/>
    </xf>
    <xf numFmtId="166" fontId="96" fillId="0" borderId="0" xfId="0" applyNumberFormat="1" applyFont="1" applyFill="1" applyBorder="1" applyAlignment="1">
      <alignment horizontal="left"/>
    </xf>
    <xf numFmtId="9" fontId="22" fillId="0" borderId="0" xfId="0" applyNumberFormat="1" applyFont="1" applyFill="1" applyBorder="1" applyAlignment="1">
      <alignment horizontal="center"/>
    </xf>
    <xf numFmtId="179" fontId="17" fillId="10" borderId="23" xfId="0" applyNumberFormat="1" applyFont="1" applyFill="1" applyBorder="1" applyAlignment="1">
      <alignment horizontal="right"/>
    </xf>
    <xf numFmtId="179" fontId="17" fillId="2" borderId="23" xfId="0" applyNumberFormat="1" applyFont="1" applyFill="1" applyBorder="1" applyAlignment="1">
      <alignment horizontal="right"/>
    </xf>
    <xf numFmtId="179" fontId="17" fillId="2" borderId="24" xfId="0" applyNumberFormat="1" applyFont="1" applyFill="1" applyBorder="1" applyAlignment="1">
      <alignment horizontal="right"/>
    </xf>
    <xf numFmtId="10" fontId="2" fillId="11" borderId="3" xfId="22" applyNumberFormat="1" applyFont="1" applyFill="1" applyBorder="1" applyAlignment="1">
      <alignment horizontal="center"/>
    </xf>
    <xf numFmtId="166" fontId="15" fillId="0" borderId="0" xfId="3" applyNumberFormat="1" applyFont="1" applyFill="1"/>
    <xf numFmtId="9" fontId="22" fillId="0" borderId="6" xfId="22" applyFont="1" applyFill="1" applyBorder="1" applyAlignment="1">
      <alignment horizontal="center"/>
    </xf>
    <xf numFmtId="0" fontId="15" fillId="0" borderId="0" xfId="0" applyFont="1" applyFill="1"/>
    <xf numFmtId="0" fontId="2" fillId="0" borderId="12" xfId="0" applyFont="1" applyBorder="1"/>
    <xf numFmtId="0" fontId="2" fillId="0" borderId="16" xfId="0" applyFont="1" applyBorder="1"/>
    <xf numFmtId="0" fontId="2" fillId="0" borderId="11" xfId="0" applyFont="1" applyBorder="1" applyAlignment="1">
      <alignment horizontal="left"/>
    </xf>
    <xf numFmtId="179" fontId="2" fillId="0" borderId="17" xfId="0" applyNumberFormat="1" applyFont="1" applyBorder="1"/>
    <xf numFmtId="0" fontId="2" fillId="0" borderId="19" xfId="0" applyFont="1" applyBorder="1" applyAlignment="1">
      <alignment horizontal="left"/>
    </xf>
    <xf numFmtId="0" fontId="2" fillId="0" borderId="4" xfId="0" applyFont="1" applyBorder="1"/>
    <xf numFmtId="179" fontId="2" fillId="0" borderId="20" xfId="0" applyNumberFormat="1" applyFont="1" applyBorder="1"/>
    <xf numFmtId="0" fontId="22" fillId="0" borderId="0" xfId="0" applyFont="1" applyBorder="1" applyAlignment="1">
      <alignment horizontal="center"/>
    </xf>
    <xf numFmtId="1" fontId="22" fillId="0" borderId="0" xfId="0" applyNumberFormat="1" applyFont="1" applyFill="1" applyBorder="1" applyAlignment="1">
      <alignment horizontal="center"/>
    </xf>
    <xf numFmtId="10" fontId="22" fillId="8" borderId="0" xfId="22" applyNumberFormat="1" applyFont="1" applyFill="1" applyBorder="1" applyAlignment="1">
      <alignment horizontal="center"/>
    </xf>
    <xf numFmtId="40" fontId="22" fillId="8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0" fontId="22" fillId="0" borderId="0" xfId="0" applyNumberFormat="1" applyFont="1" applyFill="1" applyBorder="1" applyAlignment="1">
      <alignment horizontal="center"/>
    </xf>
    <xf numFmtId="10" fontId="22" fillId="0" borderId="9" xfId="0" applyNumberFormat="1" applyFont="1" applyFill="1" applyBorder="1" applyAlignment="1">
      <alignment horizontal="center"/>
    </xf>
    <xf numFmtId="40" fontId="22" fillId="0" borderId="0" xfId="0" applyNumberFormat="1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9" fillId="0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9" fillId="0" borderId="8" xfId="0" applyFont="1" applyFill="1" applyBorder="1" applyAlignment="1">
      <alignment horizontal="center"/>
    </xf>
    <xf numFmtId="0" fontId="22" fillId="0" borderId="9" xfId="0" applyFont="1" applyFill="1" applyBorder="1" applyAlignment="1">
      <alignment horizontal="center"/>
    </xf>
    <xf numFmtId="10" fontId="22" fillId="8" borderId="6" xfId="22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2" fillId="0" borderId="7" xfId="0" applyFont="1" applyBorder="1" applyAlignment="1">
      <alignment horizontal="center"/>
    </xf>
    <xf numFmtId="40" fontId="22" fillId="0" borderId="0" xfId="0" applyNumberFormat="1" applyFont="1" applyBorder="1" applyAlignment="1">
      <alignment horizontal="center"/>
    </xf>
    <xf numFmtId="40" fontId="3" fillId="0" borderId="0" xfId="0" applyNumberFormat="1" applyFont="1" applyBorder="1" applyAlignment="1">
      <alignment horizontal="center"/>
    </xf>
    <xf numFmtId="38" fontId="3" fillId="4" borderId="0" xfId="0" applyNumberFormat="1" applyFont="1" applyFill="1"/>
    <xf numFmtId="10" fontId="3" fillId="0" borderId="0" xfId="0" applyNumberFormat="1" applyFont="1" applyFill="1" applyBorder="1" applyAlignment="1">
      <alignment horizontal="center"/>
    </xf>
    <xf numFmtId="38" fontId="97" fillId="0" borderId="0" xfId="0" applyNumberFormat="1" applyFont="1"/>
    <xf numFmtId="38" fontId="14" fillId="0" borderId="0" xfId="0" applyNumberFormat="1" applyFont="1"/>
    <xf numFmtId="38" fontId="9" fillId="0" borderId="0" xfId="0" applyNumberFormat="1" applyFont="1"/>
    <xf numFmtId="0" fontId="2" fillId="0" borderId="4" xfId="0" applyFont="1" applyBorder="1" applyAlignment="1">
      <alignment horizontal="center"/>
    </xf>
    <xf numFmtId="37" fontId="3" fillId="0" borderId="0" xfId="0" applyNumberFormat="1" applyFont="1" applyFill="1"/>
    <xf numFmtId="10" fontId="3" fillId="0" borderId="0" xfId="22" applyNumberFormat="1" applyFont="1" applyAlignment="1">
      <alignment horizontal="center"/>
    </xf>
    <xf numFmtId="3" fontId="22" fillId="8" borderId="0" xfId="3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39" fontId="22" fillId="8" borderId="0" xfId="3" applyNumberFormat="1" applyFont="1" applyFill="1" applyBorder="1" applyAlignment="1">
      <alignment horizontal="center"/>
    </xf>
    <xf numFmtId="3" fontId="22" fillId="0" borderId="0" xfId="0" applyNumberFormat="1" applyFont="1"/>
    <xf numFmtId="3" fontId="3" fillId="0" borderId="0" xfId="0" applyNumberFormat="1" applyFont="1" applyAlignment="1">
      <alignment horizontal="center"/>
    </xf>
    <xf numFmtId="0" fontId="0" fillId="0" borderId="0" xfId="0" applyBorder="1"/>
    <xf numFmtId="9" fontId="22" fillId="0" borderId="0" xfId="0" applyNumberFormat="1" applyFont="1" applyBorder="1" applyAlignment="1">
      <alignment horizontal="center"/>
    </xf>
    <xf numFmtId="2" fontId="3" fillId="0" borderId="0" xfId="0" applyNumberFormat="1" applyFont="1" applyBorder="1"/>
    <xf numFmtId="37" fontId="9" fillId="0" borderId="0" xfId="0" applyNumberFormat="1" applyFont="1" applyFill="1" applyBorder="1" applyAlignment="1">
      <alignment horizontal="center"/>
    </xf>
    <xf numFmtId="2" fontId="9" fillId="0" borderId="0" xfId="0" applyNumberFormat="1" applyFont="1" applyBorder="1" applyAlignment="1">
      <alignment horizontal="center"/>
    </xf>
    <xf numFmtId="39" fontId="9" fillId="0" borderId="0" xfId="0" applyNumberFormat="1" applyFont="1" applyFill="1" applyBorder="1" applyAlignment="1">
      <alignment horizontal="center"/>
    </xf>
    <xf numFmtId="173" fontId="9" fillId="0" borderId="0" xfId="22" applyNumberFormat="1" applyFont="1" applyFill="1" applyBorder="1" applyAlignment="1">
      <alignment horizontal="center"/>
    </xf>
    <xf numFmtId="173" fontId="19" fillId="0" borderId="0" xfId="22" applyNumberFormat="1" applyFont="1" applyFill="1" applyBorder="1" applyAlignment="1">
      <alignment horizontal="center"/>
    </xf>
    <xf numFmtId="37" fontId="9" fillId="8" borderId="0" xfId="0" applyNumberFormat="1" applyFont="1" applyFill="1" applyBorder="1" applyAlignment="1">
      <alignment horizontal="center"/>
    </xf>
    <xf numFmtId="43" fontId="22" fillId="0" borderId="0" xfId="3" applyFont="1" applyFill="1" applyBorder="1" applyAlignment="1">
      <alignment horizontal="right"/>
    </xf>
    <xf numFmtId="44" fontId="22" fillId="0" borderId="0" xfId="4" applyFont="1" applyFill="1" applyAlignment="1">
      <alignment horizontal="right"/>
    </xf>
    <xf numFmtId="0" fontId="98" fillId="0" borderId="0" xfId="0" applyFont="1" applyAlignment="1">
      <alignment horizontal="center"/>
    </xf>
    <xf numFmtId="0" fontId="99" fillId="0" borderId="0" xfId="0" applyFont="1"/>
    <xf numFmtId="166" fontId="98" fillId="0" borderId="0" xfId="0" applyNumberFormat="1" applyFont="1"/>
    <xf numFmtId="166" fontId="99" fillId="0" borderId="0" xfId="0" applyNumberFormat="1" applyFont="1"/>
    <xf numFmtId="0" fontId="99" fillId="0" borderId="0" xfId="0" applyFont="1" applyFill="1"/>
    <xf numFmtId="38" fontId="15" fillId="0" borderId="4" xfId="3" applyNumberFormat="1" applyFont="1" applyFill="1" applyBorder="1"/>
    <xf numFmtId="0" fontId="100" fillId="0" borderId="0" xfId="0" applyFont="1"/>
    <xf numFmtId="38" fontId="13" fillId="0" borderId="0" xfId="0" applyNumberFormat="1" applyFont="1"/>
    <xf numFmtId="0" fontId="13" fillId="0" borderId="0" xfId="0" applyFont="1" applyFill="1" applyBorder="1"/>
    <xf numFmtId="0" fontId="13" fillId="0" borderId="0" xfId="0" applyFont="1" applyFill="1" applyBorder="1" applyAlignment="1">
      <alignment horizontal="center"/>
    </xf>
    <xf numFmtId="166" fontId="13" fillId="0" borderId="0" xfId="3" applyNumberFormat="1" applyFont="1" applyFill="1" applyBorder="1"/>
    <xf numFmtId="166" fontId="13" fillId="0" borderId="0" xfId="0" applyNumberFormat="1" applyFont="1"/>
    <xf numFmtId="166" fontId="100" fillId="0" borderId="0" xfId="3" applyNumberFormat="1" applyFont="1" applyFill="1" applyBorder="1"/>
    <xf numFmtId="0" fontId="3" fillId="0" borderId="5" xfId="0" applyFont="1" applyBorder="1"/>
    <xf numFmtId="10" fontId="2" fillId="0" borderId="0" xfId="22" applyNumberFormat="1" applyFont="1" applyFill="1"/>
    <xf numFmtId="166" fontId="2" fillId="0" borderId="5" xfId="3" applyNumberFormat="1" applyFont="1" applyFill="1" applyBorder="1"/>
    <xf numFmtId="10" fontId="2" fillId="0" borderId="5" xfId="22" applyNumberFormat="1" applyFont="1" applyFill="1" applyBorder="1"/>
    <xf numFmtId="10" fontId="3" fillId="0" borderId="0" xfId="22" applyNumberFormat="1" applyFont="1" applyFill="1"/>
    <xf numFmtId="10" fontId="15" fillId="0" borderId="0" xfId="22" applyNumberFormat="1" applyFont="1" applyFill="1"/>
    <xf numFmtId="0" fontId="7" fillId="4" borderId="0" xfId="17" applyFont="1" applyFill="1" applyBorder="1"/>
    <xf numFmtId="190" fontId="3" fillId="0" borderId="0" xfId="0" applyNumberFormat="1" applyFont="1" applyBorder="1"/>
    <xf numFmtId="0" fontId="9" fillId="0" borderId="0" xfId="0" applyFont="1" applyBorder="1" applyAlignment="1">
      <alignment horizontal="center"/>
    </xf>
    <xf numFmtId="0" fontId="19" fillId="0" borderId="8" xfId="0" applyFont="1" applyBorder="1" applyAlignment="1">
      <alignment horizontal="centerContinuous"/>
    </xf>
    <xf numFmtId="166" fontId="2" fillId="0" borderId="0" xfId="3" applyNumberFormat="1" applyFont="1" applyFill="1" applyBorder="1" applyAlignment="1">
      <alignment horizontal="centerContinuous"/>
    </xf>
    <xf numFmtId="166" fontId="3" fillId="0" borderId="0" xfId="0" applyNumberFormat="1" applyFont="1" applyFill="1"/>
    <xf numFmtId="10" fontId="15" fillId="0" borderId="0" xfId="3" applyNumberFormat="1" applyFont="1" applyFill="1" applyBorder="1"/>
    <xf numFmtId="164" fontId="16" fillId="0" borderId="0" xfId="22" applyNumberFormat="1" applyFont="1"/>
    <xf numFmtId="166" fontId="13" fillId="0" borderId="0" xfId="0" applyNumberFormat="1" applyFont="1" applyFill="1" applyBorder="1"/>
    <xf numFmtId="166" fontId="100" fillId="0" borderId="0" xfId="0" applyNumberFormat="1" applyFont="1" applyFill="1" applyBorder="1"/>
    <xf numFmtId="166" fontId="13" fillId="0" borderId="0" xfId="3" applyNumberFormat="1" applyFont="1" applyFill="1"/>
    <xf numFmtId="166" fontId="2" fillId="0" borderId="0" xfId="3" applyNumberFormat="1" applyFont="1" applyFill="1" applyBorder="1" applyProtection="1"/>
    <xf numFmtId="0" fontId="10" fillId="0" borderId="0" xfId="0" applyFont="1" applyBorder="1"/>
    <xf numFmtId="0" fontId="42" fillId="0" borderId="0" xfId="0" applyFont="1"/>
    <xf numFmtId="1" fontId="10" fillId="0" borderId="0" xfId="0" applyNumberFormat="1" applyFont="1" applyBorder="1"/>
    <xf numFmtId="1" fontId="42" fillId="0" borderId="0" xfId="0" applyNumberFormat="1" applyFont="1" applyBorder="1"/>
    <xf numFmtId="166" fontId="42" fillId="0" borderId="0" xfId="3" applyNumberFormat="1" applyFont="1" applyBorder="1"/>
    <xf numFmtId="0" fontId="42" fillId="0" borderId="0" xfId="0" applyFont="1" applyBorder="1"/>
    <xf numFmtId="0" fontId="20" fillId="0" borderId="0" xfId="0" applyFont="1" applyBorder="1"/>
    <xf numFmtId="165" fontId="20" fillId="0" borderId="0" xfId="4" applyNumberFormat="1" applyFont="1" applyBorder="1" applyProtection="1"/>
    <xf numFmtId="0" fontId="10" fillId="0" borderId="0" xfId="0" applyFont="1" applyBorder="1" applyAlignment="1" applyProtection="1">
      <alignment horizontal="left"/>
    </xf>
    <xf numFmtId="165" fontId="3" fillId="0" borderId="0" xfId="4" applyNumberFormat="1" applyFont="1" applyBorder="1" applyProtection="1"/>
    <xf numFmtId="10" fontId="15" fillId="0" borderId="0" xfId="0" applyNumberFormat="1" applyFont="1" applyBorder="1"/>
    <xf numFmtId="165" fontId="2" fillId="0" borderId="0" xfId="4" applyNumberFormat="1" applyFont="1" applyBorder="1" applyProtection="1"/>
    <xf numFmtId="41" fontId="3" fillId="0" borderId="0" xfId="0" applyNumberFormat="1" applyFont="1" applyBorder="1"/>
    <xf numFmtId="166" fontId="3" fillId="0" borderId="0" xfId="0" applyNumberFormat="1" applyFont="1" applyBorder="1"/>
    <xf numFmtId="0" fontId="3" fillId="0" borderId="4" xfId="0" applyFont="1" applyFill="1" applyBorder="1" applyAlignment="1">
      <alignment horizontal="left"/>
    </xf>
    <xf numFmtId="166" fontId="18" fillId="0" borderId="0" xfId="3" applyNumberFormat="1" applyFont="1" applyBorder="1"/>
    <xf numFmtId="38" fontId="18" fillId="0" borderId="0" xfId="0" applyNumberFormat="1" applyFont="1" applyBorder="1"/>
    <xf numFmtId="166" fontId="103" fillId="0" borderId="0" xfId="3" applyNumberFormat="1" applyFont="1" applyBorder="1"/>
    <xf numFmtId="166" fontId="18" fillId="0" borderId="0" xfId="0" applyNumberFormat="1" applyFont="1" applyBorder="1"/>
    <xf numFmtId="0" fontId="3" fillId="0" borderId="0" xfId="0" applyNumberFormat="1" applyFont="1" applyFill="1" applyBorder="1" applyAlignment="1">
      <alignment horizontal="left"/>
    </xf>
    <xf numFmtId="10" fontId="18" fillId="0" borderId="0" xfId="0" applyNumberFormat="1" applyFont="1" applyBorder="1"/>
    <xf numFmtId="10" fontId="103" fillId="0" borderId="0" xfId="0" applyNumberFormat="1" applyFont="1" applyBorder="1"/>
    <xf numFmtId="38" fontId="13" fillId="0" borderId="0" xfId="0" applyNumberFormat="1" applyFont="1" applyFill="1" applyBorder="1"/>
    <xf numFmtId="3" fontId="3" fillId="0" borderId="0" xfId="0" applyNumberFormat="1" applyFont="1" applyBorder="1"/>
    <xf numFmtId="38" fontId="22" fillId="0" borderId="9" xfId="0" applyNumberFormat="1" applyFont="1" applyFill="1" applyBorder="1" applyAlignment="1">
      <alignment horizontal="center"/>
    </xf>
    <xf numFmtId="0" fontId="22" fillId="0" borderId="8" xfId="0" applyFont="1" applyFill="1" applyBorder="1"/>
    <xf numFmtId="0" fontId="3" fillId="0" borderId="9" xfId="0" applyFont="1" applyFill="1" applyBorder="1"/>
    <xf numFmtId="40" fontId="22" fillId="0" borderId="9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40" fontId="22" fillId="0" borderId="7" xfId="0" applyNumberFormat="1" applyFont="1" applyFill="1" applyBorder="1" applyAlignment="1">
      <alignment horizontal="center"/>
    </xf>
    <xf numFmtId="40" fontId="22" fillId="0" borderId="8" xfId="0" applyNumberFormat="1" applyFont="1" applyFill="1" applyBorder="1" applyAlignment="1">
      <alignment horizontal="center"/>
    </xf>
    <xf numFmtId="3" fontId="3" fillId="0" borderId="9" xfId="0" applyNumberFormat="1" applyFont="1" applyBorder="1" applyAlignment="1">
      <alignment horizontal="center"/>
    </xf>
    <xf numFmtId="38" fontId="3" fillId="8" borderId="0" xfId="0" applyNumberFormat="1" applyFont="1" applyFill="1"/>
    <xf numFmtId="4" fontId="22" fillId="0" borderId="0" xfId="0" applyNumberFormat="1" applyFont="1" applyFill="1" applyBorder="1" applyAlignment="1">
      <alignment horizontal="center"/>
    </xf>
    <xf numFmtId="39" fontId="3" fillId="0" borderId="0" xfId="3" applyNumberFormat="1" applyFont="1" applyFill="1" applyBorder="1" applyAlignment="1">
      <alignment horizontal="center"/>
    </xf>
    <xf numFmtId="189" fontId="3" fillId="0" borderId="0" xfId="0" applyNumberFormat="1" applyFont="1"/>
    <xf numFmtId="166" fontId="2" fillId="0" borderId="0" xfId="0" applyNumberFormat="1" applyFont="1" applyFill="1"/>
    <xf numFmtId="166" fontId="17" fillId="8" borderId="0" xfId="3" applyNumberFormat="1" applyFont="1" applyFill="1" applyBorder="1"/>
    <xf numFmtId="38" fontId="3" fillId="8" borderId="0" xfId="3" applyNumberFormat="1" applyFont="1" applyFill="1"/>
    <xf numFmtId="166" fontId="13" fillId="0" borderId="0" xfId="3" applyNumberFormat="1" applyFont="1"/>
    <xf numFmtId="166" fontId="100" fillId="0" borderId="0" xfId="3" applyNumberFormat="1" applyFont="1"/>
    <xf numFmtId="222" fontId="22" fillId="0" borderId="0" xfId="3" applyNumberFormat="1" applyFont="1" applyBorder="1" applyAlignment="1">
      <alignment horizontal="center"/>
    </xf>
    <xf numFmtId="0" fontId="0" fillId="0" borderId="9" xfId="0" applyBorder="1"/>
    <xf numFmtId="39" fontId="22" fillId="0" borderId="0" xfId="3" applyNumberFormat="1" applyFont="1" applyFill="1" applyBorder="1" applyAlignment="1">
      <alignment horizontal="center"/>
    </xf>
    <xf numFmtId="0" fontId="0" fillId="0" borderId="0" xfId="0" applyFill="1" applyBorder="1"/>
    <xf numFmtId="166" fontId="2" fillId="10" borderId="0" xfId="0" applyNumberFormat="1" applyFont="1" applyFill="1"/>
    <xf numFmtId="166" fontId="3" fillId="10" borderId="0" xfId="0" applyNumberFormat="1" applyFont="1" applyFill="1"/>
    <xf numFmtId="38" fontId="3" fillId="10" borderId="0" xfId="0" applyNumberFormat="1" applyFont="1" applyFill="1"/>
    <xf numFmtId="38" fontId="22" fillId="0" borderId="13" xfId="0" applyNumberFormat="1" applyFont="1" applyFill="1" applyBorder="1" applyAlignment="1">
      <alignment horizontal="center"/>
    </xf>
    <xf numFmtId="0" fontId="22" fillId="0" borderId="4" xfId="0" applyFont="1" applyBorder="1"/>
    <xf numFmtId="3" fontId="22" fillId="0" borderId="4" xfId="3" applyNumberFormat="1" applyFont="1" applyBorder="1" applyAlignment="1">
      <alignment horizontal="center"/>
    </xf>
    <xf numFmtId="3" fontId="22" fillId="0" borderId="6" xfId="3" applyNumberFormat="1" applyFont="1" applyFill="1" applyBorder="1" applyAlignment="1">
      <alignment horizontal="center"/>
    </xf>
    <xf numFmtId="0" fontId="2" fillId="0" borderId="5" xfId="0" applyFont="1" applyBorder="1"/>
    <xf numFmtId="166" fontId="2" fillId="8" borderId="0" xfId="0" applyNumberFormat="1" applyFont="1" applyFill="1" applyBorder="1"/>
    <xf numFmtId="221" fontId="22" fillId="0" borderId="0" xfId="3" applyNumberFormat="1" applyFont="1" applyBorder="1" applyAlignment="1">
      <alignment horizontal="center"/>
    </xf>
    <xf numFmtId="38" fontId="4" fillId="0" borderId="0" xfId="0" applyNumberFormat="1" applyFont="1" applyFill="1" applyAlignment="1">
      <alignment horizontal="left"/>
    </xf>
    <xf numFmtId="0" fontId="22" fillId="0" borderId="15" xfId="0" applyFont="1" applyBorder="1" applyAlignment="1">
      <alignment horizontal="left"/>
    </xf>
    <xf numFmtId="38" fontId="3" fillId="0" borderId="0" xfId="4" applyNumberFormat="1" applyFont="1" applyFill="1" applyBorder="1" applyProtection="1"/>
    <xf numFmtId="14" fontId="2" fillId="0" borderId="6" xfId="0" applyNumberFormat="1" applyFont="1" applyFill="1" applyBorder="1" applyAlignment="1">
      <alignment horizontal="left"/>
    </xf>
    <xf numFmtId="9" fontId="3" fillId="0" borderId="0" xfId="0" applyNumberFormat="1" applyFont="1" applyBorder="1"/>
    <xf numFmtId="10" fontId="3" fillId="0" borderId="0" xfId="0" applyNumberFormat="1" applyFont="1" applyBorder="1"/>
    <xf numFmtId="210" fontId="3" fillId="0" borderId="9" xfId="0" applyNumberFormat="1" applyFont="1" applyBorder="1"/>
    <xf numFmtId="164" fontId="0" fillId="0" borderId="0" xfId="22" applyNumberFormat="1" applyFont="1"/>
    <xf numFmtId="164" fontId="0" fillId="0" borderId="3" xfId="0" applyNumberFormat="1" applyBorder="1"/>
    <xf numFmtId="166" fontId="105" fillId="0" borderId="3" xfId="3" applyNumberFormat="1" applyFont="1" applyBorder="1"/>
    <xf numFmtId="164" fontId="3" fillId="0" borderId="0" xfId="22" applyNumberFormat="1" applyFont="1" applyFill="1"/>
    <xf numFmtId="166" fontId="0" fillId="0" borderId="0" xfId="0" applyNumberFormat="1"/>
    <xf numFmtId="38" fontId="15" fillId="10" borderId="0" xfId="0" applyNumberFormat="1" applyFont="1" applyFill="1"/>
    <xf numFmtId="166" fontId="11" fillId="10" borderId="0" xfId="0" applyNumberFormat="1" applyFont="1" applyFill="1"/>
    <xf numFmtId="166" fontId="3" fillId="10" borderId="0" xfId="3" applyNumberFormat="1" applyFont="1" applyFill="1"/>
    <xf numFmtId="37" fontId="22" fillId="8" borderId="0" xfId="0" applyNumberFormat="1" applyFont="1" applyFill="1" applyBorder="1" applyAlignment="1">
      <alignment horizontal="center"/>
    </xf>
    <xf numFmtId="9" fontId="15" fillId="0" borderId="0" xfId="3" applyNumberFormat="1" applyFont="1" applyBorder="1"/>
    <xf numFmtId="166" fontId="2" fillId="0" borderId="5" xfId="3" quotePrefix="1" applyNumberFormat="1" applyFont="1" applyBorder="1" applyProtection="1"/>
    <xf numFmtId="166" fontId="3" fillId="0" borderId="0" xfId="3" applyNumberFormat="1" applyFont="1" applyBorder="1" applyAlignment="1">
      <alignment horizontal="center"/>
    </xf>
    <xf numFmtId="38" fontId="22" fillId="8" borderId="6" xfId="0" applyNumberFormat="1" applyFont="1" applyFill="1" applyBorder="1" applyAlignment="1">
      <alignment horizontal="center"/>
    </xf>
    <xf numFmtId="0" fontId="0" fillId="0" borderId="6" xfId="0" applyBorder="1"/>
    <xf numFmtId="3" fontId="22" fillId="0" borderId="6" xfId="0" applyNumberFormat="1" applyFont="1" applyBorder="1" applyAlignment="1">
      <alignment horizontal="center"/>
    </xf>
    <xf numFmtId="3" fontId="22" fillId="0" borderId="13" xfId="0" applyNumberFormat="1" applyFont="1" applyBorder="1" applyAlignment="1">
      <alignment horizontal="center"/>
    </xf>
    <xf numFmtId="9" fontId="39" fillId="0" borderId="0" xfId="0" applyNumberFormat="1" applyFont="1" applyFill="1" applyBorder="1" applyAlignment="1">
      <alignment horizontal="center"/>
    </xf>
    <xf numFmtId="38" fontId="39" fillId="0" borderId="0" xfId="0" applyNumberFormat="1" applyFont="1" applyBorder="1"/>
    <xf numFmtId="9" fontId="39" fillId="0" borderId="0" xfId="0" applyNumberFormat="1" applyFont="1" applyBorder="1" applyAlignment="1">
      <alignment horizontal="center"/>
    </xf>
    <xf numFmtId="38" fontId="39" fillId="0" borderId="9" xfId="3" applyNumberFormat="1" applyFont="1" applyBorder="1" applyAlignment="1">
      <alignment horizontal="center"/>
    </xf>
    <xf numFmtId="10" fontId="39" fillId="0" borderId="0" xfId="0" applyNumberFormat="1" applyFont="1" applyBorder="1" applyAlignment="1">
      <alignment horizontal="left"/>
    </xf>
    <xf numFmtId="0" fontId="19" fillId="0" borderId="15" xfId="0" applyFont="1" applyBorder="1" applyAlignment="1">
      <alignment horizontal="left"/>
    </xf>
    <xf numFmtId="9" fontId="19" fillId="0" borderId="6" xfId="0" applyNumberFormat="1" applyFont="1" applyBorder="1" applyAlignment="1" applyProtection="1">
      <alignment horizontal="center"/>
    </xf>
    <xf numFmtId="38" fontId="19" fillId="0" borderId="6" xfId="3" applyNumberFormat="1" applyFont="1" applyBorder="1" applyAlignment="1" applyProtection="1">
      <alignment horizontal="center"/>
    </xf>
    <xf numFmtId="0" fontId="9" fillId="0" borderId="22" xfId="0" applyFont="1" applyBorder="1"/>
    <xf numFmtId="0" fontId="9" fillId="0" borderId="23" xfId="0" applyFont="1" applyBorder="1"/>
    <xf numFmtId="0" fontId="0" fillId="0" borderId="23" xfId="0" applyBorder="1"/>
    <xf numFmtId="40" fontId="22" fillId="12" borderId="23" xfId="3" applyNumberFormat="1" applyFont="1" applyFill="1" applyBorder="1" applyAlignment="1">
      <alignment horizontal="right"/>
    </xf>
    <xf numFmtId="40" fontId="22" fillId="12" borderId="24" xfId="3" applyNumberFormat="1" applyFont="1" applyFill="1" applyBorder="1" applyAlignment="1">
      <alignment horizontal="right"/>
    </xf>
    <xf numFmtId="10" fontId="44" fillId="0" borderId="0" xfId="22" applyNumberFormat="1" applyFont="1" applyFill="1" applyBorder="1" applyAlignment="1">
      <alignment horizontal="right"/>
    </xf>
    <xf numFmtId="166" fontId="22" fillId="0" borderId="0" xfId="3" applyNumberFormat="1" applyFont="1" applyBorder="1" applyAlignment="1">
      <alignment horizontal="right"/>
    </xf>
    <xf numFmtId="0" fontId="20" fillId="0" borderId="0" xfId="0" applyFont="1" applyBorder="1" applyAlignment="1" applyProtection="1">
      <alignment horizontal="left"/>
    </xf>
    <xf numFmtId="0" fontId="101" fillId="0" borderId="0" xfId="0" applyFont="1" applyBorder="1" applyAlignment="1" applyProtection="1">
      <alignment horizontal="left"/>
    </xf>
    <xf numFmtId="0" fontId="102" fillId="0" borderId="0" xfId="0" applyFont="1" applyBorder="1" applyAlignment="1" applyProtection="1">
      <alignment horizontal="left"/>
    </xf>
    <xf numFmtId="357" fontId="15" fillId="0" borderId="0" xfId="0" applyNumberFormat="1" applyFont="1" applyFill="1" applyBorder="1"/>
    <xf numFmtId="3" fontId="22" fillId="8" borderId="6" xfId="0" applyNumberFormat="1" applyFont="1" applyFill="1" applyBorder="1" applyAlignment="1">
      <alignment horizontal="center"/>
    </xf>
    <xf numFmtId="0" fontId="22" fillId="0" borderId="6" xfId="0" applyFont="1" applyBorder="1" applyAlignment="1">
      <alignment horizontal="center"/>
    </xf>
    <xf numFmtId="9" fontId="3" fillId="0" borderId="0" xfId="3" applyNumberFormat="1" applyFont="1" applyFill="1" applyBorder="1" applyAlignment="1">
      <alignment horizontal="right"/>
    </xf>
    <xf numFmtId="166" fontId="3" fillId="0" borderId="0" xfId="3" applyNumberFormat="1" applyFont="1" applyFill="1" applyBorder="1" applyAlignment="1">
      <alignment horizontal="right"/>
    </xf>
    <xf numFmtId="43" fontId="15" fillId="0" borderId="0" xfId="3" applyFont="1" applyFill="1" applyBorder="1" applyAlignment="1">
      <alignment horizontal="left"/>
    </xf>
    <xf numFmtId="164" fontId="3" fillId="0" borderId="0" xfId="22" applyNumberFormat="1" applyFont="1" applyFill="1" applyBorder="1"/>
    <xf numFmtId="10" fontId="3" fillId="0" borderId="0" xfId="22" applyNumberFormat="1" applyFont="1"/>
    <xf numFmtId="191" fontId="3" fillId="0" borderId="0" xfId="0" applyNumberFormat="1" applyFont="1"/>
    <xf numFmtId="164" fontId="9" fillId="8" borderId="6" xfId="22" applyNumberFormat="1" applyFont="1" applyFill="1" applyBorder="1" applyAlignment="1">
      <alignment horizontal="center"/>
    </xf>
    <xf numFmtId="166" fontId="3" fillId="8" borderId="0" xfId="3" applyNumberFormat="1" applyFont="1" applyFill="1" applyAlignment="1">
      <alignment horizontal="right"/>
    </xf>
    <xf numFmtId="164" fontId="0" fillId="0" borderId="0" xfId="0" applyNumberFormat="1"/>
    <xf numFmtId="0" fontId="105" fillId="0" borderId="0" xfId="0" applyFont="1"/>
    <xf numFmtId="0" fontId="107" fillId="0" borderId="0" xfId="0" applyFont="1"/>
    <xf numFmtId="0" fontId="105" fillId="0" borderId="0" xfId="0" applyFont="1" applyBorder="1" applyAlignment="1">
      <alignment horizontal="center"/>
    </xf>
    <xf numFmtId="0" fontId="21" fillId="0" borderId="0" xfId="0" applyFont="1"/>
    <xf numFmtId="358" fontId="108" fillId="0" borderId="25" xfId="4" applyNumberFormat="1" applyFont="1" applyBorder="1" applyAlignment="1">
      <alignment horizontal="center"/>
    </xf>
    <xf numFmtId="358" fontId="108" fillId="0" borderId="26" xfId="4" applyNumberFormat="1" applyFont="1" applyBorder="1" applyAlignment="1">
      <alignment horizontal="center"/>
    </xf>
    <xf numFmtId="166" fontId="21" fillId="0" borderId="0" xfId="3" applyNumberFormat="1" applyFont="1" applyBorder="1"/>
    <xf numFmtId="166" fontId="21" fillId="0" borderId="17" xfId="3" applyNumberFormat="1" applyFont="1" applyBorder="1"/>
    <xf numFmtId="166" fontId="21" fillId="0" borderId="25" xfId="0" applyNumberFormat="1" applyFont="1" applyBorder="1"/>
    <xf numFmtId="166" fontId="21" fillId="0" borderId="26" xfId="0" applyNumberFormat="1" applyFont="1" applyBorder="1"/>
    <xf numFmtId="166" fontId="21" fillId="0" borderId="0" xfId="0" applyNumberFormat="1" applyFont="1" applyBorder="1"/>
    <xf numFmtId="166" fontId="21" fillId="0" borderId="17" xfId="0" applyNumberFormat="1" applyFont="1" applyBorder="1"/>
    <xf numFmtId="166" fontId="21" fillId="0" borderId="4" xfId="0" applyNumberFormat="1" applyFont="1" applyBorder="1"/>
    <xf numFmtId="166" fontId="21" fillId="0" borderId="20" xfId="0" applyNumberFormat="1" applyFont="1" applyBorder="1"/>
    <xf numFmtId="166" fontId="21" fillId="0" borderId="12" xfId="3" applyNumberFormat="1" applyFont="1" applyBorder="1"/>
    <xf numFmtId="166" fontId="21" fillId="0" borderId="16" xfId="3" applyNumberFormat="1" applyFont="1" applyBorder="1"/>
    <xf numFmtId="166" fontId="21" fillId="0" borderId="0" xfId="3" applyNumberFormat="1" applyFont="1"/>
    <xf numFmtId="166" fontId="21" fillId="0" borderId="12" xfId="0" applyNumberFormat="1" applyFont="1" applyBorder="1"/>
    <xf numFmtId="166" fontId="21" fillId="0" borderId="16" xfId="0" applyNumberFormat="1" applyFont="1" applyBorder="1"/>
    <xf numFmtId="166" fontId="21" fillId="0" borderId="0" xfId="0" applyNumberFormat="1" applyFont="1"/>
    <xf numFmtId="358" fontId="109" fillId="0" borderId="4" xfId="4" applyNumberFormat="1" applyFont="1" applyBorder="1" applyAlignment="1">
      <alignment horizontal="center"/>
    </xf>
    <xf numFmtId="358" fontId="109" fillId="0" borderId="20" xfId="4" applyNumberFormat="1" applyFont="1" applyBorder="1" applyAlignment="1">
      <alignment horizontal="center"/>
    </xf>
    <xf numFmtId="168" fontId="21" fillId="0" borderId="0" xfId="3" applyNumberFormat="1" applyFont="1" applyBorder="1"/>
    <xf numFmtId="168" fontId="21" fillId="0" borderId="17" xfId="3" applyNumberFormat="1" applyFont="1" applyBorder="1"/>
    <xf numFmtId="168" fontId="21" fillId="0" borderId="4" xfId="3" applyNumberFormat="1" applyFont="1" applyBorder="1"/>
    <xf numFmtId="168" fontId="21" fillId="0" borderId="20" xfId="3" applyNumberFormat="1" applyFont="1" applyBorder="1"/>
    <xf numFmtId="166" fontId="21" fillId="0" borderId="27" xfId="3" applyNumberFormat="1" applyFont="1" applyBorder="1" applyAlignment="1">
      <alignment horizontal="right"/>
    </xf>
    <xf numFmtId="166" fontId="21" fillId="0" borderId="4" xfId="3" applyNumberFormat="1" applyFont="1" applyBorder="1" applyAlignment="1">
      <alignment horizontal="right"/>
    </xf>
    <xf numFmtId="166" fontId="21" fillId="0" borderId="20" xfId="3" applyNumberFormat="1" applyFont="1" applyBorder="1" applyAlignment="1">
      <alignment horizontal="right"/>
    </xf>
    <xf numFmtId="0" fontId="21" fillId="0" borderId="3" xfId="0" applyFont="1" applyBorder="1"/>
    <xf numFmtId="358" fontId="109" fillId="0" borderId="25" xfId="4" applyNumberFormat="1" applyFont="1" applyBorder="1" applyAlignment="1">
      <alignment horizontal="center"/>
    </xf>
    <xf numFmtId="358" fontId="109" fillId="0" borderId="26" xfId="4" applyNumberFormat="1" applyFont="1" applyBorder="1" applyAlignment="1">
      <alignment horizontal="center"/>
    </xf>
    <xf numFmtId="166" fontId="111" fillId="0" borderId="27" xfId="3" applyNumberFormat="1" applyFont="1" applyFill="1" applyBorder="1" applyAlignment="1">
      <alignment horizontal="right"/>
    </xf>
    <xf numFmtId="166" fontId="105" fillId="13" borderId="4" xfId="3" applyNumberFormat="1" applyFont="1" applyFill="1" applyBorder="1" applyAlignment="1">
      <alignment horizontal="right"/>
    </xf>
    <xf numFmtId="166" fontId="105" fillId="13" borderId="20" xfId="3" applyNumberFormat="1" applyFont="1" applyFill="1" applyBorder="1" applyAlignment="1">
      <alignment horizontal="right"/>
    </xf>
    <xf numFmtId="0" fontId="105" fillId="0" borderId="28" xfId="0" applyFont="1" applyBorder="1" applyAlignment="1">
      <alignment horizontal="right"/>
    </xf>
    <xf numFmtId="360" fontId="105" fillId="0" borderId="26" xfId="0" applyNumberFormat="1" applyFont="1" applyBorder="1"/>
    <xf numFmtId="0" fontId="105" fillId="0" borderId="11" xfId="0" applyFont="1" applyBorder="1" applyAlignment="1">
      <alignment horizontal="right"/>
    </xf>
    <xf numFmtId="9" fontId="105" fillId="0" borderId="17" xfId="0" applyNumberFormat="1" applyFont="1" applyBorder="1" applyAlignment="1">
      <alignment horizontal="center"/>
    </xf>
    <xf numFmtId="0" fontId="105" fillId="0" borderId="19" xfId="0" applyFont="1" applyBorder="1" applyAlignment="1">
      <alignment horizontal="right"/>
    </xf>
    <xf numFmtId="9" fontId="105" fillId="0" borderId="20" xfId="0" applyNumberFormat="1" applyFont="1" applyBorder="1" applyAlignment="1">
      <alignment horizontal="center"/>
    </xf>
    <xf numFmtId="9" fontId="105" fillId="0" borderId="17" xfId="0" applyNumberFormat="1" applyFont="1" applyBorder="1"/>
    <xf numFmtId="9" fontId="105" fillId="0" borderId="0" xfId="0" applyNumberFormat="1" applyFont="1"/>
    <xf numFmtId="9" fontId="105" fillId="0" borderId="16" xfId="22" applyFont="1" applyBorder="1"/>
    <xf numFmtId="9" fontId="105" fillId="0" borderId="17" xfId="22" applyFont="1" applyBorder="1"/>
    <xf numFmtId="9" fontId="105" fillId="0" borderId="20" xfId="22" applyFont="1" applyBorder="1"/>
    <xf numFmtId="9" fontId="105" fillId="0" borderId="0" xfId="22" applyFont="1"/>
    <xf numFmtId="0" fontId="105" fillId="0" borderId="18" xfId="0" applyFont="1" applyBorder="1"/>
    <xf numFmtId="0" fontId="105" fillId="0" borderId="16" xfId="0" applyFont="1" applyBorder="1"/>
    <xf numFmtId="0" fontId="105" fillId="0" borderId="19" xfId="0" applyFont="1" applyBorder="1"/>
    <xf numFmtId="166" fontId="105" fillId="0" borderId="20" xfId="0" applyNumberFormat="1" applyFont="1" applyBorder="1"/>
    <xf numFmtId="358" fontId="109" fillId="0" borderId="19" xfId="4" applyNumberFormat="1" applyFont="1" applyBorder="1" applyAlignment="1">
      <alignment horizontal="center"/>
    </xf>
    <xf numFmtId="168" fontId="21" fillId="0" borderId="11" xfId="3" applyNumberFormat="1" applyFont="1" applyBorder="1"/>
    <xf numFmtId="168" fontId="21" fillId="0" borderId="19" xfId="3" applyNumberFormat="1" applyFont="1" applyBorder="1"/>
    <xf numFmtId="0" fontId="19" fillId="0" borderId="7" xfId="0" applyFont="1" applyBorder="1" applyAlignment="1">
      <alignment horizontal="center"/>
    </xf>
    <xf numFmtId="0" fontId="110" fillId="0" borderId="0" xfId="0" applyFont="1" applyAlignment="1">
      <alignment horizontal="center"/>
    </xf>
    <xf numFmtId="0" fontId="112" fillId="0" borderId="11" xfId="0" applyFont="1" applyBorder="1" applyAlignment="1">
      <alignment horizontal="center" vertical="center" wrapText="1"/>
    </xf>
    <xf numFmtId="0" fontId="112" fillId="0" borderId="19" xfId="0" applyFont="1" applyBorder="1" applyAlignment="1">
      <alignment horizontal="center" vertical="center" wrapText="1"/>
    </xf>
    <xf numFmtId="0" fontId="105" fillId="0" borderId="12" xfId="0" applyFont="1" applyBorder="1" applyAlignment="1">
      <alignment horizontal="center"/>
    </xf>
    <xf numFmtId="0" fontId="105" fillId="0" borderId="16" xfId="0" applyFont="1" applyBorder="1" applyAlignment="1">
      <alignment horizontal="center"/>
    </xf>
    <xf numFmtId="166" fontId="106" fillId="0" borderId="0" xfId="0" applyNumberFormat="1" applyFont="1" applyBorder="1" applyAlignment="1">
      <alignment horizontal="center"/>
    </xf>
    <xf numFmtId="0" fontId="105" fillId="0" borderId="18" xfId="0" applyFont="1" applyBorder="1" applyAlignment="1">
      <alignment horizontal="center"/>
    </xf>
    <xf numFmtId="0" fontId="105" fillId="0" borderId="18" xfId="0" applyFont="1" applyBorder="1" applyAlignment="1">
      <alignment horizontal="center" vertical="center" wrapText="1"/>
    </xf>
    <xf numFmtId="0" fontId="105" fillId="0" borderId="11" xfId="0" applyFont="1" applyBorder="1" applyAlignment="1">
      <alignment horizontal="center" vertical="center" wrapText="1"/>
    </xf>
    <xf numFmtId="0" fontId="105" fillId="0" borderId="19" xfId="0" applyFont="1" applyBorder="1" applyAlignment="1">
      <alignment horizontal="center" vertical="center" wrapText="1"/>
    </xf>
    <xf numFmtId="0" fontId="105" fillId="0" borderId="19" xfId="0" applyFont="1" applyBorder="1" applyAlignment="1">
      <alignment horizontal="center"/>
    </xf>
    <xf numFmtId="0" fontId="105" fillId="0" borderId="20" xfId="0" applyFont="1" applyBorder="1" applyAlignment="1">
      <alignment horizontal="center"/>
    </xf>
    <xf numFmtId="0" fontId="105" fillId="0" borderId="28" xfId="0" applyFont="1" applyBorder="1" applyAlignment="1">
      <alignment horizontal="center"/>
    </xf>
    <xf numFmtId="0" fontId="105" fillId="0" borderId="26" xfId="0" applyFont="1" applyBorder="1" applyAlignment="1">
      <alignment horizontal="center"/>
    </xf>
    <xf numFmtId="0" fontId="105" fillId="0" borderId="11" xfId="0" applyFont="1" applyBorder="1" applyAlignment="1">
      <alignment horizontal="center"/>
    </xf>
    <xf numFmtId="0" fontId="105" fillId="0" borderId="1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166" fontId="17" fillId="0" borderId="28" xfId="3" applyNumberFormat="1" applyFont="1" applyBorder="1" applyAlignment="1">
      <alignment horizontal="center"/>
    </xf>
    <xf numFmtId="166" fontId="17" fillId="0" borderId="25" xfId="3" applyNumberFormat="1" applyFont="1" applyBorder="1" applyAlignment="1">
      <alignment horizontal="center"/>
    </xf>
    <xf numFmtId="166" fontId="17" fillId="0" borderId="26" xfId="3" applyNumberFormat="1" applyFont="1" applyBorder="1" applyAlignment="1">
      <alignment horizontal="center"/>
    </xf>
    <xf numFmtId="0" fontId="13" fillId="0" borderId="0" xfId="0" applyFont="1" applyFill="1" applyBorder="1" applyAlignment="1">
      <alignment horizontal="center"/>
    </xf>
  </cellXfs>
  <cellStyles count="34">
    <cellStyle name="??_?.????" xfId="1"/>
    <cellStyle name="Actual Date" xfId="2"/>
    <cellStyle name="Comma" xfId="3" builtinId="3"/>
    <cellStyle name="Currency" xfId="4" builtinId="4"/>
    <cellStyle name="Date" xfId="5"/>
    <cellStyle name="Dezimal [0]_Compiling Utility Macros" xfId="6"/>
    <cellStyle name="Dezimal_Compiling Utility Macros" xfId="7"/>
    <cellStyle name="Fixed" xfId="8"/>
    <cellStyle name="Grey" xfId="9"/>
    <cellStyle name="HEADER" xfId="10"/>
    <cellStyle name="Heading1" xfId="11"/>
    <cellStyle name="Heading2" xfId="12"/>
    <cellStyle name="HIGHLIGHT" xfId="13"/>
    <cellStyle name="Input [yellow]" xfId="14"/>
    <cellStyle name="no dec" xfId="15"/>
    <cellStyle name="Normal" xfId="0" builtinId="0"/>
    <cellStyle name="Normal - Style1" xfId="16"/>
    <cellStyle name="Normal_cf0402_ndf" xfId="17"/>
    <cellStyle name="Normal_Curve_Economics" xfId="18"/>
    <cellStyle name="Normal_IPP Summary" xfId="19"/>
    <cellStyle name="Normal_Summary" xfId="20"/>
    <cellStyle name="Normal_Yuma CE Strategic" xfId="21"/>
    <cellStyle name="Percent" xfId="22" builtinId="5"/>
    <cellStyle name="Percent [2]" xfId="23"/>
    <cellStyle name="Standard_Anpassen der Amortisation" xfId="24"/>
    <cellStyle name="Total" xfId="25" builtinId="25" customBuiltin="1"/>
    <cellStyle name="uk" xfId="26"/>
    <cellStyle name="Un" xfId="27"/>
    <cellStyle name="Unprot" xfId="28"/>
    <cellStyle name="Unprot$" xfId="29"/>
    <cellStyle name="Unprot_CurrencySKorea" xfId="30"/>
    <cellStyle name="Unprotect" xfId="31"/>
    <cellStyle name="Währung [0]_Compiling Utility Macros" xfId="32"/>
    <cellStyle name="Währung_Compiling Utility Macros" xfId="3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6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Relationship Id="rId27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409575</xdr:colOff>
          <xdr:row>31</xdr:row>
          <xdr:rowOff>28575</xdr:rowOff>
        </xdr:from>
        <xdr:to>
          <xdr:col>3</xdr:col>
          <xdr:colOff>619125</xdr:colOff>
          <xdr:row>32</xdr:row>
          <xdr:rowOff>161925</xdr:rowOff>
        </xdr:to>
        <xdr:sp macro="" textlink="">
          <xdr:nvSpPr>
            <xdr:cNvPr id="7590" name="Button 422" hidden="1">
              <a:extLst>
                <a:ext uri="{63B3BB69-23CF-44E3-9099-C40C66FF867C}">
                  <a14:compatExt spid="_x0000_s7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Goal Seek Equity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From_KO/LM6000s/Control/BasePowerModel-2-7-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Brownsville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ast%20Origination/CTG%20Models/brownsville_012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EMEX_Mode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From_KO/LM6000s/Control/OldCostConfiguration-1-20-9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Genco/Valuation/03-29-00/00%20O&amp;M%20analysis%20-%20000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GenSvcs/Genco/Financing/Control/Wilton_New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Genco/Valuation/05-08-00/Peaker%20Valuation%200508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Tracking Sheet"/>
      <sheetName val="Assumptions"/>
      <sheetName val="Price_Technical Assumption"/>
      <sheetName val="IS"/>
      <sheetName val="BS"/>
      <sheetName val="Returns Analysis"/>
      <sheetName val="Debt"/>
      <sheetName val="Depreciation"/>
      <sheetName val="Taxes"/>
      <sheetName val="IDC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ci"/>
      <sheetName val="Project Assumptions"/>
      <sheetName val="PPA Assumptions &amp;Summary"/>
      <sheetName val="Operations"/>
      <sheetName val="Book Income Statement"/>
      <sheetName val="Cash Flow Statement"/>
      <sheetName val="BS"/>
      <sheetName val="Depreciation"/>
      <sheetName val="Interest During Construction"/>
      <sheetName val="Maintenance Reserv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22">
          <cell r="D22">
            <v>20</v>
          </cell>
          <cell r="E22">
            <v>3737</v>
          </cell>
          <cell r="F22">
            <v>0</v>
          </cell>
          <cell r="G22">
            <v>3737</v>
          </cell>
          <cell r="H22">
            <v>0</v>
          </cell>
          <cell r="I22">
            <v>1</v>
          </cell>
        </row>
        <row r="23">
          <cell r="D23">
            <v>30</v>
          </cell>
          <cell r="E23">
            <v>3737</v>
          </cell>
          <cell r="F23">
            <v>0</v>
          </cell>
          <cell r="G23">
            <v>3737</v>
          </cell>
          <cell r="H23">
            <v>0</v>
          </cell>
          <cell r="I23">
            <v>1</v>
          </cell>
        </row>
        <row r="24">
          <cell r="D24">
            <v>40</v>
          </cell>
          <cell r="E24">
            <v>7094</v>
          </cell>
          <cell r="F24">
            <v>0</v>
          </cell>
          <cell r="G24">
            <v>7094</v>
          </cell>
          <cell r="H24">
            <v>0</v>
          </cell>
          <cell r="I24">
            <v>1</v>
          </cell>
        </row>
        <row r="25">
          <cell r="D25">
            <v>50</v>
          </cell>
          <cell r="E25">
            <v>7094</v>
          </cell>
          <cell r="F25">
            <v>0</v>
          </cell>
          <cell r="G25">
            <v>7094</v>
          </cell>
          <cell r="H25">
            <v>0</v>
          </cell>
          <cell r="I25">
            <v>1</v>
          </cell>
        </row>
        <row r="26">
          <cell r="D26">
            <v>60</v>
          </cell>
          <cell r="E26">
            <v>7094</v>
          </cell>
          <cell r="F26">
            <v>0</v>
          </cell>
          <cell r="G26">
            <v>7094</v>
          </cell>
          <cell r="H26">
            <v>0</v>
          </cell>
          <cell r="I26">
            <v>1</v>
          </cell>
        </row>
        <row r="27">
          <cell r="D27">
            <v>70</v>
          </cell>
          <cell r="E27">
            <v>7094</v>
          </cell>
          <cell r="F27">
            <v>0</v>
          </cell>
          <cell r="G27">
            <v>7094</v>
          </cell>
          <cell r="H27">
            <v>0</v>
          </cell>
          <cell r="I27">
            <v>1</v>
          </cell>
        </row>
        <row r="28">
          <cell r="D28">
            <v>80</v>
          </cell>
          <cell r="E28">
            <v>15619</v>
          </cell>
          <cell r="F28">
            <v>0</v>
          </cell>
          <cell r="G28">
            <v>15619</v>
          </cell>
          <cell r="H28">
            <v>0</v>
          </cell>
          <cell r="I28">
            <v>1</v>
          </cell>
        </row>
        <row r="29">
          <cell r="D29">
            <v>90</v>
          </cell>
          <cell r="E29">
            <v>15619</v>
          </cell>
          <cell r="F29">
            <v>0</v>
          </cell>
          <cell r="G29">
            <v>15619</v>
          </cell>
          <cell r="H29">
            <v>0</v>
          </cell>
          <cell r="I29">
            <v>1</v>
          </cell>
        </row>
        <row r="30">
          <cell r="D30">
            <v>100</v>
          </cell>
          <cell r="E30">
            <v>15619</v>
          </cell>
          <cell r="F30">
            <v>0</v>
          </cell>
          <cell r="G30">
            <v>15619</v>
          </cell>
          <cell r="H30">
            <v>0</v>
          </cell>
          <cell r="I30">
            <v>1</v>
          </cell>
        </row>
        <row r="31">
          <cell r="D31">
            <v>110</v>
          </cell>
          <cell r="E31">
            <v>15619</v>
          </cell>
          <cell r="F31">
            <v>0</v>
          </cell>
          <cell r="G31">
            <v>15619</v>
          </cell>
          <cell r="H31">
            <v>0</v>
          </cell>
          <cell r="I31">
            <v>1</v>
          </cell>
        </row>
        <row r="32">
          <cell r="D32">
            <v>120</v>
          </cell>
          <cell r="E32">
            <v>16443</v>
          </cell>
          <cell r="F32">
            <v>0</v>
          </cell>
          <cell r="G32">
            <v>16443</v>
          </cell>
          <cell r="H32">
            <v>0</v>
          </cell>
          <cell r="I32">
            <v>1</v>
          </cell>
        </row>
        <row r="33">
          <cell r="D33">
            <v>130</v>
          </cell>
          <cell r="E33">
            <v>16443</v>
          </cell>
          <cell r="F33">
            <v>0</v>
          </cell>
          <cell r="G33">
            <v>16443</v>
          </cell>
          <cell r="H33">
            <v>0</v>
          </cell>
          <cell r="I33">
            <v>1</v>
          </cell>
        </row>
        <row r="34">
          <cell r="D34">
            <v>140</v>
          </cell>
          <cell r="E34">
            <v>16443</v>
          </cell>
          <cell r="F34">
            <v>0</v>
          </cell>
          <cell r="G34">
            <v>16443</v>
          </cell>
          <cell r="H34">
            <v>0</v>
          </cell>
          <cell r="I34">
            <v>1</v>
          </cell>
        </row>
        <row r="35">
          <cell r="D35">
            <v>150</v>
          </cell>
          <cell r="E35">
            <v>16443</v>
          </cell>
          <cell r="F35">
            <v>0</v>
          </cell>
          <cell r="G35">
            <v>16443</v>
          </cell>
          <cell r="H35">
            <v>0</v>
          </cell>
          <cell r="I35">
            <v>1</v>
          </cell>
        </row>
        <row r="36">
          <cell r="D36">
            <v>160</v>
          </cell>
          <cell r="E36">
            <v>22268</v>
          </cell>
          <cell r="F36">
            <v>0</v>
          </cell>
          <cell r="G36">
            <v>22268</v>
          </cell>
          <cell r="H36">
            <v>0</v>
          </cell>
          <cell r="I36">
            <v>1</v>
          </cell>
        </row>
        <row r="37">
          <cell r="D37">
            <v>170</v>
          </cell>
          <cell r="E37">
            <v>22268</v>
          </cell>
          <cell r="F37">
            <v>0</v>
          </cell>
          <cell r="G37">
            <v>22268</v>
          </cell>
          <cell r="H37">
            <v>0</v>
          </cell>
          <cell r="I37">
            <v>1</v>
          </cell>
        </row>
        <row r="38">
          <cell r="D38">
            <v>180</v>
          </cell>
          <cell r="E38">
            <v>22268</v>
          </cell>
          <cell r="F38">
            <v>0</v>
          </cell>
          <cell r="G38">
            <v>22268</v>
          </cell>
          <cell r="H38">
            <v>0</v>
          </cell>
          <cell r="I38">
            <v>1</v>
          </cell>
        </row>
        <row r="39">
          <cell r="D39">
            <v>190</v>
          </cell>
          <cell r="E39">
            <v>22268</v>
          </cell>
          <cell r="F39">
            <v>0</v>
          </cell>
          <cell r="G39">
            <v>22268</v>
          </cell>
          <cell r="H39">
            <v>0</v>
          </cell>
          <cell r="I39">
            <v>1</v>
          </cell>
        </row>
        <row r="40">
          <cell r="D40">
            <v>200</v>
          </cell>
          <cell r="E40">
            <v>22268</v>
          </cell>
          <cell r="F40">
            <v>0</v>
          </cell>
          <cell r="G40">
            <v>22268</v>
          </cell>
          <cell r="H40">
            <v>0</v>
          </cell>
          <cell r="I40">
            <v>1</v>
          </cell>
        </row>
        <row r="41">
          <cell r="D41">
            <v>210</v>
          </cell>
          <cell r="E41">
            <v>22268</v>
          </cell>
          <cell r="F41">
            <v>0</v>
          </cell>
          <cell r="G41">
            <v>22268</v>
          </cell>
          <cell r="H41">
            <v>0</v>
          </cell>
          <cell r="I41">
            <v>1</v>
          </cell>
        </row>
        <row r="42">
          <cell r="D42">
            <v>220</v>
          </cell>
          <cell r="E42">
            <v>22268</v>
          </cell>
          <cell r="F42">
            <v>0</v>
          </cell>
          <cell r="G42">
            <v>22268</v>
          </cell>
          <cell r="H42">
            <v>0</v>
          </cell>
          <cell r="I42">
            <v>1</v>
          </cell>
        </row>
        <row r="43">
          <cell r="D43">
            <v>230</v>
          </cell>
          <cell r="E43">
            <v>22268</v>
          </cell>
          <cell r="F43">
            <v>0</v>
          </cell>
          <cell r="G43">
            <v>22268</v>
          </cell>
          <cell r="H43">
            <v>0</v>
          </cell>
          <cell r="I43">
            <v>1</v>
          </cell>
        </row>
        <row r="44">
          <cell r="D44">
            <v>240</v>
          </cell>
          <cell r="E44">
            <v>23316</v>
          </cell>
          <cell r="F44">
            <v>0</v>
          </cell>
          <cell r="G44">
            <v>23316</v>
          </cell>
          <cell r="H44">
            <v>0</v>
          </cell>
          <cell r="I44">
            <v>1</v>
          </cell>
        </row>
        <row r="45">
          <cell r="D45">
            <v>250</v>
          </cell>
          <cell r="E45">
            <v>23316</v>
          </cell>
          <cell r="F45">
            <v>0</v>
          </cell>
          <cell r="G45">
            <v>23316</v>
          </cell>
          <cell r="H45">
            <v>0</v>
          </cell>
          <cell r="I45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ci"/>
      <sheetName val="Tracking sheet"/>
      <sheetName val="Value"/>
      <sheetName val="Project Assumptions"/>
      <sheetName val="PPA Assumptions &amp;Summary"/>
      <sheetName val="Operations"/>
      <sheetName val="Debt Amortization"/>
      <sheetName val="Returns Summary"/>
      <sheetName val="Book Income Statement"/>
      <sheetName val="Cash Flow Statement"/>
      <sheetName val="BS"/>
      <sheetName val="Tax Calculations"/>
      <sheetName val="Depreciation"/>
      <sheetName val="Interest During Construction"/>
      <sheetName val="Maintenance Reserv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IS &amp; CF"/>
      <sheetName val="Ops"/>
      <sheetName val="Ins &amp; PT"/>
      <sheetName val="Financing"/>
      <sheetName val="Dep"/>
      <sheetName val="O&amp;M"/>
      <sheetName val="Volumes"/>
      <sheetName val="%"/>
    </sheetNames>
    <sheetDataSet>
      <sheetData sheetId="0" refreshError="1">
        <row r="7">
          <cell r="N7">
            <v>36526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ROJECTCONFIGURATION"/>
      <sheetName val="SOURCEDATA"/>
      <sheetName val="OPERATIONAL CHARACTERISTICS"/>
      <sheetName val="EPC DETAIL X 2 LM 6000"/>
      <sheetName val="FINANCE"/>
      <sheetName val="TURBINE AVAILABILITY"/>
      <sheetName val="CLARIFICATIONS"/>
    </sheetNames>
    <sheetDataSet>
      <sheetData sheetId="0"/>
      <sheetData sheetId="1">
        <row r="65">
          <cell r="M65" t="b">
            <v>1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nce"/>
      <sheetName val="Consol Summary"/>
      <sheetName val="WC Summ"/>
      <sheetName val="WC MO"/>
      <sheetName val="WC YTD"/>
      <sheetName val="WH Summ"/>
      <sheetName val="WH MO"/>
      <sheetName val="WH YTD"/>
      <sheetName val="Gl Summ"/>
      <sheetName val="Gl MO"/>
      <sheetName val="Gl YTD"/>
    </sheetNames>
    <sheetDataSet>
      <sheetData sheetId="0" refreshError="1"/>
      <sheetData sheetId="1">
        <row r="22">
          <cell r="D22">
            <v>0</v>
          </cell>
          <cell r="F22">
            <v>0</v>
          </cell>
          <cell r="G22">
            <v>0</v>
          </cell>
          <cell r="H22">
            <v>0</v>
          </cell>
        </row>
        <row r="23">
          <cell r="D23">
            <v>0</v>
          </cell>
          <cell r="F23">
            <v>0</v>
          </cell>
          <cell r="G23">
            <v>0</v>
          </cell>
          <cell r="H23">
            <v>0</v>
          </cell>
        </row>
        <row r="24">
          <cell r="D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D25">
            <v>0</v>
          </cell>
          <cell r="F25">
            <v>0</v>
          </cell>
          <cell r="G25">
            <v>0</v>
          </cell>
          <cell r="H25">
            <v>0</v>
          </cell>
        </row>
        <row r="26">
          <cell r="D26">
            <v>0</v>
          </cell>
          <cell r="F26">
            <v>0</v>
          </cell>
          <cell r="G26">
            <v>0</v>
          </cell>
          <cell r="H26">
            <v>0</v>
          </cell>
        </row>
        <row r="27">
          <cell r="D27">
            <v>0</v>
          </cell>
          <cell r="F27">
            <v>0</v>
          </cell>
          <cell r="G27">
            <v>0</v>
          </cell>
          <cell r="H27">
            <v>0</v>
          </cell>
        </row>
        <row r="28">
          <cell r="D28">
            <v>0</v>
          </cell>
          <cell r="F28">
            <v>0</v>
          </cell>
          <cell r="G28">
            <v>0</v>
          </cell>
          <cell r="H28">
            <v>0</v>
          </cell>
        </row>
        <row r="29">
          <cell r="D29">
            <v>0</v>
          </cell>
          <cell r="F29">
            <v>0</v>
          </cell>
          <cell r="G29">
            <v>0</v>
          </cell>
          <cell r="H29">
            <v>0</v>
          </cell>
        </row>
        <row r="31">
          <cell r="D31">
            <v>0</v>
          </cell>
          <cell r="F31">
            <v>0</v>
          </cell>
          <cell r="G31">
            <v>0</v>
          </cell>
          <cell r="H31">
            <v>0</v>
          </cell>
        </row>
        <row r="33">
          <cell r="D33">
            <v>0</v>
          </cell>
          <cell r="F33">
            <v>0</v>
          </cell>
          <cell r="G33">
            <v>0</v>
          </cell>
          <cell r="H33">
            <v>0</v>
          </cell>
        </row>
        <row r="35">
          <cell r="D35">
            <v>0</v>
          </cell>
          <cell r="F35">
            <v>0</v>
          </cell>
          <cell r="G35">
            <v>0</v>
          </cell>
          <cell r="H35">
            <v>0</v>
          </cell>
        </row>
        <row r="38">
          <cell r="D38">
            <v>0</v>
          </cell>
          <cell r="F38">
            <v>0</v>
          </cell>
          <cell r="G38">
            <v>0</v>
          </cell>
          <cell r="H38">
            <v>0</v>
          </cell>
        </row>
        <row r="39">
          <cell r="D39">
            <v>0</v>
          </cell>
          <cell r="F39">
            <v>0</v>
          </cell>
          <cell r="G39">
            <v>0</v>
          </cell>
          <cell r="H39">
            <v>0</v>
          </cell>
        </row>
        <row r="40">
          <cell r="D40">
            <v>0</v>
          </cell>
          <cell r="F40">
            <v>0</v>
          </cell>
          <cell r="G40">
            <v>0</v>
          </cell>
          <cell r="H40">
            <v>0</v>
          </cell>
        </row>
        <row r="41">
          <cell r="D41">
            <v>0</v>
          </cell>
          <cell r="F41">
            <v>0</v>
          </cell>
          <cell r="G41">
            <v>0</v>
          </cell>
          <cell r="H41">
            <v>0</v>
          </cell>
        </row>
        <row r="42">
          <cell r="D42">
            <v>0</v>
          </cell>
          <cell r="F42">
            <v>0</v>
          </cell>
          <cell r="G42">
            <v>0</v>
          </cell>
          <cell r="H42">
            <v>0</v>
          </cell>
        </row>
        <row r="43">
          <cell r="D43">
            <v>0</v>
          </cell>
          <cell r="F43">
            <v>0</v>
          </cell>
          <cell r="G43">
            <v>0</v>
          </cell>
          <cell r="H43">
            <v>0</v>
          </cell>
        </row>
        <row r="44">
          <cell r="D44">
            <v>0</v>
          </cell>
          <cell r="F44">
            <v>0</v>
          </cell>
          <cell r="G44">
            <v>0</v>
          </cell>
          <cell r="H44">
            <v>0</v>
          </cell>
        </row>
        <row r="45">
          <cell r="D45">
            <v>0</v>
          </cell>
          <cell r="F45">
            <v>0</v>
          </cell>
          <cell r="G45">
            <v>0</v>
          </cell>
          <cell r="H45">
            <v>0</v>
          </cell>
        </row>
      </sheetData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ci"/>
      <sheetName val="Tracking sheet"/>
      <sheetName val="Value"/>
      <sheetName val="Project Assumptions"/>
      <sheetName val="PPA Assumptions &amp;Summary"/>
      <sheetName val="Operations"/>
      <sheetName val="Debt Amortization"/>
      <sheetName val="Returns Summary"/>
      <sheetName val="Book Income Statement"/>
      <sheetName val="Cash Flow Statement"/>
      <sheetName val="BS"/>
      <sheetName val="Tax Calculations"/>
      <sheetName val="Depreciation"/>
      <sheetName val="Interest During Construction"/>
      <sheetName val="Maintenance Reserves"/>
    </sheetNames>
    <sheetDataSet>
      <sheetData sheetId="0" refreshError="1"/>
      <sheetData sheetId="1" refreshError="1"/>
      <sheetData sheetId="2" refreshError="1"/>
      <sheetData sheetId="3">
        <row r="15">
          <cell r="I15">
            <v>20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apacity Prices"/>
      <sheetName val="Assumptions"/>
      <sheetName val="Spark-Spread"/>
      <sheetName val="99 Acct Sumry"/>
      <sheetName val="00 Acct Sumry"/>
      <sheetName val="Consolidated"/>
      <sheetName val="Brownsville"/>
      <sheetName val="Caledonia"/>
      <sheetName val="New Albany"/>
      <sheetName val="Gleason"/>
      <sheetName val="Wheatland"/>
      <sheetName val="Wilton"/>
      <sheetName val="Depreciation"/>
      <sheetName val="Notes"/>
      <sheetName val="Process"/>
      <sheetName val="Changes"/>
      <sheetName val="Start Charge Matrix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H94"/>
  <sheetViews>
    <sheetView topLeftCell="A2" zoomScale="75" zoomScaleNormal="75" workbookViewId="0">
      <selection activeCell="C10" sqref="C10"/>
    </sheetView>
  </sheetViews>
  <sheetFormatPr defaultRowHeight="12.75"/>
  <cols>
    <col min="1" max="1" width="66" style="16" bestFit="1" customWidth="1"/>
    <col min="2" max="2" width="19.28515625" style="16" customWidth="1"/>
    <col min="3" max="3" width="20.7109375" style="16" customWidth="1"/>
    <col min="4" max="4" width="21.140625" style="16" customWidth="1"/>
    <col min="5" max="5" width="24.7109375" style="16" bestFit="1" customWidth="1"/>
    <col min="6" max="6" width="21.28515625" style="16" bestFit="1" customWidth="1"/>
    <col min="7" max="7" width="17.7109375" style="16" customWidth="1"/>
    <col min="8" max="8" width="9.85546875" style="16" customWidth="1"/>
    <col min="9" max="9" width="14.140625" style="16" customWidth="1"/>
    <col min="10" max="10" width="23" style="16" bestFit="1" customWidth="1"/>
    <col min="11" max="11" width="14.42578125" style="16" customWidth="1"/>
    <col min="12" max="12" width="13.85546875" style="16" customWidth="1"/>
    <col min="13" max="13" width="5.140625" style="16" customWidth="1"/>
    <col min="14" max="16" width="14.42578125" style="16" customWidth="1"/>
    <col min="17" max="17" width="5.7109375" style="16" customWidth="1"/>
    <col min="18" max="18" width="12.28515625" style="16" customWidth="1"/>
    <col min="19" max="19" width="9" style="16" customWidth="1"/>
    <col min="20" max="20" width="12" style="16" customWidth="1"/>
    <col min="21" max="21" width="12.85546875" style="16" customWidth="1"/>
    <col min="22" max="22" width="12" style="16" customWidth="1"/>
    <col min="23" max="23" width="23" style="16" bestFit="1" customWidth="1"/>
    <col min="24" max="29" width="12" style="16" customWidth="1"/>
    <col min="30" max="30" width="9.140625" style="16"/>
    <col min="31" max="33" width="10" style="16" customWidth="1"/>
    <col min="34" max="34" width="12" style="16" customWidth="1"/>
    <col min="35" max="35" width="17.5703125" style="16" customWidth="1"/>
    <col min="36" max="36" width="22.42578125" style="16" customWidth="1"/>
    <col min="37" max="37" width="19" style="16" customWidth="1"/>
    <col min="38" max="38" width="10.28515625" style="16" customWidth="1"/>
    <col min="39" max="58" width="13.140625" style="16" customWidth="1"/>
    <col min="59" max="59" width="9.140625" style="16"/>
    <col min="60" max="69" width="10" style="16" customWidth="1"/>
    <col min="70" max="70" width="9.140625" style="16"/>
    <col min="71" max="76" width="10" style="16" customWidth="1"/>
    <col min="77" max="77" width="9.140625" style="16"/>
    <col min="78" max="83" width="10" style="16" customWidth="1"/>
    <col min="84" max="16384" width="9.140625" style="16"/>
  </cols>
  <sheetData>
    <row r="1" spans="1:34" ht="25.5" hidden="1">
      <c r="A1" s="286" t="s">
        <v>101</v>
      </c>
      <c r="T1" s="141"/>
      <c r="AH1" s="141"/>
    </row>
    <row r="2" spans="1:34" ht="12.75" customHeight="1">
      <c r="A2" s="286"/>
      <c r="T2" s="141"/>
      <c r="AH2" s="141"/>
    </row>
    <row r="3" spans="1:34" ht="18.75">
      <c r="A3" s="416" t="s">
        <v>165</v>
      </c>
      <c r="B3" s="6"/>
      <c r="C3" s="6"/>
      <c r="D3" s="6"/>
    </row>
    <row r="5" spans="1:34" ht="13.5" thickBot="1">
      <c r="S5" s="122"/>
    </row>
    <row r="6" spans="1:34" ht="15.75">
      <c r="A6" s="165" t="s">
        <v>1</v>
      </c>
      <c r="B6" s="166"/>
      <c r="C6" s="166"/>
      <c r="D6" s="166"/>
      <c r="E6" s="27"/>
      <c r="F6" s="27"/>
      <c r="G6" s="28"/>
      <c r="T6" s="264"/>
    </row>
    <row r="7" spans="1:34" ht="15.75">
      <c r="A7" s="167" t="s">
        <v>5</v>
      </c>
      <c r="B7" s="168" t="s">
        <v>6</v>
      </c>
      <c r="C7" s="199" t="s">
        <v>7</v>
      </c>
      <c r="D7" s="169"/>
      <c r="E7" s="170" t="s">
        <v>239</v>
      </c>
      <c r="F7" s="168" t="s">
        <v>6</v>
      </c>
      <c r="G7" s="200" t="s">
        <v>7</v>
      </c>
      <c r="X7" s="36"/>
      <c r="Y7" s="36"/>
      <c r="Z7" s="36"/>
    </row>
    <row r="8" spans="1:34" ht="15.75">
      <c r="A8" s="171" t="s">
        <v>8</v>
      </c>
      <c r="B8" s="340">
        <f>C8/$C$14</f>
        <v>0.46703303999284024</v>
      </c>
      <c r="C8" s="250">
        <f>B33</f>
        <v>578000</v>
      </c>
      <c r="D8" s="266"/>
      <c r="E8" s="172" t="s">
        <v>240</v>
      </c>
      <c r="F8" s="387">
        <f>G8/G14</f>
        <v>0.36636882503334661</v>
      </c>
      <c r="G8" s="252">
        <f>(C14-G12)*Allocation!C10</f>
        <v>453417.98702832818</v>
      </c>
      <c r="H8" s="56"/>
      <c r="X8" s="36"/>
      <c r="Y8" s="36"/>
      <c r="Z8" s="36"/>
    </row>
    <row r="9" spans="1:34" ht="15.75">
      <c r="A9" s="167" t="s">
        <v>14</v>
      </c>
      <c r="B9" s="506">
        <f>C9/$C$14</f>
        <v>0.59389149549262554</v>
      </c>
      <c r="C9" s="251">
        <f>E20</f>
        <v>735000</v>
      </c>
      <c r="D9" s="507"/>
      <c r="E9" s="170" t="s">
        <v>241</v>
      </c>
      <c r="F9" s="508">
        <f>G9/G14</f>
        <v>0.5025962428430204</v>
      </c>
      <c r="G9" s="509">
        <f>(C14-G12)*Allocation!C15</f>
        <v>622013.01297167165</v>
      </c>
      <c r="H9" s="6"/>
      <c r="T9" s="265"/>
      <c r="X9" s="36"/>
      <c r="Y9" s="36"/>
      <c r="Z9" s="36"/>
    </row>
    <row r="10" spans="1:34" ht="15.75">
      <c r="A10" s="171" t="s">
        <v>167</v>
      </c>
      <c r="B10" s="340">
        <f>SUM(B8:B9)</f>
        <v>1.0609245354854657</v>
      </c>
      <c r="C10" s="250">
        <f>IS!A50</f>
        <v>1075431</v>
      </c>
      <c r="D10" s="17"/>
      <c r="E10" s="172" t="s">
        <v>167</v>
      </c>
      <c r="F10" s="387">
        <f>SUM(F8:F9)</f>
        <v>0.86896506787636696</v>
      </c>
      <c r="G10" s="252">
        <f>SUM(G8:G9)</f>
        <v>1075430.9999999998</v>
      </c>
      <c r="H10" s="127"/>
      <c r="T10" s="265"/>
      <c r="X10" s="36"/>
      <c r="Y10" s="36"/>
      <c r="Z10" s="36"/>
    </row>
    <row r="11" spans="1:34" ht="15.75">
      <c r="A11" s="30"/>
      <c r="B11" s="17"/>
      <c r="C11" s="17"/>
      <c r="D11" s="17"/>
      <c r="E11" s="17"/>
      <c r="F11" s="17"/>
      <c r="G11" s="29"/>
      <c r="H11" s="6"/>
      <c r="T11" s="265"/>
      <c r="X11" s="36"/>
      <c r="Y11" s="36"/>
      <c r="Z11" s="36"/>
    </row>
    <row r="12" spans="1:34" ht="15.75">
      <c r="A12" s="173" t="s">
        <v>274</v>
      </c>
      <c r="B12" s="340">
        <f>C12/$C$14</f>
        <v>0.1310349321236329</v>
      </c>
      <c r="C12" s="250">
        <f>'Amortization of Power Contract'!C54</f>
        <v>162168.80666220299</v>
      </c>
      <c r="D12" s="169"/>
      <c r="E12" s="169" t="s">
        <v>274</v>
      </c>
      <c r="F12" s="387">
        <f>G12/G14</f>
        <v>0.13103493212363293</v>
      </c>
      <c r="G12" s="252">
        <f>'Amortization of Power Contract'!C54</f>
        <v>162168.80666220299</v>
      </c>
      <c r="H12" s="140"/>
      <c r="T12" s="265"/>
      <c r="W12" s="36"/>
      <c r="X12" s="36"/>
      <c r="Y12" s="36"/>
      <c r="Z12" s="36"/>
    </row>
    <row r="13" spans="1:34" ht="15.75">
      <c r="A13" s="30"/>
      <c r="B13" s="17"/>
      <c r="C13" s="145"/>
      <c r="D13" s="17"/>
      <c r="E13" s="17"/>
      <c r="F13" s="17"/>
      <c r="G13" s="29"/>
      <c r="H13" s="6"/>
      <c r="T13" s="265"/>
      <c r="W13" s="36"/>
      <c r="X13" s="36"/>
      <c r="Y13" s="36"/>
      <c r="Z13" s="36"/>
    </row>
    <row r="14" spans="1:34" ht="16.5" thickBot="1">
      <c r="A14" s="511" t="s">
        <v>15</v>
      </c>
      <c r="B14" s="512">
        <f>C14/$C$14</f>
        <v>1</v>
      </c>
      <c r="C14" s="513">
        <f>C12+C10</f>
        <v>1237599.806662203</v>
      </c>
      <c r="D14" s="176"/>
      <c r="E14" s="275" t="s">
        <v>166</v>
      </c>
      <c r="F14" s="279">
        <f>SUM(F12,F10)</f>
        <v>0.99999999999999989</v>
      </c>
      <c r="G14" s="276">
        <f>G12+G10</f>
        <v>1237599.8066622028</v>
      </c>
      <c r="H14" s="6"/>
      <c r="T14" s="265"/>
    </row>
    <row r="15" spans="1:34" ht="16.5" thickBot="1">
      <c r="A15" s="510"/>
      <c r="B15" s="287"/>
      <c r="C15" s="251"/>
      <c r="D15" s="169"/>
      <c r="E15" s="169"/>
      <c r="F15" s="278"/>
      <c r="G15" s="183"/>
      <c r="H15" s="6"/>
      <c r="T15" s="265"/>
    </row>
    <row r="16" spans="1:34" ht="15.75">
      <c r="A16" s="165" t="s">
        <v>156</v>
      </c>
      <c r="B16" s="27"/>
      <c r="C16" s="27"/>
      <c r="D16" s="147"/>
      <c r="E16" s="27"/>
      <c r="F16" s="27"/>
      <c r="G16" s="28"/>
      <c r="H16" s="6"/>
      <c r="T16" s="265"/>
    </row>
    <row r="17" spans="1:20" ht="15.75">
      <c r="A17" s="30"/>
      <c r="B17" s="192" t="s">
        <v>17</v>
      </c>
      <c r="C17" s="192" t="s">
        <v>18</v>
      </c>
      <c r="D17" s="192" t="s">
        <v>19</v>
      </c>
      <c r="E17" s="192" t="s">
        <v>20</v>
      </c>
      <c r="F17" s="32"/>
      <c r="G17" s="239"/>
      <c r="H17" s="6"/>
      <c r="T17" s="265"/>
    </row>
    <row r="18" spans="1:20" ht="15.75">
      <c r="A18" s="301" t="s">
        <v>157</v>
      </c>
      <c r="B18" s="163"/>
      <c r="C18" s="163"/>
      <c r="D18" s="163"/>
      <c r="E18" s="17"/>
      <c r="F18" s="17"/>
      <c r="G18" s="29"/>
      <c r="H18" s="6"/>
      <c r="T18" s="265"/>
    </row>
    <row r="19" spans="1:20" ht="15.75">
      <c r="A19" s="178" t="s">
        <v>143</v>
      </c>
      <c r="B19" s="335">
        <v>36892</v>
      </c>
      <c r="C19" s="17"/>
      <c r="D19" s="17"/>
      <c r="E19" s="17"/>
      <c r="F19" s="17"/>
      <c r="G19" s="29"/>
      <c r="H19" s="6"/>
      <c r="T19" s="265"/>
    </row>
    <row r="20" spans="1:20" ht="15.75">
      <c r="A20" s="178" t="s">
        <v>21</v>
      </c>
      <c r="B20" s="498">
        <v>50000</v>
      </c>
      <c r="C20" s="498">
        <v>210000</v>
      </c>
      <c r="D20" s="498">
        <v>475000</v>
      </c>
      <c r="E20" s="389">
        <f>SUM(B20:D20)</f>
        <v>735000</v>
      </c>
      <c r="F20" s="148"/>
      <c r="G20" s="240"/>
      <c r="H20" s="6"/>
      <c r="T20" s="265"/>
    </row>
    <row r="21" spans="1:20" ht="15.75">
      <c r="A21" s="178" t="s">
        <v>22</v>
      </c>
      <c r="B21" s="356">
        <f>Debt!E98</f>
        <v>2.9952087611225187</v>
      </c>
      <c r="C21" s="356">
        <f>Debt!J98</f>
        <v>9.9958932238193015</v>
      </c>
      <c r="D21" s="356">
        <f>Debt!O98</f>
        <v>19.997262149212869</v>
      </c>
      <c r="E21" s="390"/>
      <c r="F21" s="148"/>
      <c r="G21" s="240"/>
      <c r="H21" s="127"/>
      <c r="T21" s="265"/>
    </row>
    <row r="22" spans="1:20" ht="15.75">
      <c r="A22" s="178" t="s">
        <v>23</v>
      </c>
      <c r="B22" s="335">
        <v>37986</v>
      </c>
      <c r="C22" s="335">
        <v>40543</v>
      </c>
      <c r="D22" s="335">
        <v>44196</v>
      </c>
      <c r="E22" s="389"/>
      <c r="F22" s="17"/>
      <c r="G22" s="29"/>
      <c r="H22" s="127"/>
      <c r="T22" s="265"/>
    </row>
    <row r="23" spans="1:20" ht="15.75">
      <c r="A23" s="178" t="s">
        <v>24</v>
      </c>
      <c r="B23" s="461">
        <f>Debt!E99</f>
        <v>1.7562149212867901</v>
      </c>
      <c r="C23" s="461">
        <f>Debt!J99</f>
        <v>7.1548336755646815</v>
      </c>
      <c r="D23" s="461">
        <f>Debt!O99</f>
        <v>15.030609171800139</v>
      </c>
      <c r="E23" s="391"/>
      <c r="F23" s="17"/>
      <c r="G23" s="29"/>
      <c r="H23" s="6"/>
      <c r="T23" s="265"/>
    </row>
    <row r="24" spans="1:20" ht="15.75">
      <c r="A24" s="178"/>
      <c r="B24" s="17"/>
      <c r="C24" s="17"/>
      <c r="D24" s="17"/>
      <c r="E24" s="389"/>
      <c r="F24" s="17"/>
      <c r="G24" s="29"/>
      <c r="T24" s="265"/>
    </row>
    <row r="25" spans="1:20" ht="15.75">
      <c r="A25" s="173" t="s">
        <v>235</v>
      </c>
      <c r="B25" s="291">
        <v>6.8000000000000005E-2</v>
      </c>
      <c r="C25" s="291">
        <v>6.5000000000000002E-2</v>
      </c>
      <c r="D25" s="291">
        <v>6.2E-2</v>
      </c>
      <c r="E25" s="392">
        <f>SUMPRODUCT(B25:D25,$B$20:$D$20)/E20</f>
        <v>6.3265306122448975E-2</v>
      </c>
      <c r="F25" s="17"/>
      <c r="G25" s="29"/>
      <c r="T25" s="265"/>
    </row>
    <row r="26" spans="1:20" ht="15.75">
      <c r="A26" s="177" t="s">
        <v>25</v>
      </c>
      <c r="B26" s="292">
        <v>2.2499999999999999E-2</v>
      </c>
      <c r="C26" s="292">
        <v>4.4999999999999998E-2</v>
      </c>
      <c r="D26" s="292">
        <v>0.05</v>
      </c>
      <c r="E26" s="393">
        <f>SUMPRODUCT(B26:D26,$B$20:$D$20)/E20</f>
        <v>4.6700680272108844E-2</v>
      </c>
      <c r="F26" s="17"/>
      <c r="G26" s="29"/>
      <c r="T26" s="265"/>
    </row>
    <row r="27" spans="1:20" ht="15.75">
      <c r="A27" s="178" t="s">
        <v>248</v>
      </c>
      <c r="B27" s="179">
        <f>SUM(B25:B26)</f>
        <v>9.0499999999999997E-2</v>
      </c>
      <c r="C27" s="179">
        <f>SUM(C25:C26)</f>
        <v>0.11</v>
      </c>
      <c r="D27" s="179">
        <f>SUM(D25:D26)</f>
        <v>0.112</v>
      </c>
      <c r="E27" s="392">
        <f>SUMPRODUCT(B27:D27,$B$20:$D$20)/E20</f>
        <v>0.10996598639455782</v>
      </c>
      <c r="F27" s="17"/>
      <c r="G27" s="29"/>
      <c r="T27" s="265"/>
    </row>
    <row r="28" spans="1:20" ht="15.75">
      <c r="A28" s="173"/>
      <c r="B28" s="169"/>
      <c r="C28" s="169"/>
      <c r="D28" s="169"/>
      <c r="E28" s="248"/>
      <c r="F28" s="17"/>
      <c r="G28" s="29"/>
      <c r="T28" s="265"/>
    </row>
    <row r="29" spans="1:20" ht="15.75">
      <c r="A29" s="173" t="s">
        <v>27</v>
      </c>
      <c r="B29" s="290">
        <v>0.05</v>
      </c>
      <c r="C29" s="17"/>
      <c r="D29" s="17"/>
      <c r="E29" s="388"/>
      <c r="F29" s="487"/>
      <c r="G29" s="489"/>
      <c r="T29" s="265"/>
    </row>
    <row r="30" spans="1:20" ht="15.75">
      <c r="A30" s="30"/>
      <c r="B30" s="17"/>
      <c r="C30" s="17"/>
      <c r="D30" s="17"/>
      <c r="E30" s="17"/>
      <c r="F30" s="488"/>
      <c r="G30" s="29"/>
      <c r="T30" s="265"/>
    </row>
    <row r="31" spans="1:20" ht="15.75">
      <c r="A31" s="301" t="s">
        <v>158</v>
      </c>
      <c r="B31" s="17"/>
      <c r="C31" s="17"/>
      <c r="D31" s="17"/>
      <c r="E31" s="17"/>
      <c r="F31" s="17"/>
      <c r="G31" s="29"/>
      <c r="T31" s="265"/>
    </row>
    <row r="32" spans="1:20" ht="15.75">
      <c r="A32" s="178" t="s">
        <v>159</v>
      </c>
      <c r="B32" s="335">
        <v>36892</v>
      </c>
      <c r="C32" s="17"/>
      <c r="D32" s="17"/>
      <c r="E32" s="17"/>
      <c r="F32" s="17"/>
      <c r="G32" s="29"/>
      <c r="T32" s="265"/>
    </row>
    <row r="33" spans="1:20" ht="15.75">
      <c r="A33" s="178" t="s">
        <v>21</v>
      </c>
      <c r="B33" s="394">
        <v>578000</v>
      </c>
      <c r="C33" s="17"/>
      <c r="D33" s="17"/>
      <c r="E33" s="17"/>
      <c r="F33" s="17"/>
      <c r="G33" s="29"/>
      <c r="T33" s="265"/>
    </row>
    <row r="34" spans="1:20" ht="16.5" thickBot="1">
      <c r="A34" s="484" t="s">
        <v>230</v>
      </c>
      <c r="B34" s="533">
        <v>0.14000000000000001</v>
      </c>
      <c r="C34" s="31"/>
      <c r="D34" s="31"/>
      <c r="E34" s="31"/>
      <c r="F34" s="31"/>
      <c r="G34" s="142"/>
      <c r="T34" s="265"/>
    </row>
    <row r="35" spans="1:20" ht="16.5" thickBot="1">
      <c r="A35" s="17"/>
      <c r="B35" s="17"/>
      <c r="C35" s="17"/>
      <c r="D35" s="17"/>
      <c r="E35" s="17"/>
      <c r="F35" s="17"/>
      <c r="G35" s="17"/>
      <c r="T35" s="265"/>
    </row>
    <row r="36" spans="1:20" ht="15.75">
      <c r="A36" s="164" t="s">
        <v>28</v>
      </c>
      <c r="B36" s="185"/>
      <c r="C36" s="186"/>
      <c r="D36" s="186"/>
      <c r="E36" s="190"/>
      <c r="F36" s="190"/>
      <c r="G36" s="28"/>
      <c r="T36" s="265"/>
    </row>
    <row r="37" spans="1:20" ht="15.75">
      <c r="A37" s="30"/>
      <c r="B37" s="261" t="s">
        <v>29</v>
      </c>
      <c r="C37" s="262"/>
      <c r="D37" s="17"/>
      <c r="E37" s="17"/>
      <c r="F37" s="169"/>
      <c r="G37" s="29"/>
      <c r="T37" s="265"/>
    </row>
    <row r="38" spans="1:20" ht="15.75">
      <c r="A38" s="173"/>
      <c r="B38" s="254">
        <v>1999</v>
      </c>
      <c r="C38" s="254">
        <v>2000</v>
      </c>
      <c r="D38" s="254" t="s">
        <v>30</v>
      </c>
      <c r="E38" s="254" t="s">
        <v>31</v>
      </c>
      <c r="F38" s="168" t="s">
        <v>32</v>
      </c>
      <c r="G38" s="29"/>
      <c r="T38" s="265"/>
    </row>
    <row r="39" spans="1:20" ht="15.75">
      <c r="A39" s="187" t="s">
        <v>33</v>
      </c>
      <c r="B39" s="288"/>
      <c r="C39" s="17"/>
      <c r="D39" s="288"/>
      <c r="E39" s="288"/>
      <c r="F39" s="169"/>
      <c r="G39" s="29"/>
      <c r="T39" s="265"/>
    </row>
    <row r="40" spans="1:20" ht="15.75">
      <c r="A40" s="188" t="s">
        <v>282</v>
      </c>
      <c r="B40" s="256">
        <f>G8</f>
        <v>453417.98702832818</v>
      </c>
      <c r="C40" s="183">
        <f>G9</f>
        <v>622013.01297167165</v>
      </c>
      <c r="D40" s="256">
        <v>15</v>
      </c>
      <c r="E40" s="294" t="s">
        <v>34</v>
      </c>
      <c r="F40" s="255">
        <v>0</v>
      </c>
      <c r="G40" s="29"/>
      <c r="T40" s="265"/>
    </row>
    <row r="41" spans="1:20" ht="15.75">
      <c r="A41" s="188"/>
      <c r="B41" s="256"/>
      <c r="C41" s="183"/>
      <c r="D41" s="256"/>
      <c r="E41" s="294"/>
      <c r="F41" s="255"/>
      <c r="G41" s="29"/>
      <c r="T41" s="265"/>
    </row>
    <row r="42" spans="1:20" ht="15.75">
      <c r="A42" s="187" t="s">
        <v>37</v>
      </c>
      <c r="B42" s="257"/>
      <c r="C42" s="247"/>
      <c r="D42" s="257"/>
      <c r="E42" s="257"/>
      <c r="F42" s="255"/>
      <c r="G42" s="29"/>
      <c r="T42" s="265"/>
    </row>
    <row r="43" spans="1:20" ht="16.5" thickBot="1">
      <c r="A43" s="189" t="s">
        <v>195</v>
      </c>
      <c r="B43" s="258">
        <f>G8+'Amortization of Power Contract'!C46</f>
        <v>522270.34871974343</v>
      </c>
      <c r="C43" s="184">
        <f>G9+'Amortization of Power Contract'!C50</f>
        <v>715329.45794245938</v>
      </c>
      <c r="D43" s="258">
        <v>30</v>
      </c>
      <c r="E43" s="295" t="s">
        <v>35</v>
      </c>
      <c r="F43" s="346">
        <v>0.1</v>
      </c>
      <c r="G43" s="142"/>
      <c r="T43" s="265"/>
    </row>
    <row r="44" spans="1:20" ht="16.5" thickBot="1">
      <c r="T44" s="265"/>
    </row>
    <row r="45" spans="1:20" ht="15.75">
      <c r="A45" s="165" t="s">
        <v>41</v>
      </c>
      <c r="B45" s="190"/>
      <c r="C45" s="190"/>
      <c r="D45" s="190"/>
      <c r="E45" s="190"/>
      <c r="F45" s="190"/>
      <c r="G45" s="191"/>
      <c r="T45" s="265"/>
    </row>
    <row r="46" spans="1:20" ht="15.75">
      <c r="A46" s="173"/>
      <c r="B46" s="169"/>
      <c r="C46" s="169"/>
      <c r="D46" s="169"/>
      <c r="E46" s="169"/>
      <c r="F46" s="169"/>
      <c r="G46" s="174"/>
      <c r="T46" s="265"/>
    </row>
    <row r="47" spans="1:20" ht="15.75">
      <c r="A47" s="177" t="s">
        <v>0</v>
      </c>
      <c r="B47" s="180"/>
      <c r="C47" s="17"/>
      <c r="D47" s="168" t="s">
        <v>43</v>
      </c>
      <c r="E47" s="168" t="s">
        <v>44</v>
      </c>
      <c r="F47" s="169"/>
      <c r="G47" s="174"/>
      <c r="T47" s="265"/>
    </row>
    <row r="48" spans="1:20" ht="15.75">
      <c r="A48" s="173" t="s">
        <v>111</v>
      </c>
      <c r="B48" s="169"/>
      <c r="C48" s="17"/>
      <c r="D48" s="181">
        <f>Debt!D84</f>
        <v>1.2872148355848649</v>
      </c>
      <c r="E48" s="181">
        <f>Debt!D85</f>
        <v>1.2891301538152244</v>
      </c>
      <c r="F48" s="169"/>
      <c r="G48" s="174"/>
      <c r="T48" s="265"/>
    </row>
    <row r="49" spans="1:24" ht="15.75">
      <c r="A49" s="173" t="s">
        <v>257</v>
      </c>
      <c r="B49" s="169"/>
      <c r="C49" s="17"/>
      <c r="D49" s="181">
        <f>Debt!G84</f>
        <v>2.2271971085038849</v>
      </c>
      <c r="E49" s="181">
        <f>Debt!G85</f>
        <v>3.2063574547929519</v>
      </c>
      <c r="F49" s="169"/>
      <c r="G49" s="174"/>
      <c r="T49" s="265"/>
    </row>
    <row r="50" spans="1:24" ht="15.75">
      <c r="A50" s="173"/>
      <c r="B50" s="169"/>
      <c r="C50" s="169"/>
      <c r="D50" s="169"/>
      <c r="E50" s="169"/>
      <c r="F50" s="169"/>
      <c r="G50" s="174"/>
      <c r="T50" s="265"/>
    </row>
    <row r="51" spans="1:24" ht="15.75">
      <c r="A51" s="173"/>
      <c r="B51" s="169"/>
      <c r="C51" s="169"/>
      <c r="D51" s="168" t="s">
        <v>45</v>
      </c>
      <c r="E51" s="168" t="s">
        <v>46</v>
      </c>
      <c r="F51" s="168" t="s">
        <v>47</v>
      </c>
      <c r="G51" s="174"/>
      <c r="T51" s="265"/>
    </row>
    <row r="52" spans="1:24" ht="15.75">
      <c r="A52" s="173" t="s">
        <v>251</v>
      </c>
      <c r="B52" s="169"/>
      <c r="C52" s="169"/>
      <c r="D52" s="183">
        <f>SUMPRODUCT(Assumptions!C9:E9,Assumptions!C10:E10)/SUM(Assumptions!C9:E9)</f>
        <v>11956.194594594595</v>
      </c>
      <c r="E52" s="183">
        <f>SUMPRODUCT(Assumptions!G9:I9,Assumptions!G10:I10)/SUM(Assumptions!G9:I9)</f>
        <v>11458.743073047859</v>
      </c>
      <c r="F52" s="183">
        <f>SUMPRODUCT(Assumptions!C9:I9,Assumptions!C10:I10)/Assumptions!K9</f>
        <v>11682.190773499826</v>
      </c>
      <c r="G52" s="174"/>
      <c r="T52" s="265"/>
    </row>
    <row r="53" spans="1:24" ht="15.75">
      <c r="A53" s="30"/>
      <c r="B53" s="17"/>
      <c r="C53" s="17"/>
      <c r="D53" s="17"/>
      <c r="E53" s="17"/>
      <c r="F53" s="17"/>
      <c r="G53" s="29"/>
      <c r="T53" s="265"/>
    </row>
    <row r="54" spans="1:24" ht="15.75">
      <c r="A54" s="173" t="s">
        <v>242</v>
      </c>
      <c r="B54" s="169"/>
      <c r="C54" s="169"/>
      <c r="D54" s="183">
        <f>SUM(Assumptions!C9:E9)</f>
        <v>1295</v>
      </c>
      <c r="E54" s="183">
        <f>SUM(Assumptions!G9:I9)</f>
        <v>1588</v>
      </c>
      <c r="F54" s="183">
        <f>SUM(D54:E54)</f>
        <v>2883</v>
      </c>
      <c r="G54" s="174"/>
      <c r="T54" s="265"/>
    </row>
    <row r="55" spans="1:24" ht="15.75">
      <c r="A55" s="173"/>
      <c r="B55" s="17"/>
      <c r="C55" s="17"/>
      <c r="D55" s="183"/>
      <c r="E55" s="183"/>
      <c r="F55" s="183"/>
      <c r="G55" s="29"/>
      <c r="T55" s="265"/>
    </row>
    <row r="56" spans="1:24" ht="15.75">
      <c r="A56" s="173" t="s">
        <v>273</v>
      </c>
      <c r="B56" s="17"/>
      <c r="C56" s="17"/>
      <c r="D56" s="183">
        <f>CF!V31/Assumptions!K9</f>
        <v>191.88740063875221</v>
      </c>
      <c r="E56" s="17"/>
      <c r="F56" s="17"/>
      <c r="G56" s="29"/>
      <c r="T56" s="265"/>
    </row>
    <row r="57" spans="1:24">
      <c r="A57" s="30"/>
      <c r="B57" s="17"/>
      <c r="C57" s="17"/>
      <c r="D57" s="17"/>
      <c r="E57" s="17"/>
      <c r="F57" s="17"/>
      <c r="G57" s="29"/>
      <c r="T57" s="40"/>
      <c r="U57" s="40"/>
      <c r="V57" s="40"/>
      <c r="W57" s="40"/>
      <c r="X57" s="40"/>
    </row>
    <row r="58" spans="1:24" ht="15.75">
      <c r="A58" s="173" t="s">
        <v>259</v>
      </c>
      <c r="B58" s="169"/>
      <c r="C58" s="169"/>
      <c r="D58" s="277">
        <f>CF!B33</f>
        <v>0.13269278407096866</v>
      </c>
      <c r="E58" s="169"/>
      <c r="F58" s="169"/>
      <c r="G58" s="174"/>
      <c r="T58" s="40"/>
      <c r="U58" s="40"/>
      <c r="V58" s="40"/>
      <c r="W58" s="40"/>
      <c r="X58" s="40"/>
    </row>
    <row r="59" spans="1:24" ht="15.75">
      <c r="A59" s="173"/>
      <c r="B59" s="288"/>
      <c r="C59" s="182"/>
      <c r="D59" s="253"/>
      <c r="E59" s="169"/>
      <c r="F59" s="169"/>
      <c r="G59" s="174"/>
      <c r="T59" s="384"/>
      <c r="U59" s="40"/>
      <c r="V59" s="40"/>
      <c r="W59" s="40"/>
      <c r="X59" s="40"/>
    </row>
    <row r="60" spans="1:24" ht="15.75">
      <c r="A60" s="173"/>
      <c r="B60" s="168">
        <v>2001</v>
      </c>
      <c r="C60" s="168">
        <v>2002</v>
      </c>
      <c r="D60" s="168">
        <v>2003</v>
      </c>
      <c r="E60" s="168">
        <v>2004</v>
      </c>
      <c r="F60" s="168">
        <v>2005</v>
      </c>
      <c r="G60" s="29"/>
      <c r="T60" s="384"/>
      <c r="U60" s="40"/>
      <c r="V60" s="40"/>
      <c r="W60" s="40"/>
      <c r="X60" s="40"/>
    </row>
    <row r="61" spans="1:24" ht="15.75">
      <c r="A61" s="173" t="s">
        <v>149</v>
      </c>
      <c r="B61" s="183">
        <f>IS!B33</f>
        <v>177719.19008576992</v>
      </c>
      <c r="C61" s="183">
        <f>IS!C33</f>
        <v>177135.58762118459</v>
      </c>
      <c r="D61" s="183">
        <f>IS!D33</f>
        <v>176626.50098106454</v>
      </c>
      <c r="E61" s="183">
        <f>IS!E33</f>
        <v>208938.0438079673</v>
      </c>
      <c r="F61" s="183">
        <f>IS!F33</f>
        <v>219875.44154281067</v>
      </c>
      <c r="G61" s="29"/>
      <c r="T61" s="384"/>
      <c r="U61" s="40"/>
      <c r="V61" s="40"/>
      <c r="W61" s="40"/>
      <c r="X61" s="40"/>
    </row>
    <row r="62" spans="1:24" ht="15.75">
      <c r="A62" s="173" t="s">
        <v>150</v>
      </c>
      <c r="B62" s="183">
        <f>IS!B46</f>
        <v>37018.551064168525</v>
      </c>
      <c r="C62" s="183">
        <f>IS!C46</f>
        <v>37396.858103349223</v>
      </c>
      <c r="D62" s="183">
        <f>IS!D46</f>
        <v>38124.123438629205</v>
      </c>
      <c r="E62" s="183">
        <f>IS!E46</f>
        <v>58744.193844159032</v>
      </c>
      <c r="F62" s="183">
        <f>IS!F46</f>
        <v>66893.451805013072</v>
      </c>
      <c r="G62" s="29"/>
      <c r="T62" s="384"/>
      <c r="U62" s="40"/>
      <c r="V62" s="40"/>
      <c r="W62" s="40"/>
      <c r="X62" s="40"/>
    </row>
    <row r="63" spans="1:24" ht="15.75">
      <c r="A63" s="173" t="s">
        <v>147</v>
      </c>
      <c r="B63" s="183">
        <f>CF!C17</f>
        <v>28147.419441938124</v>
      </c>
      <c r="C63" s="183">
        <f>CF!D17</f>
        <v>27809.200504488603</v>
      </c>
      <c r="D63" s="183">
        <f>CF!E17</f>
        <v>27590.845985518448</v>
      </c>
      <c r="E63" s="183">
        <f>CF!F17</f>
        <v>115203.18313856279</v>
      </c>
      <c r="F63" s="183">
        <f>CF!G17</f>
        <v>121748.25032172925</v>
      </c>
      <c r="G63" s="29"/>
      <c r="T63" s="384"/>
      <c r="U63" s="40"/>
      <c r="V63" s="40"/>
      <c r="W63" s="40"/>
      <c r="X63" s="40"/>
    </row>
    <row r="64" spans="1:24" ht="16.5" thickBot="1">
      <c r="A64" s="175" t="s">
        <v>148</v>
      </c>
      <c r="B64" s="184">
        <f>CF!C22</f>
        <v>27833.619098231044</v>
      </c>
      <c r="C64" s="184">
        <f>CF!D22</f>
        <v>27512.056655740213</v>
      </c>
      <c r="D64" s="184">
        <f>CF!E22</f>
        <v>27293.025238766106</v>
      </c>
      <c r="E64" s="184">
        <f>CF!F22</f>
        <v>114603.06651465836</v>
      </c>
      <c r="F64" s="184">
        <f>CF!G22</f>
        <v>118423.72293081466</v>
      </c>
      <c r="G64" s="142"/>
      <c r="I64" s="3"/>
      <c r="J64" s="385"/>
      <c r="K64" s="385"/>
      <c r="L64" s="385"/>
      <c r="M64" s="385"/>
      <c r="N64" s="385"/>
      <c r="O64" s="385"/>
      <c r="P64" s="385"/>
      <c r="Q64" s="385"/>
      <c r="R64" s="385"/>
      <c r="S64" s="40"/>
      <c r="T64" s="384"/>
      <c r="U64" s="40"/>
      <c r="V64" s="40"/>
      <c r="W64" s="40"/>
      <c r="X64" s="40"/>
    </row>
    <row r="65" spans="10:24" ht="15.75">
      <c r="J65" s="385"/>
      <c r="K65" s="385"/>
      <c r="L65" s="385"/>
      <c r="M65" s="385"/>
      <c r="N65" s="385"/>
      <c r="O65" s="385"/>
      <c r="P65" s="385"/>
      <c r="Q65" s="385"/>
      <c r="R65" s="385"/>
      <c r="S65" s="40"/>
      <c r="T65" s="384"/>
      <c r="U65" s="40"/>
      <c r="V65" s="40"/>
      <c r="W65" s="40"/>
      <c r="X65" s="40"/>
    </row>
    <row r="66" spans="10:24" ht="15.75">
      <c r="J66" s="385"/>
      <c r="K66" s="385"/>
      <c r="L66" s="385"/>
      <c r="M66" s="385"/>
      <c r="N66" s="385"/>
      <c r="O66" s="385"/>
      <c r="P66" s="385"/>
      <c r="Q66" s="385"/>
      <c r="R66" s="385"/>
      <c r="S66" s="40"/>
      <c r="T66" s="384"/>
      <c r="U66" s="40"/>
      <c r="V66" s="40"/>
      <c r="W66" s="40"/>
      <c r="X66" s="40"/>
    </row>
    <row r="67" spans="10:24" ht="15.75"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384"/>
      <c r="U67" s="40"/>
      <c r="V67" s="40"/>
      <c r="W67" s="40"/>
      <c r="X67" s="40"/>
    </row>
    <row r="68" spans="10:24"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</row>
    <row r="69" spans="10:24"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</row>
    <row r="70" spans="10:24"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</row>
    <row r="71" spans="10:24"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</row>
    <row r="72" spans="10:24"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</row>
    <row r="73" spans="10:24"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</row>
    <row r="74" spans="10:24"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</row>
    <row r="75" spans="10:24">
      <c r="S75" s="40"/>
      <c r="T75" s="40"/>
      <c r="U75" s="40"/>
      <c r="V75" s="40"/>
      <c r="W75" s="40"/>
      <c r="X75" s="40"/>
    </row>
    <row r="76" spans="10:24">
      <c r="S76" s="40"/>
      <c r="T76" s="40"/>
      <c r="U76" s="40"/>
      <c r="V76" s="40"/>
      <c r="W76" s="40"/>
      <c r="X76" s="40"/>
    </row>
    <row r="77" spans="10:24">
      <c r="S77" s="40"/>
      <c r="T77" s="40"/>
      <c r="U77" s="40"/>
      <c r="V77" s="40"/>
      <c r="W77" s="40"/>
      <c r="X77" s="40"/>
    </row>
    <row r="78" spans="10:24">
      <c r="S78" s="40"/>
      <c r="T78" s="40"/>
      <c r="U78" s="40"/>
      <c r="V78" s="40"/>
      <c r="W78" s="40"/>
      <c r="X78" s="40"/>
    </row>
    <row r="79" spans="10:24">
      <c r="S79" s="40"/>
      <c r="T79" s="40"/>
      <c r="U79" s="40"/>
      <c r="V79" s="40"/>
      <c r="W79" s="40"/>
      <c r="X79" s="40"/>
    </row>
    <row r="80" spans="10:24">
      <c r="S80" s="40"/>
      <c r="T80" s="40"/>
      <c r="U80" s="40"/>
      <c r="V80" s="40"/>
      <c r="W80" s="40"/>
      <c r="X80" s="40"/>
    </row>
    <row r="81" spans="10:24">
      <c r="S81" s="40"/>
      <c r="T81" s="40"/>
      <c r="U81" s="40"/>
      <c r="V81" s="40"/>
      <c r="W81" s="40"/>
      <c r="X81" s="40"/>
    </row>
    <row r="82" spans="10:24">
      <c r="S82" s="40"/>
      <c r="T82" s="40"/>
      <c r="U82" s="40"/>
      <c r="V82" s="40"/>
      <c r="W82" s="40"/>
      <c r="X82" s="40"/>
    </row>
    <row r="83" spans="10:24">
      <c r="S83" s="40"/>
      <c r="T83" s="40"/>
      <c r="U83" s="40"/>
      <c r="V83" s="40"/>
      <c r="W83" s="40"/>
      <c r="X83" s="40"/>
    </row>
    <row r="84" spans="10:24">
      <c r="S84" s="40"/>
      <c r="T84" s="40"/>
      <c r="U84" s="40"/>
      <c r="V84" s="40"/>
      <c r="W84" s="40"/>
      <c r="X84" s="40"/>
    </row>
    <row r="85" spans="10:24">
      <c r="S85" s="40"/>
      <c r="T85" s="40"/>
      <c r="U85" s="40"/>
      <c r="V85" s="40"/>
      <c r="W85" s="40"/>
      <c r="X85" s="40"/>
    </row>
    <row r="86" spans="10:24">
      <c r="S86" s="40"/>
      <c r="T86" s="40"/>
      <c r="U86" s="40"/>
      <c r="V86" s="40"/>
      <c r="W86" s="40"/>
      <c r="X86" s="40"/>
    </row>
    <row r="87" spans="10:24">
      <c r="S87" s="40"/>
      <c r="T87" s="40"/>
      <c r="U87" s="40"/>
      <c r="V87" s="40"/>
      <c r="W87" s="40"/>
      <c r="X87" s="40"/>
    </row>
    <row r="88" spans="10:24"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</row>
    <row r="89" spans="10:24"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</row>
    <row r="94" spans="10:24">
      <c r="Q94" s="6"/>
    </row>
  </sheetData>
  <pageMargins left="0.75" right="0.75" top="1" bottom="1" header="0.5" footer="0.5"/>
  <pageSetup scale="48" orientation="landscape" r:id="rId1"/>
  <headerFooter alignWithMargins="0">
    <oddHeader>&amp;L&amp;12Enron's Generation&amp;RCONFIDENTIAL</oddHeader>
    <oddFooter>&amp;L&amp;D&amp;C&amp;F&amp;RPage &amp;P</oddFooter>
  </headerFooter>
  <colBreaks count="1" manualBreakCount="1">
    <brk id="18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590" r:id="rId4" name="Button 422">
              <controlPr defaultSize="0" print="0" autoFill="0" autoPict="0" macro="[0]!Equity">
                <anchor moveWithCells="1" sizeWithCells="1">
                  <from>
                    <xdr:col>2</xdr:col>
                    <xdr:colOff>409575</xdr:colOff>
                    <xdr:row>31</xdr:row>
                    <xdr:rowOff>28575</xdr:rowOff>
                  </from>
                  <to>
                    <xdr:col>3</xdr:col>
                    <xdr:colOff>619125</xdr:colOff>
                    <xdr:row>32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2:AG69"/>
  <sheetViews>
    <sheetView zoomScale="75" zoomScaleNormal="75" workbookViewId="0"/>
  </sheetViews>
  <sheetFormatPr defaultRowHeight="12.75"/>
  <cols>
    <col min="1" max="1" width="66.28515625" customWidth="1"/>
    <col min="3" max="5" width="13.7109375" customWidth="1"/>
    <col min="6" max="6" width="5.140625" customWidth="1"/>
    <col min="7" max="9" width="13.7109375" customWidth="1"/>
    <col min="10" max="10" width="4.5703125" customWidth="1"/>
    <col min="11" max="11" width="13.7109375" customWidth="1"/>
    <col min="12" max="12" width="4.7109375" customWidth="1"/>
    <col min="16" max="16" width="23" bestFit="1" customWidth="1"/>
  </cols>
  <sheetData>
    <row r="2" spans="1:33" ht="18.75">
      <c r="A2" s="416" t="s">
        <v>164</v>
      </c>
    </row>
    <row r="4" spans="1:33" ht="13.5" thickBot="1"/>
    <row r="5" spans="1:33" ht="15.75">
      <c r="A5" s="164" t="s">
        <v>2</v>
      </c>
      <c r="B5" s="185"/>
      <c r="C5" s="590" t="s">
        <v>3</v>
      </c>
      <c r="D5" s="590"/>
      <c r="E5" s="590"/>
      <c r="F5" s="27"/>
      <c r="G5" s="590" t="s">
        <v>4</v>
      </c>
      <c r="H5" s="590"/>
      <c r="I5" s="590"/>
      <c r="J5" s="186"/>
      <c r="K5" s="419"/>
      <c r="L5" s="145"/>
      <c r="M5" s="386"/>
      <c r="N5" s="386"/>
      <c r="O5" s="386"/>
      <c r="P5" s="386"/>
      <c r="Q5" s="386"/>
      <c r="R5" s="386"/>
      <c r="S5" s="386"/>
      <c r="T5" s="386"/>
      <c r="U5" s="386"/>
      <c r="V5" s="386"/>
      <c r="W5" s="386"/>
      <c r="X5" s="386"/>
      <c r="Y5" s="386"/>
      <c r="Z5" s="386"/>
      <c r="AA5" s="386"/>
      <c r="AB5" s="386"/>
      <c r="AC5" s="386"/>
      <c r="AD5" s="386"/>
      <c r="AE5" s="386"/>
      <c r="AF5" s="386"/>
      <c r="AG5" s="386"/>
    </row>
    <row r="6" spans="1:33" ht="15.75">
      <c r="A6" s="173"/>
      <c r="B6" s="169"/>
      <c r="C6" s="169"/>
      <c r="D6" s="169"/>
      <c r="E6" s="169"/>
      <c r="F6" s="17"/>
      <c r="G6" s="169"/>
      <c r="H6" s="169"/>
      <c r="I6" s="169"/>
      <c r="J6" s="125"/>
      <c r="K6" s="174"/>
      <c r="L6" s="145"/>
      <c r="M6" s="386"/>
      <c r="N6" s="386"/>
      <c r="O6" s="386"/>
      <c r="P6" s="386"/>
      <c r="Q6" s="386"/>
      <c r="R6" s="386"/>
      <c r="S6" s="386"/>
      <c r="T6" s="386"/>
      <c r="U6" s="386"/>
      <c r="V6" s="386"/>
      <c r="W6" s="386"/>
      <c r="X6" s="386"/>
      <c r="Y6" s="386"/>
      <c r="Z6" s="386"/>
      <c r="AA6" s="386"/>
      <c r="AB6" s="386"/>
      <c r="AC6" s="386"/>
      <c r="AD6" s="386"/>
      <c r="AE6" s="386"/>
      <c r="AF6" s="386"/>
      <c r="AG6" s="386"/>
    </row>
    <row r="7" spans="1:33" ht="15.75">
      <c r="A7" s="173"/>
      <c r="B7" s="169"/>
      <c r="C7" s="192" t="s">
        <v>9</v>
      </c>
      <c r="D7" s="192" t="s">
        <v>10</v>
      </c>
      <c r="E7" s="192" t="s">
        <v>11</v>
      </c>
      <c r="F7" s="17"/>
      <c r="G7" s="192" t="s">
        <v>103</v>
      </c>
      <c r="H7" s="192" t="s">
        <v>12</v>
      </c>
      <c r="I7" s="192" t="s">
        <v>13</v>
      </c>
      <c r="J7" s="72"/>
      <c r="K7" s="193" t="s">
        <v>167</v>
      </c>
      <c r="L7" s="145"/>
      <c r="M7" s="386"/>
      <c r="N7" s="386"/>
      <c r="O7" s="386"/>
      <c r="P7" s="386"/>
      <c r="Q7" s="386"/>
      <c r="R7" s="386"/>
      <c r="S7" s="386"/>
      <c r="T7" s="386"/>
      <c r="U7" s="386"/>
      <c r="V7" s="386"/>
      <c r="W7" s="386"/>
      <c r="X7" s="386"/>
      <c r="Y7" s="386"/>
      <c r="Z7" s="386"/>
      <c r="AA7" s="386"/>
      <c r="AB7" s="386"/>
      <c r="AC7" s="386"/>
      <c r="AD7" s="386"/>
      <c r="AE7" s="386"/>
      <c r="AF7" s="386"/>
      <c r="AG7" s="386"/>
    </row>
    <row r="8" spans="1:33" ht="15.75">
      <c r="A8" s="173" t="s">
        <v>16</v>
      </c>
      <c r="B8" s="169"/>
      <c r="C8" s="293">
        <v>4</v>
      </c>
      <c r="D8" s="293">
        <v>6</v>
      </c>
      <c r="E8" s="293">
        <v>6</v>
      </c>
      <c r="F8" s="363"/>
      <c r="G8" s="293">
        <v>3</v>
      </c>
      <c r="H8" s="293">
        <v>4</v>
      </c>
      <c r="I8" s="293">
        <v>8</v>
      </c>
      <c r="J8" s="256"/>
      <c r="K8" s="452">
        <f>SUM(C8:I8)</f>
        <v>31</v>
      </c>
      <c r="L8" s="145"/>
      <c r="M8" s="386"/>
      <c r="N8" s="386"/>
      <c r="O8" s="386"/>
      <c r="P8" s="386"/>
      <c r="Q8" s="386"/>
      <c r="R8" s="386"/>
      <c r="S8" s="386"/>
      <c r="T8" s="386"/>
      <c r="U8" s="386"/>
      <c r="V8" s="386"/>
      <c r="W8" s="386"/>
      <c r="X8" s="386"/>
      <c r="Y8" s="386"/>
      <c r="Z8" s="386"/>
      <c r="AA8" s="386"/>
      <c r="AB8" s="386"/>
      <c r="AC8" s="386"/>
      <c r="AD8" s="386"/>
      <c r="AE8" s="386"/>
      <c r="AF8" s="386"/>
      <c r="AG8" s="386"/>
    </row>
    <row r="9" spans="1:33" ht="15.75">
      <c r="A9" s="173" t="s">
        <v>211</v>
      </c>
      <c r="B9" s="169"/>
      <c r="C9" s="293">
        <v>458</v>
      </c>
      <c r="D9" s="293">
        <v>466</v>
      </c>
      <c r="E9" s="293">
        <v>371</v>
      </c>
      <c r="F9" s="356"/>
      <c r="G9" s="293">
        <v>510</v>
      </c>
      <c r="H9" s="293">
        <v>470</v>
      </c>
      <c r="I9" s="293">
        <v>608</v>
      </c>
      <c r="J9" s="300"/>
      <c r="K9" s="452">
        <f>SUM(C9:I9)</f>
        <v>2883</v>
      </c>
      <c r="L9" s="145"/>
      <c r="M9" s="386"/>
      <c r="N9" s="386"/>
      <c r="O9" s="386"/>
      <c r="P9" s="386"/>
      <c r="Q9" s="386"/>
      <c r="R9" s="386"/>
      <c r="S9" s="386"/>
      <c r="T9" s="386"/>
      <c r="U9" s="386"/>
      <c r="V9" s="386"/>
      <c r="W9" s="386"/>
      <c r="X9" s="386"/>
      <c r="Y9" s="386"/>
      <c r="Z9" s="386"/>
      <c r="AA9" s="386"/>
      <c r="AB9" s="386"/>
      <c r="AC9" s="386"/>
      <c r="AD9" s="386"/>
      <c r="AE9" s="386"/>
      <c r="AF9" s="386"/>
      <c r="AG9" s="386"/>
    </row>
    <row r="10" spans="1:33" ht="15.75">
      <c r="A10" s="173" t="s">
        <v>252</v>
      </c>
      <c r="B10" s="169"/>
      <c r="C10" s="293">
        <v>11406</v>
      </c>
      <c r="D10" s="293">
        <v>12064</v>
      </c>
      <c r="E10" s="293">
        <v>12500</v>
      </c>
      <c r="F10" s="355"/>
      <c r="G10" s="293">
        <v>10592</v>
      </c>
      <c r="H10" s="293">
        <v>11734</v>
      </c>
      <c r="I10" s="293">
        <v>11973</v>
      </c>
      <c r="J10" s="256"/>
      <c r="K10" s="452">
        <f>SUMPRODUCT(C10:I10,C9:I9)/K9</f>
        <v>11682.190773499826</v>
      </c>
      <c r="L10" s="145"/>
      <c r="M10" s="386"/>
      <c r="N10" s="386"/>
      <c r="O10" s="386"/>
      <c r="P10" s="386"/>
      <c r="Q10" s="386"/>
      <c r="R10" s="386"/>
      <c r="S10" s="386"/>
      <c r="T10" s="386"/>
      <c r="U10" s="386"/>
      <c r="V10" s="386"/>
      <c r="W10" s="386"/>
      <c r="X10" s="386"/>
      <c r="Y10" s="386"/>
      <c r="Z10" s="386"/>
      <c r="AA10" s="386"/>
      <c r="AB10" s="386"/>
      <c r="AC10" s="386"/>
      <c r="AD10" s="386"/>
      <c r="AE10" s="386"/>
      <c r="AF10" s="386"/>
      <c r="AG10" s="386"/>
    </row>
    <row r="11" spans="1:33" ht="16.5" thickBot="1">
      <c r="A11" s="175" t="s">
        <v>155</v>
      </c>
      <c r="B11" s="503"/>
      <c r="C11" s="502">
        <v>75</v>
      </c>
      <c r="D11" s="502">
        <v>75</v>
      </c>
      <c r="E11" s="502">
        <v>75</v>
      </c>
      <c r="F11" s="526"/>
      <c r="G11" s="502">
        <v>75</v>
      </c>
      <c r="H11" s="502">
        <v>75</v>
      </c>
      <c r="I11" s="502">
        <v>75</v>
      </c>
      <c r="J11" s="503"/>
      <c r="K11" s="476">
        <f>SUM(C11:I11)</f>
        <v>450</v>
      </c>
      <c r="L11" s="17"/>
      <c r="M11" s="386"/>
      <c r="N11" s="386"/>
      <c r="O11" s="386"/>
      <c r="P11" s="386"/>
      <c r="Q11" s="386"/>
      <c r="R11" s="386"/>
      <c r="S11" s="386"/>
      <c r="T11" s="386"/>
      <c r="U11" s="386"/>
      <c r="V11" s="386"/>
      <c r="W11" s="386"/>
      <c r="X11" s="386"/>
      <c r="Y11" s="386"/>
      <c r="Z11" s="386"/>
      <c r="AA11" s="386"/>
      <c r="AB11" s="386"/>
      <c r="AC11" s="386"/>
      <c r="AD11" s="386"/>
      <c r="AE11" s="386"/>
      <c r="AF11" s="386"/>
      <c r="AG11" s="386"/>
    </row>
    <row r="12" spans="1:33">
      <c r="L12" s="145"/>
      <c r="M12" s="386"/>
      <c r="N12" s="386"/>
      <c r="O12" s="386"/>
      <c r="P12" s="386"/>
      <c r="Q12" s="386"/>
      <c r="R12" s="386"/>
      <c r="S12" s="386"/>
      <c r="T12" s="386"/>
      <c r="U12" s="386"/>
      <c r="V12" s="386"/>
      <c r="W12" s="386"/>
      <c r="X12" s="386"/>
      <c r="Y12" s="386"/>
      <c r="Z12" s="386"/>
      <c r="AA12" s="386"/>
      <c r="AB12" s="386"/>
      <c r="AC12" s="386"/>
      <c r="AD12" s="386"/>
      <c r="AE12" s="386"/>
      <c r="AF12" s="386"/>
      <c r="AG12" s="386"/>
    </row>
    <row r="13" spans="1:33" ht="13.5" thickBo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45"/>
      <c r="M13" s="386"/>
      <c r="N13" s="386"/>
      <c r="O13" s="386"/>
      <c r="P13" s="386"/>
      <c r="Q13" s="386"/>
      <c r="R13" s="386"/>
      <c r="S13" s="386"/>
      <c r="T13" s="386"/>
      <c r="U13" s="386"/>
      <c r="V13" s="386"/>
      <c r="W13" s="386"/>
      <c r="X13" s="386"/>
      <c r="Y13" s="386"/>
      <c r="Z13" s="386"/>
      <c r="AA13" s="386"/>
      <c r="AB13" s="386"/>
      <c r="AC13" s="386"/>
      <c r="AD13" s="386"/>
      <c r="AE13" s="386"/>
      <c r="AF13" s="386"/>
      <c r="AG13" s="386"/>
    </row>
    <row r="14" spans="1:33" ht="15.75">
      <c r="A14" s="164" t="s">
        <v>263</v>
      </c>
      <c r="B14" s="185"/>
      <c r="C14" s="190"/>
      <c r="D14" s="190"/>
      <c r="E14" s="190"/>
      <c r="F14" s="27"/>
      <c r="G14" s="190"/>
      <c r="H14" s="190"/>
      <c r="I14" s="190"/>
      <c r="J14" s="185"/>
      <c r="K14" s="453"/>
      <c r="L14" s="145"/>
      <c r="M14" s="386"/>
      <c r="N14" s="386"/>
      <c r="O14" s="386"/>
      <c r="P14" s="386"/>
      <c r="Q14" s="386"/>
      <c r="R14" s="386"/>
      <c r="S14" s="386"/>
      <c r="T14" s="386"/>
      <c r="U14" s="386"/>
      <c r="V14" s="386"/>
      <c r="W14" s="386"/>
      <c r="X14" s="386"/>
      <c r="Y14" s="386"/>
      <c r="Z14" s="386"/>
      <c r="AA14" s="386"/>
      <c r="AB14" s="386"/>
      <c r="AC14" s="386"/>
      <c r="AD14" s="386"/>
      <c r="AE14" s="386"/>
      <c r="AF14" s="386"/>
      <c r="AG14" s="386"/>
    </row>
    <row r="15" spans="1:33">
      <c r="A15" s="30"/>
      <c r="B15" s="17"/>
      <c r="C15" s="17"/>
      <c r="D15" s="17"/>
      <c r="E15" s="17"/>
      <c r="F15" s="17"/>
      <c r="G15" s="17"/>
      <c r="H15" s="17"/>
      <c r="I15" s="17"/>
      <c r="J15" s="7"/>
      <c r="K15" s="454"/>
      <c r="L15" s="17"/>
      <c r="M15" s="386"/>
      <c r="N15" s="386"/>
      <c r="O15" s="386"/>
      <c r="P15" s="386"/>
      <c r="Q15" s="386"/>
      <c r="R15" s="386"/>
      <c r="S15" s="386"/>
      <c r="T15" s="386"/>
      <c r="U15" s="386"/>
      <c r="V15" s="386"/>
      <c r="W15" s="386"/>
      <c r="X15" s="386"/>
      <c r="Y15" s="386"/>
      <c r="Z15" s="386"/>
      <c r="AA15" s="386"/>
      <c r="AB15" s="386"/>
      <c r="AC15" s="386"/>
      <c r="AD15" s="386"/>
      <c r="AE15" s="386"/>
      <c r="AF15" s="386"/>
      <c r="AG15" s="386"/>
    </row>
    <row r="16" spans="1:33" ht="15.75">
      <c r="A16" s="173" t="s">
        <v>264</v>
      </c>
      <c r="B16" s="169"/>
      <c r="C16" s="358">
        <v>4</v>
      </c>
      <c r="D16" s="371">
        <f>$C$16</f>
        <v>4</v>
      </c>
      <c r="E16" s="371">
        <f>$C$16</f>
        <v>4</v>
      </c>
      <c r="F16" s="372"/>
      <c r="G16" s="371">
        <f>$C$16</f>
        <v>4</v>
      </c>
      <c r="H16" s="371">
        <f>$C$16</f>
        <v>4</v>
      </c>
      <c r="I16" s="371">
        <f>$C$16</f>
        <v>4</v>
      </c>
      <c r="J16" s="362"/>
      <c r="K16" s="455"/>
      <c r="L16" s="17"/>
      <c r="M16" s="386"/>
      <c r="N16" s="386"/>
      <c r="O16" s="386"/>
      <c r="P16" s="386"/>
      <c r="Q16" s="386"/>
      <c r="R16" s="386"/>
      <c r="S16" s="386"/>
      <c r="T16" s="386"/>
      <c r="U16" s="386"/>
      <c r="V16" s="386"/>
      <c r="W16" s="386"/>
      <c r="X16" s="386"/>
      <c r="Y16" s="386"/>
      <c r="Z16" s="386"/>
      <c r="AA16" s="386"/>
      <c r="AB16" s="386"/>
      <c r="AC16" s="386"/>
      <c r="AD16" s="386"/>
      <c r="AE16" s="386"/>
      <c r="AF16" s="386"/>
      <c r="AG16" s="386"/>
    </row>
    <row r="17" spans="1:33" ht="15.75">
      <c r="A17" s="173" t="s">
        <v>209</v>
      </c>
      <c r="B17" s="17"/>
      <c r="C17" s="471">
        <f t="shared" ref="C17:E18" si="0">C23</f>
        <v>1.5</v>
      </c>
      <c r="D17" s="471">
        <f t="shared" si="0"/>
        <v>1</v>
      </c>
      <c r="E17" s="471">
        <f t="shared" si="0"/>
        <v>1</v>
      </c>
      <c r="F17" s="462"/>
      <c r="G17" s="471">
        <f t="shared" ref="G17:I18" si="1">G23</f>
        <v>1.5</v>
      </c>
      <c r="H17" s="471">
        <f t="shared" si="1"/>
        <v>3</v>
      </c>
      <c r="I17" s="471">
        <f t="shared" si="1"/>
        <v>2</v>
      </c>
      <c r="J17" s="17"/>
      <c r="K17" s="29"/>
      <c r="L17" s="17"/>
      <c r="M17" s="386"/>
      <c r="N17" s="386"/>
      <c r="O17" s="386"/>
      <c r="P17" s="386"/>
      <c r="Q17" s="386"/>
      <c r="R17" s="386"/>
      <c r="S17" s="386"/>
      <c r="T17" s="386"/>
      <c r="U17" s="386"/>
      <c r="V17" s="386"/>
      <c r="W17" s="386"/>
      <c r="X17" s="386"/>
      <c r="Y17" s="386"/>
      <c r="Z17" s="386"/>
      <c r="AA17" s="386"/>
      <c r="AB17" s="386"/>
      <c r="AC17" s="386"/>
      <c r="AD17" s="386"/>
      <c r="AE17" s="386"/>
      <c r="AF17" s="386"/>
      <c r="AG17" s="386"/>
    </row>
    <row r="18" spans="1:33" ht="15.75">
      <c r="A18" s="173" t="s">
        <v>256</v>
      </c>
      <c r="B18" s="386"/>
      <c r="C18" s="256">
        <f t="shared" si="0"/>
        <v>1500</v>
      </c>
      <c r="D18" s="256">
        <f t="shared" si="0"/>
        <v>1000</v>
      </c>
      <c r="E18" s="256">
        <f t="shared" si="0"/>
        <v>1000</v>
      </c>
      <c r="F18" s="472"/>
      <c r="G18" s="256">
        <f t="shared" si="1"/>
        <v>1500</v>
      </c>
      <c r="H18" s="256">
        <f t="shared" si="1"/>
        <v>1500</v>
      </c>
      <c r="I18" s="256">
        <f t="shared" si="1"/>
        <v>1000</v>
      </c>
      <c r="J18" s="386"/>
      <c r="K18" s="452"/>
      <c r="L18" s="417"/>
      <c r="M18" s="386"/>
      <c r="N18" s="386"/>
      <c r="O18" s="386"/>
      <c r="P18" s="235"/>
      <c r="Q18" s="386"/>
      <c r="R18" s="386"/>
      <c r="S18" s="386"/>
      <c r="T18" s="386"/>
      <c r="U18" s="386"/>
      <c r="V18" s="386"/>
      <c r="W18" s="386"/>
      <c r="X18" s="386"/>
      <c r="Y18" s="386"/>
      <c r="Z18" s="386"/>
      <c r="AA18" s="386"/>
      <c r="AB18" s="386"/>
      <c r="AC18" s="386"/>
      <c r="AD18" s="386"/>
      <c r="AE18" s="386"/>
      <c r="AF18" s="386"/>
      <c r="AG18" s="386"/>
    </row>
    <row r="19" spans="1:33" ht="16.5" thickBot="1">
      <c r="A19" s="175" t="s">
        <v>154</v>
      </c>
      <c r="B19" s="503"/>
      <c r="C19" s="525">
        <v>624921.70787304931</v>
      </c>
      <c r="D19" s="525">
        <v>544139.6717506632</v>
      </c>
      <c r="E19" s="525">
        <v>410269.84</v>
      </c>
      <c r="F19" s="504"/>
      <c r="G19" s="525">
        <v>532991.61978558963</v>
      </c>
      <c r="H19" s="525">
        <v>461312.72185621865</v>
      </c>
      <c r="I19" s="525">
        <v>2002000</v>
      </c>
      <c r="J19" s="31"/>
      <c r="K19" s="505"/>
      <c r="L19" s="145"/>
      <c r="M19" s="386"/>
      <c r="N19" s="386"/>
      <c r="O19" s="386"/>
      <c r="P19" s="355"/>
      <c r="Q19" s="386"/>
      <c r="R19" s="386"/>
      <c r="S19" s="386"/>
      <c r="T19" s="386"/>
      <c r="U19" s="386"/>
      <c r="V19" s="386"/>
      <c r="W19" s="386"/>
      <c r="X19" s="386"/>
      <c r="Y19" s="386"/>
      <c r="Z19" s="386"/>
      <c r="AA19" s="386"/>
      <c r="AB19" s="386"/>
      <c r="AC19" s="386"/>
      <c r="AD19" s="386"/>
      <c r="AE19" s="386"/>
      <c r="AF19" s="386"/>
      <c r="AG19" s="386"/>
    </row>
    <row r="20" spans="1:33" ht="15.75">
      <c r="A20" s="386"/>
      <c r="B20" s="386"/>
      <c r="C20" s="386"/>
      <c r="D20" s="386"/>
      <c r="E20" s="386"/>
      <c r="F20" s="386"/>
      <c r="G20" s="386"/>
      <c r="H20" s="386"/>
      <c r="I20" s="386"/>
      <c r="J20" s="386"/>
      <c r="K20" s="386"/>
      <c r="L20" s="7"/>
      <c r="M20" s="386"/>
      <c r="N20" s="386"/>
      <c r="O20" s="386"/>
      <c r="P20" s="355"/>
      <c r="Q20" s="386"/>
      <c r="R20" s="386"/>
      <c r="S20" s="386"/>
      <c r="T20" s="386"/>
      <c r="U20" s="386"/>
      <c r="V20" s="386"/>
      <c r="W20" s="386"/>
      <c r="X20" s="386"/>
      <c r="Y20" s="386"/>
      <c r="Z20" s="386"/>
      <c r="AA20" s="386"/>
      <c r="AB20" s="386"/>
      <c r="AC20" s="386"/>
      <c r="AD20" s="386"/>
      <c r="AE20" s="386"/>
      <c r="AF20" s="386"/>
      <c r="AG20" s="386"/>
    </row>
    <row r="21" spans="1:33" ht="16.5" thickBot="1">
      <c r="L21" s="7"/>
      <c r="M21" s="386"/>
      <c r="N21" s="386"/>
      <c r="O21" s="386"/>
      <c r="P21" s="355"/>
      <c r="Q21" s="386"/>
      <c r="R21" s="386"/>
      <c r="S21" s="386"/>
      <c r="T21" s="386"/>
      <c r="U21" s="386"/>
      <c r="V21" s="386"/>
      <c r="W21" s="386"/>
      <c r="X21" s="386"/>
      <c r="Y21" s="386"/>
      <c r="Z21" s="386"/>
      <c r="AA21" s="386"/>
      <c r="AB21" s="386"/>
      <c r="AC21" s="386"/>
      <c r="AD21" s="386"/>
      <c r="AE21" s="386"/>
      <c r="AF21" s="386"/>
      <c r="AG21" s="386"/>
    </row>
    <row r="22" spans="1:33" ht="15.75">
      <c r="A22" s="165" t="s">
        <v>42</v>
      </c>
      <c r="B22" s="190"/>
      <c r="C22" s="370"/>
      <c r="D22" s="370"/>
      <c r="E22" s="370"/>
      <c r="F22" s="365"/>
      <c r="G22" s="370"/>
      <c r="H22" s="370"/>
      <c r="I22" s="364"/>
      <c r="J22" s="457"/>
      <c r="K22" s="458"/>
      <c r="L22" s="7"/>
      <c r="M22" s="386"/>
      <c r="N22" s="386"/>
      <c r="O22" s="386"/>
      <c r="P22" s="355"/>
      <c r="Q22" s="386"/>
      <c r="R22" s="386"/>
      <c r="S22" s="386"/>
      <c r="T22" s="386"/>
      <c r="U22" s="386"/>
      <c r="V22" s="386"/>
      <c r="W22" s="386"/>
      <c r="X22" s="386"/>
      <c r="Y22" s="386"/>
      <c r="Z22" s="386"/>
      <c r="AA22" s="386"/>
      <c r="AB22" s="386"/>
      <c r="AC22" s="386"/>
      <c r="AD22" s="386"/>
      <c r="AE22" s="386"/>
      <c r="AF22" s="386"/>
      <c r="AG22" s="386"/>
    </row>
    <row r="23" spans="1:33" ht="15.75">
      <c r="A23" s="289" t="s">
        <v>207</v>
      </c>
      <c r="B23" s="169"/>
      <c r="C23" s="383">
        <v>1.5</v>
      </c>
      <c r="D23" s="383">
        <v>1</v>
      </c>
      <c r="E23" s="383">
        <v>1</v>
      </c>
      <c r="F23" s="462"/>
      <c r="G23" s="383">
        <v>1.5</v>
      </c>
      <c r="H23" s="383">
        <v>3</v>
      </c>
      <c r="I23" s="383">
        <v>2</v>
      </c>
      <c r="J23" s="359"/>
      <c r="K23" s="456"/>
      <c r="L23" s="7"/>
      <c r="M23" s="386"/>
      <c r="N23" s="386"/>
      <c r="O23" s="386"/>
      <c r="P23" s="418"/>
      <c r="Q23" s="386"/>
      <c r="R23" s="386"/>
      <c r="S23" s="386"/>
      <c r="T23" s="386"/>
      <c r="U23" s="386"/>
      <c r="V23" s="386"/>
      <c r="W23" s="386"/>
      <c r="X23" s="386"/>
      <c r="Y23" s="386"/>
      <c r="Z23" s="386"/>
      <c r="AA23" s="386"/>
      <c r="AB23" s="386"/>
      <c r="AC23" s="386"/>
      <c r="AD23" s="386"/>
      <c r="AE23" s="386"/>
      <c r="AF23" s="386"/>
      <c r="AG23" s="386"/>
    </row>
    <row r="24" spans="1:33" ht="15.75">
      <c r="A24" s="173" t="s">
        <v>260</v>
      </c>
      <c r="B24" s="386"/>
      <c r="C24" s="293">
        <v>1500</v>
      </c>
      <c r="D24" s="293">
        <v>1000</v>
      </c>
      <c r="E24" s="293">
        <v>1000</v>
      </c>
      <c r="F24" s="386"/>
      <c r="G24" s="293">
        <v>1500</v>
      </c>
      <c r="H24" s="293">
        <v>1500</v>
      </c>
      <c r="I24" s="293">
        <v>1000</v>
      </c>
      <c r="J24" s="360"/>
      <c r="K24" s="361"/>
      <c r="L24" s="7"/>
      <c r="M24" s="386"/>
      <c r="N24" s="386"/>
      <c r="O24" s="386"/>
      <c r="P24" s="386"/>
      <c r="Q24" s="386"/>
      <c r="R24" s="386"/>
      <c r="S24" s="386"/>
      <c r="T24" s="386"/>
      <c r="U24" s="386"/>
      <c r="V24" s="386"/>
      <c r="W24" s="386"/>
      <c r="X24" s="386"/>
      <c r="Y24" s="386"/>
      <c r="Z24" s="386"/>
      <c r="AA24" s="386"/>
      <c r="AB24" s="386"/>
      <c r="AC24" s="386"/>
      <c r="AD24" s="386"/>
      <c r="AE24" s="386"/>
      <c r="AF24" s="386"/>
      <c r="AG24" s="386"/>
    </row>
    <row r="25" spans="1:33" ht="15.75">
      <c r="A25" s="173" t="s">
        <v>115</v>
      </c>
      <c r="B25" s="169"/>
      <c r="C25" s="290">
        <v>0.03</v>
      </c>
      <c r="D25" s="360">
        <f>$C$25</f>
        <v>0.03</v>
      </c>
      <c r="E25" s="360">
        <f>$C$25</f>
        <v>0.03</v>
      </c>
      <c r="F25" s="374"/>
      <c r="G25" s="360">
        <f>$C$25</f>
        <v>0.03</v>
      </c>
      <c r="H25" s="360">
        <f>$C$25</f>
        <v>0.03</v>
      </c>
      <c r="I25" s="360">
        <f>$C$25</f>
        <v>0.03</v>
      </c>
      <c r="J25" s="257"/>
      <c r="K25" s="296"/>
      <c r="L25" s="145"/>
      <c r="M25" s="386"/>
      <c r="N25" s="386"/>
      <c r="O25" s="386"/>
      <c r="P25" s="386"/>
      <c r="Q25" s="386"/>
      <c r="R25" s="386"/>
      <c r="S25" s="386"/>
      <c r="T25" s="386"/>
      <c r="U25" s="386"/>
      <c r="V25" s="386"/>
      <c r="W25" s="386"/>
      <c r="X25" s="386"/>
      <c r="Y25" s="386"/>
      <c r="Z25" s="386"/>
      <c r="AA25" s="386"/>
      <c r="AB25" s="386"/>
      <c r="AC25" s="386"/>
      <c r="AD25" s="386"/>
      <c r="AE25" s="386"/>
      <c r="AF25" s="386"/>
      <c r="AG25" s="386"/>
    </row>
    <row r="26" spans="1:33" ht="15.75">
      <c r="A26" s="173"/>
      <c r="B26" s="169"/>
      <c r="C26" s="247"/>
      <c r="D26" s="247"/>
      <c r="E26" s="247"/>
      <c r="F26" s="247"/>
      <c r="G26" s="247"/>
      <c r="H26" s="247"/>
      <c r="I26" s="247"/>
      <c r="J26" s="382"/>
      <c r="K26" s="459"/>
      <c r="L26" s="7"/>
      <c r="M26" s="386"/>
      <c r="N26" s="386"/>
      <c r="O26" s="386"/>
      <c r="P26" s="386"/>
      <c r="Q26" s="386"/>
      <c r="R26" s="386"/>
      <c r="S26" s="386"/>
      <c r="T26" s="386"/>
      <c r="U26" s="386"/>
      <c r="V26" s="386"/>
      <c r="W26" s="386"/>
      <c r="X26" s="386"/>
      <c r="Y26" s="386"/>
      <c r="Z26" s="386"/>
      <c r="AA26" s="386"/>
      <c r="AB26" s="386"/>
      <c r="AC26" s="386"/>
      <c r="AD26" s="386"/>
      <c r="AE26" s="386"/>
      <c r="AF26" s="386"/>
      <c r="AG26" s="386"/>
    </row>
    <row r="27" spans="1:33" ht="15.75">
      <c r="A27" s="301" t="s">
        <v>114</v>
      </c>
      <c r="B27" s="169"/>
      <c r="C27" s="501"/>
      <c r="D27" s="501"/>
      <c r="E27" s="501"/>
      <c r="F27" s="247"/>
      <c r="G27" s="501"/>
      <c r="H27" s="501"/>
      <c r="I27" s="501"/>
      <c r="J27" s="382"/>
      <c r="K27" s="459"/>
      <c r="L27" s="7"/>
      <c r="M27" s="386"/>
      <c r="N27" s="386"/>
      <c r="O27" s="386"/>
      <c r="P27" s="386"/>
      <c r="Q27" s="386"/>
      <c r="R27" s="386"/>
      <c r="S27" s="386"/>
      <c r="T27" s="386"/>
      <c r="U27" s="386"/>
      <c r="V27" s="386"/>
      <c r="W27" s="386"/>
      <c r="X27" s="386"/>
      <c r="Y27" s="386"/>
      <c r="Z27" s="386"/>
      <c r="AA27" s="386"/>
      <c r="AB27" s="386"/>
      <c r="AC27" s="386"/>
      <c r="AD27" s="386"/>
      <c r="AE27" s="386"/>
      <c r="AF27" s="386"/>
      <c r="AG27" s="386"/>
    </row>
    <row r="28" spans="1:33" ht="15.75">
      <c r="A28" s="173" t="s">
        <v>48</v>
      </c>
      <c r="B28" s="17"/>
      <c r="C28" s="381">
        <v>1563.6314700000003</v>
      </c>
      <c r="D28" s="381">
        <v>1721.30196</v>
      </c>
      <c r="E28" s="381">
        <v>1878.0665900000001</v>
      </c>
      <c r="F28" s="300"/>
      <c r="G28" s="381">
        <v>1242.4817142857141</v>
      </c>
      <c r="H28" s="381">
        <v>1515.7902857142858</v>
      </c>
      <c r="I28" s="381">
        <v>1448.5405714285714</v>
      </c>
      <c r="J28" s="382"/>
      <c r="K28" s="459"/>
      <c r="L28" s="7"/>
      <c r="M28" s="386"/>
      <c r="N28" s="386"/>
      <c r="O28" s="386"/>
      <c r="P28" s="386"/>
      <c r="Q28" s="386"/>
      <c r="R28" s="386"/>
      <c r="S28" s="386"/>
      <c r="T28" s="386"/>
      <c r="U28" s="386"/>
      <c r="V28" s="386"/>
      <c r="W28" s="386"/>
      <c r="X28" s="386"/>
      <c r="Y28" s="386"/>
      <c r="Z28" s="386"/>
      <c r="AA28" s="386"/>
      <c r="AB28" s="386"/>
      <c r="AC28" s="386"/>
      <c r="AD28" s="386"/>
      <c r="AE28" s="386"/>
      <c r="AF28" s="386"/>
      <c r="AG28" s="386"/>
    </row>
    <row r="29" spans="1:33" ht="15.75">
      <c r="A29" s="173" t="s">
        <v>49</v>
      </c>
      <c r="B29" s="17"/>
      <c r="C29" s="299">
        <f>C23*C19/1000</f>
        <v>937.38256180957399</v>
      </c>
      <c r="D29" s="299">
        <f>D23*D19/1000</f>
        <v>544.13967175066318</v>
      </c>
      <c r="E29" s="299">
        <f>E23*E19/1000</f>
        <v>410.26984000000004</v>
      </c>
      <c r="F29" s="300"/>
      <c r="G29" s="299">
        <f>G23*G19/1000</f>
        <v>799.4874296783845</v>
      </c>
      <c r="H29" s="299">
        <f>H23*H19/1000</f>
        <v>1383.9381655686559</v>
      </c>
      <c r="I29" s="299">
        <f>I23*I19/1000</f>
        <v>4004</v>
      </c>
      <c r="J29" s="382"/>
      <c r="K29" s="459"/>
      <c r="L29" s="7"/>
      <c r="M29" s="386"/>
      <c r="N29" s="386"/>
      <c r="O29" s="386"/>
      <c r="P29" s="386"/>
      <c r="Q29" s="386"/>
      <c r="R29" s="386"/>
      <c r="S29" s="386"/>
      <c r="T29" s="386"/>
      <c r="U29" s="386"/>
      <c r="V29" s="386"/>
      <c r="W29" s="386"/>
      <c r="X29" s="386"/>
      <c r="Y29" s="386"/>
      <c r="Z29" s="386"/>
      <c r="AA29" s="386"/>
      <c r="AB29" s="386"/>
      <c r="AC29" s="386"/>
      <c r="AD29" s="386"/>
      <c r="AE29" s="386"/>
      <c r="AF29" s="386"/>
      <c r="AG29" s="386"/>
    </row>
    <row r="30" spans="1:33" ht="15.75">
      <c r="A30" s="173" t="s">
        <v>261</v>
      </c>
      <c r="B30" s="386"/>
      <c r="C30" s="299">
        <f>C24*C11*C8/1000</f>
        <v>450</v>
      </c>
      <c r="D30" s="299">
        <f>D24*D11*D8/1000</f>
        <v>450</v>
      </c>
      <c r="E30" s="299">
        <f>E24*E11*E8/1000</f>
        <v>450</v>
      </c>
      <c r="F30" s="386"/>
      <c r="G30" s="299">
        <f>G24*G11*G8/1000</f>
        <v>337.5</v>
      </c>
      <c r="H30" s="299">
        <f>H24*H11*H8/1000</f>
        <v>450</v>
      </c>
      <c r="I30" s="299">
        <f>I24*I11*I8/1000</f>
        <v>600</v>
      </c>
      <c r="J30" s="386"/>
      <c r="K30" s="470"/>
      <c r="L30" s="17"/>
      <c r="M30" s="386"/>
      <c r="N30" s="386"/>
      <c r="O30" s="386"/>
      <c r="P30" s="386"/>
      <c r="Q30" s="386"/>
      <c r="R30" s="386"/>
      <c r="S30" s="386"/>
      <c r="T30" s="386"/>
      <c r="U30" s="386"/>
      <c r="V30" s="386"/>
      <c r="W30" s="386"/>
      <c r="X30" s="386"/>
      <c r="Y30" s="386"/>
      <c r="Z30" s="386"/>
      <c r="AA30" s="386"/>
      <c r="AB30" s="386"/>
      <c r="AC30" s="386"/>
      <c r="AD30" s="386"/>
      <c r="AE30" s="386"/>
      <c r="AF30" s="386"/>
      <c r="AG30" s="386"/>
    </row>
    <row r="31" spans="1:33" ht="15.75">
      <c r="A31" s="173" t="s">
        <v>112</v>
      </c>
      <c r="B31" s="17"/>
      <c r="C31" s="381">
        <v>0</v>
      </c>
      <c r="D31" s="381">
        <v>0</v>
      </c>
      <c r="E31" s="381">
        <v>0</v>
      </c>
      <c r="F31" s="300"/>
      <c r="G31" s="381">
        <v>0</v>
      </c>
      <c r="H31" s="381">
        <v>0</v>
      </c>
      <c r="I31" s="381">
        <v>0</v>
      </c>
      <c r="J31" s="382"/>
      <c r="K31" s="459"/>
      <c r="L31" s="7"/>
      <c r="M31" s="386"/>
      <c r="N31" s="386"/>
      <c r="O31" s="386"/>
      <c r="P31" s="386"/>
      <c r="Q31" s="386"/>
      <c r="R31" s="386"/>
      <c r="S31" s="386"/>
      <c r="T31" s="386"/>
      <c r="U31" s="386"/>
      <c r="V31" s="386"/>
      <c r="W31" s="386"/>
      <c r="X31" s="386"/>
      <c r="Y31" s="386"/>
      <c r="Z31" s="386"/>
      <c r="AA31" s="386"/>
      <c r="AB31" s="386"/>
      <c r="AC31" s="386"/>
      <c r="AD31" s="386"/>
      <c r="AE31" s="386"/>
      <c r="AF31" s="386"/>
      <c r="AG31" s="386"/>
    </row>
    <row r="32" spans="1:33" ht="15.75">
      <c r="A32" s="173" t="s">
        <v>113</v>
      </c>
      <c r="B32" s="17"/>
      <c r="C32" s="381">
        <v>431.78516666666667</v>
      </c>
      <c r="D32" s="381">
        <v>410.9306666666667</v>
      </c>
      <c r="E32" s="381">
        <v>362.67216666666667</v>
      </c>
      <c r="F32" s="300"/>
      <c r="G32" s="381">
        <v>322.2511428571429</v>
      </c>
      <c r="H32" s="381">
        <v>306.26771428571425</v>
      </c>
      <c r="I32" s="381">
        <v>400.64714285714285</v>
      </c>
      <c r="J32" s="382"/>
      <c r="K32" s="459"/>
      <c r="L32" s="7"/>
      <c r="M32" s="386"/>
      <c r="N32" s="386"/>
      <c r="O32" s="386"/>
      <c r="P32" s="386"/>
      <c r="Q32" s="386"/>
      <c r="R32" s="386"/>
      <c r="S32" s="386"/>
      <c r="T32" s="386"/>
      <c r="U32" s="386"/>
      <c r="V32" s="386"/>
      <c r="W32" s="386"/>
      <c r="X32" s="386"/>
      <c r="Y32" s="386"/>
      <c r="Z32" s="386"/>
      <c r="AA32" s="386"/>
      <c r="AB32" s="386"/>
      <c r="AC32" s="386"/>
      <c r="AD32" s="386"/>
      <c r="AE32" s="386"/>
      <c r="AF32" s="386"/>
      <c r="AG32" s="386"/>
    </row>
    <row r="33" spans="1:33" ht="16.5" thickBot="1">
      <c r="A33" s="175" t="s">
        <v>190</v>
      </c>
      <c r="B33" s="31"/>
      <c r="C33" s="479">
        <f>-Brownsville!B57</f>
        <v>250</v>
      </c>
      <c r="D33" s="479">
        <f>-Caledonia!B57</f>
        <v>591.20000000000005</v>
      </c>
      <c r="E33" s="479">
        <f>-'New Albany'!B57</f>
        <v>488.8</v>
      </c>
      <c r="F33" s="479"/>
      <c r="G33" s="479">
        <f>-Gleason!B57</f>
        <v>92.2251014</v>
      </c>
      <c r="H33" s="479">
        <f>-Wheatland!B57</f>
        <v>203.273</v>
      </c>
      <c r="I33" s="479">
        <f>-Wilton!B57</f>
        <v>333.7</v>
      </c>
      <c r="J33" s="31"/>
      <c r="K33" s="142"/>
      <c r="L33" s="7"/>
      <c r="M33" s="386"/>
      <c r="N33" s="386"/>
      <c r="O33" s="386"/>
      <c r="P33" s="386"/>
      <c r="Q33" s="386"/>
      <c r="R33" s="386"/>
      <c r="S33" s="386"/>
      <c r="T33" s="386"/>
      <c r="U33" s="386"/>
      <c r="V33" s="386"/>
      <c r="W33" s="386"/>
      <c r="X33" s="386"/>
      <c r="Y33" s="386"/>
      <c r="Z33" s="386"/>
      <c r="AA33" s="386"/>
      <c r="AB33" s="386"/>
      <c r="AC33" s="386"/>
      <c r="AD33" s="386"/>
      <c r="AE33" s="386"/>
      <c r="AF33" s="386"/>
      <c r="AG33" s="386"/>
    </row>
    <row r="34" spans="1:33">
      <c r="L34" s="7"/>
      <c r="M34" s="386"/>
      <c r="N34" s="386"/>
      <c r="O34" s="386"/>
      <c r="P34" s="386"/>
      <c r="Q34" s="386"/>
      <c r="R34" s="386"/>
      <c r="S34" s="386"/>
      <c r="T34" s="386"/>
      <c r="U34" s="386"/>
      <c r="V34" s="386"/>
      <c r="W34" s="386"/>
      <c r="X34" s="386"/>
      <c r="Y34" s="386"/>
      <c r="Z34" s="386"/>
      <c r="AA34" s="386"/>
      <c r="AB34" s="386"/>
      <c r="AC34" s="386"/>
      <c r="AD34" s="386"/>
      <c r="AE34" s="386"/>
      <c r="AF34" s="386"/>
      <c r="AG34" s="386"/>
    </row>
    <row r="35" spans="1:33" ht="13.5" thickBo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7"/>
      <c r="M35" s="386"/>
      <c r="N35" s="386"/>
      <c r="O35" s="386"/>
      <c r="P35" s="386"/>
      <c r="Q35" s="386"/>
      <c r="R35" s="386"/>
      <c r="S35" s="386"/>
      <c r="T35" s="386"/>
      <c r="U35" s="386"/>
      <c r="V35" s="386"/>
      <c r="W35" s="386"/>
      <c r="X35" s="386"/>
      <c r="Y35" s="386"/>
      <c r="Z35" s="386"/>
      <c r="AA35" s="386"/>
      <c r="AB35" s="386"/>
      <c r="AC35" s="386"/>
      <c r="AD35" s="386"/>
      <c r="AE35" s="386"/>
      <c r="AF35" s="386"/>
      <c r="AG35" s="386"/>
    </row>
    <row r="36" spans="1:33" ht="15.75">
      <c r="A36" s="164" t="s">
        <v>36</v>
      </c>
      <c r="B36" s="185"/>
      <c r="C36" s="364"/>
      <c r="D36" s="364"/>
      <c r="E36" s="364"/>
      <c r="F36" s="365"/>
      <c r="G36" s="364"/>
      <c r="H36" s="364"/>
      <c r="I36" s="364"/>
      <c r="J36" s="364"/>
      <c r="K36" s="366"/>
      <c r="L36" s="7"/>
      <c r="M36" s="386"/>
      <c r="N36" s="386"/>
      <c r="O36" s="386"/>
      <c r="P36" s="386"/>
      <c r="Q36" s="386"/>
      <c r="R36" s="386"/>
      <c r="S36" s="386"/>
      <c r="T36" s="386"/>
      <c r="U36" s="386"/>
      <c r="V36" s="386"/>
      <c r="W36" s="386"/>
      <c r="X36" s="386"/>
      <c r="Y36" s="386"/>
      <c r="Z36" s="386"/>
      <c r="AA36" s="386"/>
      <c r="AB36" s="386"/>
      <c r="AC36" s="386"/>
      <c r="AD36" s="386"/>
      <c r="AE36" s="386"/>
      <c r="AF36" s="386"/>
      <c r="AG36" s="386"/>
    </row>
    <row r="37" spans="1:33" ht="15.75">
      <c r="A37" s="173"/>
      <c r="B37" s="169"/>
      <c r="C37" s="363"/>
      <c r="D37" s="363"/>
      <c r="E37" s="363"/>
      <c r="F37" s="247"/>
      <c r="G37" s="363"/>
      <c r="H37" s="363"/>
      <c r="I37" s="363"/>
      <c r="J37" s="363"/>
      <c r="K37" s="367"/>
      <c r="L37" s="7"/>
      <c r="M37" s="386"/>
      <c r="N37" s="386"/>
      <c r="O37" s="386"/>
      <c r="P37" s="386"/>
      <c r="Q37" s="386"/>
      <c r="R37" s="386"/>
      <c r="S37" s="386"/>
      <c r="T37" s="386"/>
      <c r="U37" s="386"/>
      <c r="V37" s="386"/>
      <c r="W37" s="386"/>
      <c r="X37" s="386"/>
      <c r="Y37" s="386"/>
      <c r="Z37" s="386"/>
      <c r="AA37" s="386"/>
      <c r="AB37" s="386"/>
      <c r="AC37" s="386"/>
      <c r="AD37" s="386"/>
      <c r="AE37" s="386"/>
      <c r="AF37" s="386"/>
      <c r="AG37" s="386"/>
    </row>
    <row r="38" spans="1:33" ht="15.75">
      <c r="A38" s="173" t="s">
        <v>38</v>
      </c>
      <c r="B38" s="169"/>
      <c r="C38" s="290">
        <v>0.35</v>
      </c>
      <c r="D38" s="290">
        <v>0.35</v>
      </c>
      <c r="E38" s="290">
        <v>0.35</v>
      </c>
      <c r="F38" s="247"/>
      <c r="G38" s="290">
        <v>0.35</v>
      </c>
      <c r="H38" s="290">
        <v>0.35</v>
      </c>
      <c r="I38" s="290">
        <v>0.35</v>
      </c>
      <c r="J38" s="360"/>
      <c r="K38" s="361">
        <v>0.35</v>
      </c>
      <c r="L38" s="7"/>
      <c r="M38" s="386"/>
      <c r="N38" s="386"/>
      <c r="O38" s="386"/>
      <c r="P38" s="386"/>
      <c r="Q38" s="386"/>
      <c r="R38" s="386"/>
      <c r="S38" s="386"/>
      <c r="T38" s="386"/>
      <c r="U38" s="386"/>
      <c r="V38" s="386"/>
      <c r="W38" s="386"/>
      <c r="X38" s="386"/>
      <c r="Y38" s="386"/>
      <c r="Z38" s="386"/>
      <c r="AA38" s="386"/>
      <c r="AB38" s="386"/>
      <c r="AC38" s="386"/>
      <c r="AD38" s="386"/>
      <c r="AE38" s="386"/>
      <c r="AF38" s="386"/>
      <c r="AG38" s="386"/>
    </row>
    <row r="39" spans="1:33" ht="15.75">
      <c r="A39" s="173" t="s">
        <v>39</v>
      </c>
      <c r="B39" s="169"/>
      <c r="C39" s="357">
        <v>0.06</v>
      </c>
      <c r="D39" s="357">
        <v>0.05</v>
      </c>
      <c r="E39" s="357">
        <v>0.05</v>
      </c>
      <c r="F39" s="247"/>
      <c r="G39" s="357">
        <v>0.06</v>
      </c>
      <c r="H39" s="357">
        <v>4.4999999999999998E-2</v>
      </c>
      <c r="I39" s="357">
        <v>7.1800000000000003E-2</v>
      </c>
      <c r="J39" s="257"/>
      <c r="K39" s="296"/>
      <c r="L39" s="7"/>
      <c r="M39" s="386"/>
      <c r="N39" s="386"/>
      <c r="O39" s="386"/>
      <c r="P39" s="386"/>
      <c r="Q39" s="386"/>
      <c r="R39" s="386"/>
      <c r="S39" s="386"/>
      <c r="T39" s="386"/>
      <c r="U39" s="386"/>
      <c r="V39" s="386"/>
      <c r="W39" s="386"/>
      <c r="X39" s="386"/>
      <c r="Y39" s="386"/>
      <c r="Z39" s="386"/>
      <c r="AA39" s="386"/>
      <c r="AB39" s="386"/>
      <c r="AC39" s="386"/>
      <c r="AD39" s="386"/>
      <c r="AE39" s="386"/>
      <c r="AF39" s="386"/>
      <c r="AG39" s="386"/>
    </row>
    <row r="40" spans="1:33" ht="15.75">
      <c r="A40" s="173" t="s">
        <v>87</v>
      </c>
      <c r="B40" s="386"/>
      <c r="C40" s="357" t="s">
        <v>40</v>
      </c>
      <c r="D40" s="357" t="s">
        <v>40</v>
      </c>
      <c r="E40" s="357" t="s">
        <v>40</v>
      </c>
      <c r="F40" s="247"/>
      <c r="G40" s="357" t="s">
        <v>40</v>
      </c>
      <c r="H40" s="357">
        <v>3.4000000000000002E-2</v>
      </c>
      <c r="I40" s="357" t="s">
        <v>40</v>
      </c>
      <c r="J40" s="257"/>
      <c r="K40" s="296"/>
      <c r="L40" s="7"/>
      <c r="M40" s="386"/>
      <c r="N40" s="386"/>
      <c r="O40" s="386"/>
      <c r="P40" s="386"/>
      <c r="Q40" s="386"/>
      <c r="R40" s="386"/>
      <c r="S40" s="386"/>
      <c r="T40" s="386"/>
      <c r="U40" s="386"/>
      <c r="V40" s="386"/>
      <c r="W40" s="386"/>
      <c r="X40" s="386"/>
      <c r="Y40" s="386"/>
      <c r="Z40" s="386"/>
      <c r="AA40" s="386"/>
      <c r="AB40" s="386"/>
      <c r="AC40" s="386"/>
      <c r="AD40" s="386"/>
      <c r="AE40" s="386"/>
      <c r="AF40" s="386"/>
      <c r="AG40" s="386"/>
    </row>
    <row r="41" spans="1:33" ht="15.75">
      <c r="A41" s="173" t="s">
        <v>176</v>
      </c>
      <c r="B41" s="386"/>
      <c r="C41" s="357" t="s">
        <v>40</v>
      </c>
      <c r="D41" s="357" t="s">
        <v>40</v>
      </c>
      <c r="E41" s="357" t="s">
        <v>40</v>
      </c>
      <c r="F41" s="247"/>
      <c r="G41" s="357" t="s">
        <v>40</v>
      </c>
      <c r="H41" s="357">
        <v>1.2E-2</v>
      </c>
      <c r="I41" s="357" t="s">
        <v>40</v>
      </c>
      <c r="J41" s="359"/>
      <c r="K41" s="456"/>
      <c r="L41" s="7"/>
      <c r="M41" s="386"/>
      <c r="N41" s="386"/>
      <c r="O41" s="386"/>
      <c r="P41" s="386"/>
      <c r="Q41" s="386"/>
      <c r="R41" s="386"/>
      <c r="S41" s="386"/>
      <c r="T41" s="386"/>
      <c r="U41" s="386"/>
      <c r="V41" s="386"/>
      <c r="W41" s="386"/>
      <c r="X41" s="386"/>
      <c r="Y41" s="386"/>
      <c r="Z41" s="386"/>
      <c r="AA41" s="386"/>
      <c r="AB41" s="386"/>
      <c r="AC41" s="386"/>
      <c r="AD41" s="386"/>
      <c r="AE41" s="386"/>
      <c r="AF41" s="386"/>
      <c r="AG41" s="386"/>
    </row>
    <row r="42" spans="1:33" ht="15.75">
      <c r="A42" s="173" t="s">
        <v>179</v>
      </c>
      <c r="B42" s="169"/>
      <c r="C42" s="357">
        <v>2.5000000000000001E-3</v>
      </c>
      <c r="D42" s="357">
        <v>2.5000000000000001E-3</v>
      </c>
      <c r="E42" s="357">
        <v>2.5000000000000001E-3</v>
      </c>
      <c r="F42" s="247"/>
      <c r="G42" s="357">
        <v>2.5000000000000001E-3</v>
      </c>
      <c r="H42" s="357" t="s">
        <v>40</v>
      </c>
      <c r="I42" s="357">
        <v>1.5E-3</v>
      </c>
      <c r="J42" s="359"/>
      <c r="K42" s="456"/>
      <c r="L42" s="17"/>
      <c r="M42" s="386"/>
      <c r="N42" s="386"/>
      <c r="O42" s="386"/>
      <c r="P42" s="386"/>
      <c r="Q42" s="386"/>
      <c r="R42" s="386"/>
      <c r="S42" s="386"/>
      <c r="T42" s="386"/>
      <c r="U42" s="386"/>
      <c r="V42" s="386"/>
      <c r="W42" s="386"/>
      <c r="X42" s="386"/>
      <c r="Y42" s="386"/>
      <c r="Z42" s="386"/>
      <c r="AA42" s="386"/>
      <c r="AB42" s="386"/>
      <c r="AC42" s="386"/>
      <c r="AD42" s="386"/>
      <c r="AE42" s="386"/>
      <c r="AF42" s="386"/>
      <c r="AG42" s="386"/>
    </row>
    <row r="43" spans="1:33" ht="16.5" thickBot="1">
      <c r="A43" s="175" t="s">
        <v>180</v>
      </c>
      <c r="B43" s="176"/>
      <c r="C43" s="368">
        <v>2.5000000000000001E-3</v>
      </c>
      <c r="D43" s="368">
        <v>2.5000000000000001E-3</v>
      </c>
      <c r="E43" s="368">
        <v>2.5000000000000001E-3</v>
      </c>
      <c r="F43" s="369"/>
      <c r="G43" s="368">
        <v>2.5000000000000001E-3</v>
      </c>
      <c r="H43" s="368" t="s">
        <v>40</v>
      </c>
      <c r="I43" s="368">
        <v>1E-3</v>
      </c>
      <c r="J43" s="31"/>
      <c r="K43" s="142"/>
      <c r="L43" s="7"/>
      <c r="M43" s="386"/>
      <c r="N43" s="386"/>
      <c r="O43" s="386"/>
      <c r="P43" s="386"/>
      <c r="Q43" s="386"/>
      <c r="R43" s="386"/>
      <c r="S43" s="386"/>
      <c r="T43" s="386"/>
      <c r="U43" s="386"/>
      <c r="V43" s="386"/>
      <c r="W43" s="386"/>
      <c r="X43" s="386"/>
      <c r="Y43" s="386"/>
      <c r="Z43" s="386"/>
      <c r="AA43" s="386"/>
      <c r="AB43" s="386"/>
      <c r="AC43" s="386"/>
      <c r="AD43" s="386"/>
      <c r="AE43" s="386"/>
      <c r="AF43" s="386"/>
      <c r="AG43" s="386"/>
    </row>
    <row r="44" spans="1:33" ht="15.75">
      <c r="A44" s="169"/>
      <c r="B44" s="17"/>
      <c r="C44" s="300"/>
      <c r="D44" s="300"/>
      <c r="E44" s="300"/>
      <c r="F44" s="300"/>
      <c r="G44" s="300"/>
      <c r="H44" s="300"/>
      <c r="I44" s="300"/>
      <c r="J44" s="382"/>
      <c r="K44" s="382"/>
      <c r="L44" s="7"/>
      <c r="M44" s="386"/>
      <c r="N44" s="386"/>
      <c r="O44" s="386"/>
      <c r="P44" s="386"/>
      <c r="Q44" s="386"/>
      <c r="R44" s="386"/>
      <c r="S44" s="386"/>
      <c r="T44" s="386"/>
      <c r="U44" s="386"/>
      <c r="V44" s="386"/>
      <c r="W44" s="386"/>
      <c r="X44" s="386"/>
      <c r="Y44" s="386"/>
      <c r="Z44" s="386"/>
      <c r="AA44" s="386"/>
      <c r="AB44" s="386"/>
      <c r="AC44" s="386"/>
      <c r="AD44" s="386"/>
      <c r="AE44" s="386"/>
      <c r="AF44" s="386"/>
      <c r="AG44" s="386"/>
    </row>
    <row r="45" spans="1:33" ht="15.75">
      <c r="A45" s="169"/>
      <c r="B45" s="17"/>
      <c r="C45" s="300"/>
      <c r="D45" s="482"/>
      <c r="E45" s="469"/>
      <c r="F45" s="300"/>
      <c r="G45" s="300"/>
      <c r="H45" s="300"/>
      <c r="I45" s="300"/>
      <c r="J45" s="382"/>
      <c r="K45" s="382"/>
      <c r="L45" s="7"/>
      <c r="M45" s="386"/>
      <c r="N45" s="386"/>
      <c r="O45" s="386"/>
      <c r="P45" s="386"/>
      <c r="Q45" s="386"/>
      <c r="R45" s="386"/>
      <c r="S45" s="386"/>
      <c r="T45" s="386"/>
      <c r="U45" s="386"/>
      <c r="V45" s="386"/>
      <c r="W45" s="386"/>
      <c r="X45" s="386"/>
      <c r="Y45" s="386"/>
      <c r="Z45" s="386"/>
      <c r="AA45" s="386"/>
      <c r="AB45" s="386"/>
      <c r="AC45" s="386"/>
      <c r="AD45" s="386"/>
      <c r="AE45" s="386"/>
      <c r="AF45" s="386"/>
      <c r="AG45" s="386"/>
    </row>
    <row r="46" spans="1:33" ht="15.75">
      <c r="A46" s="477"/>
      <c r="B46" s="50"/>
      <c r="C46" s="478"/>
      <c r="D46" s="300"/>
      <c r="E46" s="300"/>
      <c r="F46" s="300"/>
      <c r="G46" s="300"/>
      <c r="H46" s="300"/>
      <c r="I46" s="300"/>
      <c r="J46" s="17"/>
      <c r="K46" s="17"/>
      <c r="L46" s="7"/>
      <c r="M46" s="386"/>
      <c r="N46" s="386"/>
      <c r="O46" s="386"/>
      <c r="P46" s="386"/>
      <c r="Q46" s="386"/>
      <c r="R46" s="386"/>
      <c r="S46" s="386"/>
      <c r="T46" s="386"/>
      <c r="U46" s="386"/>
      <c r="V46" s="386"/>
      <c r="W46" s="386"/>
      <c r="X46" s="386"/>
      <c r="Y46" s="386"/>
      <c r="Z46" s="386"/>
      <c r="AA46" s="386"/>
      <c r="AB46" s="386"/>
      <c r="AC46" s="386"/>
      <c r="AD46" s="386"/>
      <c r="AE46" s="386"/>
      <c r="AF46" s="386"/>
      <c r="AG46" s="386"/>
    </row>
    <row r="47" spans="1:33" ht="15.75">
      <c r="A47" s="169" t="s">
        <v>212</v>
      </c>
      <c r="B47" s="17"/>
      <c r="C47" s="300"/>
      <c r="D47" s="300"/>
      <c r="E47" s="300"/>
      <c r="F47" s="300"/>
      <c r="G47" s="300"/>
      <c r="H47" s="300"/>
      <c r="I47" s="300"/>
      <c r="J47" s="17"/>
      <c r="K47" s="17"/>
      <c r="L47" s="7"/>
      <c r="M47" s="386"/>
      <c r="N47" s="386"/>
      <c r="O47" s="386"/>
      <c r="P47" s="386"/>
      <c r="Q47" s="386"/>
      <c r="R47" s="386"/>
      <c r="S47" s="386"/>
      <c r="T47" s="386"/>
      <c r="U47" s="386"/>
      <c r="V47" s="386"/>
      <c r="W47" s="386"/>
      <c r="X47" s="386"/>
      <c r="Y47" s="386"/>
      <c r="Z47" s="386"/>
      <c r="AA47" s="386"/>
      <c r="AB47" s="386"/>
      <c r="AC47" s="386"/>
      <c r="AD47" s="386"/>
      <c r="AE47" s="386"/>
      <c r="AF47" s="386"/>
      <c r="AG47" s="386"/>
    </row>
    <row r="48" spans="1:33">
      <c r="A48" s="17"/>
      <c r="B48" s="17"/>
      <c r="C48" s="382"/>
      <c r="D48" s="382"/>
      <c r="E48" s="382"/>
      <c r="F48" s="382"/>
      <c r="G48" s="382"/>
      <c r="H48" s="382"/>
      <c r="I48" s="382"/>
      <c r="J48" s="382"/>
      <c r="K48" s="382"/>
      <c r="L48" s="7"/>
      <c r="M48" s="386"/>
      <c r="N48" s="386"/>
      <c r="O48" s="386"/>
      <c r="P48" s="386"/>
      <c r="Q48" s="386"/>
      <c r="R48" s="386"/>
      <c r="S48" s="386"/>
      <c r="T48" s="386"/>
      <c r="U48" s="386"/>
      <c r="V48" s="386"/>
      <c r="W48" s="386"/>
      <c r="X48" s="386"/>
      <c r="Y48" s="386"/>
      <c r="Z48" s="386"/>
      <c r="AA48" s="386"/>
      <c r="AB48" s="386"/>
      <c r="AC48" s="386"/>
      <c r="AD48" s="386"/>
      <c r="AE48" s="386"/>
      <c r="AF48" s="386"/>
      <c r="AG48" s="386"/>
    </row>
    <row r="49" spans="1:33">
      <c r="L49" s="7"/>
      <c r="M49" s="386"/>
      <c r="N49" s="386"/>
      <c r="O49" s="386"/>
      <c r="P49" s="386"/>
      <c r="Q49" s="386"/>
      <c r="R49" s="386"/>
      <c r="S49" s="386"/>
      <c r="T49" s="386"/>
      <c r="U49" s="386"/>
      <c r="V49" s="386"/>
      <c r="W49" s="386"/>
      <c r="X49" s="386"/>
      <c r="Y49" s="386"/>
      <c r="Z49" s="386"/>
      <c r="AA49" s="386"/>
      <c r="AB49" s="386"/>
      <c r="AC49" s="386"/>
      <c r="AD49" s="386"/>
      <c r="AE49" s="386"/>
      <c r="AF49" s="386"/>
      <c r="AG49" s="386"/>
    </row>
    <row r="50" spans="1:33">
      <c r="A50" s="17"/>
      <c r="B50" s="17"/>
      <c r="C50" s="382"/>
      <c r="D50" s="382"/>
      <c r="E50" s="382"/>
      <c r="F50" s="382"/>
      <c r="G50" s="382"/>
      <c r="H50" s="382"/>
      <c r="I50" s="382"/>
      <c r="J50" s="382"/>
      <c r="K50" s="382"/>
      <c r="L50" s="7"/>
      <c r="M50" s="386"/>
      <c r="N50" s="386"/>
      <c r="O50" s="386"/>
      <c r="P50" s="386"/>
      <c r="Q50" s="386"/>
      <c r="R50" s="386"/>
      <c r="S50" s="386"/>
      <c r="T50" s="386"/>
      <c r="U50" s="386"/>
      <c r="V50" s="386"/>
      <c r="W50" s="386"/>
      <c r="X50" s="386"/>
      <c r="Y50" s="386"/>
      <c r="Z50" s="386"/>
      <c r="AA50" s="386"/>
      <c r="AB50" s="386"/>
      <c r="AC50" s="386"/>
      <c r="AD50" s="386"/>
      <c r="AE50" s="386"/>
      <c r="AF50" s="386"/>
      <c r="AG50" s="386"/>
    </row>
    <row r="51" spans="1:33">
      <c r="L51" s="7"/>
      <c r="M51" s="386"/>
      <c r="N51" s="386"/>
      <c r="O51" s="386"/>
      <c r="P51" s="386"/>
      <c r="Q51" s="386"/>
      <c r="R51" s="386"/>
      <c r="S51" s="386"/>
      <c r="T51" s="386"/>
      <c r="U51" s="386"/>
      <c r="V51" s="386"/>
      <c r="W51" s="386"/>
      <c r="X51" s="386"/>
      <c r="Y51" s="386"/>
      <c r="Z51" s="386"/>
      <c r="AA51" s="386"/>
      <c r="AB51" s="386"/>
      <c r="AC51" s="386"/>
      <c r="AD51" s="386"/>
      <c r="AE51" s="386"/>
      <c r="AF51" s="386"/>
      <c r="AG51" s="386"/>
    </row>
    <row r="52" spans="1:33">
      <c r="L52" s="145"/>
      <c r="M52" s="386"/>
      <c r="N52" s="386"/>
      <c r="O52" s="386"/>
      <c r="P52" s="386"/>
      <c r="Q52" s="386"/>
      <c r="R52" s="386"/>
      <c r="S52" s="386"/>
      <c r="T52" s="386"/>
      <c r="U52" s="386"/>
      <c r="V52" s="386"/>
      <c r="W52" s="386"/>
      <c r="X52" s="386"/>
      <c r="Y52" s="386"/>
      <c r="Z52" s="386"/>
      <c r="AA52" s="386"/>
      <c r="AB52" s="386"/>
      <c r="AC52" s="386"/>
      <c r="AD52" s="386"/>
      <c r="AE52" s="386"/>
      <c r="AF52" s="386"/>
      <c r="AG52" s="386"/>
    </row>
    <row r="53" spans="1:33">
      <c r="L53" s="451"/>
      <c r="M53" s="386"/>
      <c r="N53" s="386"/>
      <c r="O53" s="386"/>
      <c r="P53" s="386"/>
      <c r="Q53" s="386"/>
      <c r="R53" s="386"/>
      <c r="S53" s="386"/>
      <c r="T53" s="386"/>
      <c r="U53" s="386"/>
      <c r="V53" s="386"/>
      <c r="W53" s="386"/>
      <c r="X53" s="386"/>
      <c r="Y53" s="386"/>
      <c r="Z53" s="386"/>
      <c r="AA53" s="386"/>
      <c r="AB53" s="386"/>
      <c r="AC53" s="386"/>
      <c r="AD53" s="386"/>
      <c r="AE53" s="386"/>
      <c r="AF53" s="386"/>
      <c r="AG53" s="386"/>
    </row>
    <row r="54" spans="1:33">
      <c r="A54" s="86"/>
      <c r="B54" s="17"/>
      <c r="C54" s="382"/>
      <c r="D54" s="382"/>
      <c r="E54" s="382"/>
      <c r="F54" s="382"/>
      <c r="G54" s="382"/>
      <c r="H54" s="382"/>
      <c r="I54" s="382"/>
      <c r="J54" s="382"/>
      <c r="K54" s="382"/>
      <c r="L54" s="451"/>
      <c r="M54" s="386"/>
      <c r="N54" s="386"/>
      <c r="O54" s="386"/>
      <c r="P54" s="386"/>
      <c r="Q54" s="386"/>
      <c r="R54" s="386"/>
      <c r="S54" s="386"/>
      <c r="T54" s="386"/>
      <c r="U54" s="386"/>
      <c r="V54" s="386"/>
      <c r="W54" s="386"/>
      <c r="X54" s="386"/>
      <c r="Y54" s="386"/>
      <c r="Z54" s="386"/>
      <c r="AA54" s="386"/>
      <c r="AB54" s="386"/>
      <c r="AC54" s="386"/>
      <c r="AD54" s="386"/>
      <c r="AE54" s="386"/>
      <c r="AF54" s="386"/>
      <c r="AG54" s="386"/>
    </row>
    <row r="55" spans="1:33">
      <c r="A55" s="386"/>
      <c r="B55" s="386"/>
      <c r="C55" s="386"/>
      <c r="D55" s="386"/>
      <c r="E55" s="386"/>
      <c r="F55" s="386"/>
      <c r="G55" s="386"/>
      <c r="H55" s="386"/>
      <c r="I55" s="386"/>
      <c r="J55" s="386"/>
      <c r="K55" s="386"/>
      <c r="L55" s="451"/>
      <c r="M55" s="386"/>
      <c r="N55" s="386"/>
      <c r="O55" s="386"/>
      <c r="P55" s="386"/>
      <c r="Q55" s="386"/>
      <c r="R55" s="386"/>
      <c r="S55" s="386"/>
      <c r="T55" s="386"/>
      <c r="U55" s="386"/>
      <c r="V55" s="386"/>
      <c r="W55" s="386"/>
      <c r="X55" s="386"/>
      <c r="Y55" s="386"/>
      <c r="Z55" s="386"/>
      <c r="AA55" s="386"/>
      <c r="AB55" s="386"/>
      <c r="AC55" s="386"/>
      <c r="AD55" s="386"/>
      <c r="AE55" s="386"/>
      <c r="AF55" s="386"/>
      <c r="AG55" s="386"/>
    </row>
    <row r="56" spans="1:33">
      <c r="A56" s="386"/>
      <c r="B56" s="386"/>
      <c r="C56" s="386"/>
      <c r="D56" s="386"/>
      <c r="E56" s="386"/>
      <c r="F56" s="386"/>
      <c r="G56" s="386"/>
      <c r="H56" s="386"/>
      <c r="I56" s="386"/>
      <c r="J56" s="386"/>
      <c r="K56" s="386"/>
      <c r="L56" s="451"/>
      <c r="M56" s="386"/>
      <c r="N56" s="386"/>
      <c r="O56" s="386"/>
      <c r="P56" s="386"/>
      <c r="Q56" s="386"/>
      <c r="R56" s="386"/>
      <c r="S56" s="386"/>
      <c r="T56" s="386"/>
      <c r="U56" s="386"/>
      <c r="V56" s="386"/>
      <c r="W56" s="386"/>
      <c r="X56" s="386"/>
      <c r="Y56" s="386"/>
      <c r="Z56" s="386"/>
      <c r="AA56" s="386"/>
      <c r="AB56" s="386"/>
      <c r="AC56" s="386"/>
      <c r="AD56" s="386"/>
      <c r="AE56" s="386"/>
      <c r="AF56" s="386"/>
      <c r="AG56" s="386"/>
    </row>
    <row r="57" spans="1:33">
      <c r="A57" s="386"/>
      <c r="B57" s="386"/>
      <c r="C57" s="386"/>
      <c r="D57" s="386"/>
      <c r="E57" s="386"/>
      <c r="F57" s="386"/>
      <c r="G57" s="386"/>
      <c r="H57" s="386"/>
      <c r="I57" s="386"/>
      <c r="J57" s="386"/>
      <c r="K57" s="386"/>
      <c r="L57" s="451"/>
      <c r="M57" s="386"/>
      <c r="N57" s="386"/>
      <c r="O57" s="386"/>
      <c r="P57" s="386"/>
      <c r="Q57" s="386"/>
      <c r="R57" s="386"/>
      <c r="S57" s="386"/>
      <c r="T57" s="386"/>
      <c r="U57" s="386"/>
      <c r="V57" s="386"/>
      <c r="W57" s="386"/>
      <c r="X57" s="386"/>
      <c r="Y57" s="386"/>
      <c r="Z57" s="386"/>
      <c r="AA57" s="386"/>
      <c r="AB57" s="386"/>
      <c r="AC57" s="386"/>
      <c r="AD57" s="386"/>
      <c r="AE57" s="386"/>
      <c r="AF57" s="386"/>
      <c r="AG57" s="386"/>
    </row>
    <row r="58" spans="1:33">
      <c r="A58" s="386"/>
      <c r="B58" s="386"/>
      <c r="C58" s="386"/>
      <c r="D58" s="386"/>
      <c r="E58" s="386"/>
      <c r="F58" s="386"/>
      <c r="G58" s="386"/>
      <c r="H58" s="386"/>
      <c r="I58" s="386"/>
      <c r="J58" s="386"/>
      <c r="K58" s="386"/>
      <c r="L58" s="451"/>
      <c r="M58" s="386"/>
      <c r="N58" s="386"/>
      <c r="O58" s="386"/>
      <c r="P58" s="386"/>
      <c r="Q58" s="386"/>
      <c r="R58" s="386"/>
      <c r="S58" s="386"/>
      <c r="T58" s="386"/>
      <c r="U58" s="386"/>
      <c r="V58" s="386"/>
      <c r="W58" s="386"/>
      <c r="X58" s="386"/>
      <c r="Y58" s="386"/>
      <c r="Z58" s="386"/>
      <c r="AA58" s="386"/>
      <c r="AB58" s="386"/>
      <c r="AC58" s="386"/>
      <c r="AD58" s="386"/>
      <c r="AE58" s="386"/>
      <c r="AF58" s="386"/>
      <c r="AG58" s="386"/>
    </row>
    <row r="59" spans="1:33">
      <c r="A59" s="386"/>
      <c r="B59" s="386"/>
      <c r="C59" s="386"/>
      <c r="D59" s="386"/>
      <c r="E59" s="386"/>
      <c r="F59" s="386"/>
      <c r="G59" s="386"/>
      <c r="H59" s="386"/>
      <c r="I59" s="386"/>
      <c r="J59" s="386"/>
      <c r="K59" s="386"/>
      <c r="L59" s="451"/>
      <c r="M59" s="386"/>
      <c r="N59" s="386"/>
      <c r="O59" s="386"/>
      <c r="P59" s="386"/>
      <c r="Q59" s="386"/>
      <c r="R59" s="386"/>
      <c r="S59" s="386"/>
      <c r="T59" s="386"/>
      <c r="U59" s="386"/>
      <c r="V59" s="386"/>
      <c r="W59" s="386"/>
      <c r="X59" s="386"/>
      <c r="Y59" s="386"/>
      <c r="Z59" s="386"/>
      <c r="AA59" s="386"/>
      <c r="AB59" s="386"/>
      <c r="AC59" s="386"/>
      <c r="AD59" s="386"/>
      <c r="AE59" s="386"/>
      <c r="AF59" s="386"/>
      <c r="AG59" s="386"/>
    </row>
    <row r="60" spans="1:33">
      <c r="A60" s="386"/>
      <c r="B60" s="386"/>
      <c r="C60" s="386"/>
      <c r="D60" s="386"/>
      <c r="E60" s="386"/>
      <c r="F60" s="386"/>
      <c r="G60" s="386"/>
      <c r="H60" s="386"/>
      <c r="I60" s="386"/>
      <c r="J60" s="386"/>
      <c r="K60" s="386"/>
      <c r="L60" s="386"/>
      <c r="M60" s="386"/>
      <c r="N60" s="386"/>
      <c r="O60" s="386"/>
      <c r="P60" s="386"/>
      <c r="Q60" s="386"/>
      <c r="R60" s="386"/>
      <c r="S60" s="386"/>
      <c r="T60" s="386"/>
      <c r="U60" s="386"/>
      <c r="V60" s="386"/>
      <c r="W60" s="386"/>
      <c r="X60" s="386"/>
      <c r="Y60" s="386"/>
      <c r="Z60" s="386"/>
      <c r="AA60" s="386"/>
      <c r="AB60" s="386"/>
      <c r="AC60" s="386"/>
      <c r="AD60" s="386"/>
      <c r="AE60" s="386"/>
      <c r="AF60" s="386"/>
      <c r="AG60" s="386"/>
    </row>
    <row r="61" spans="1:33">
      <c r="A61" s="386"/>
      <c r="B61" s="386"/>
      <c r="C61" s="386"/>
      <c r="D61" s="386"/>
      <c r="E61" s="386"/>
      <c r="F61" s="386"/>
      <c r="G61" s="386"/>
      <c r="H61" s="386"/>
      <c r="I61" s="386"/>
      <c r="J61" s="386"/>
      <c r="K61" s="386"/>
      <c r="L61" s="386"/>
      <c r="M61" s="386"/>
      <c r="N61" s="386"/>
      <c r="O61" s="386"/>
      <c r="P61" s="386"/>
      <c r="Q61" s="386"/>
      <c r="R61" s="386"/>
      <c r="S61" s="386"/>
      <c r="T61" s="386"/>
      <c r="U61" s="386"/>
      <c r="V61" s="386"/>
      <c r="W61" s="386"/>
      <c r="X61" s="386"/>
      <c r="Y61" s="386"/>
      <c r="Z61" s="386"/>
      <c r="AA61" s="386"/>
      <c r="AB61" s="386"/>
      <c r="AC61" s="386"/>
      <c r="AD61" s="386"/>
      <c r="AE61" s="386"/>
      <c r="AF61" s="386"/>
      <c r="AG61" s="386"/>
    </row>
    <row r="62" spans="1:33">
      <c r="L62" s="386"/>
      <c r="M62" s="386"/>
      <c r="N62" s="386"/>
      <c r="O62" s="386"/>
      <c r="P62" s="386"/>
      <c r="Q62" s="386"/>
      <c r="R62" s="386"/>
      <c r="S62" s="386"/>
      <c r="T62" s="386"/>
      <c r="U62" s="386"/>
      <c r="V62" s="386"/>
      <c r="W62" s="386"/>
      <c r="X62" s="386"/>
      <c r="Y62" s="386"/>
      <c r="Z62" s="386"/>
      <c r="AA62" s="386"/>
      <c r="AB62" s="386"/>
      <c r="AC62" s="386"/>
      <c r="AD62" s="386"/>
      <c r="AE62" s="386"/>
      <c r="AF62" s="386"/>
      <c r="AG62" s="386"/>
    </row>
    <row r="63" spans="1:33">
      <c r="L63" s="386"/>
      <c r="M63" s="386"/>
      <c r="N63" s="386"/>
      <c r="O63" s="386"/>
      <c r="P63" s="386"/>
      <c r="Q63" s="386"/>
      <c r="R63" s="386"/>
      <c r="S63" s="386"/>
      <c r="T63" s="386"/>
      <c r="U63" s="386"/>
      <c r="V63" s="386"/>
      <c r="W63" s="386"/>
      <c r="X63" s="386"/>
      <c r="Y63" s="386"/>
      <c r="Z63" s="386"/>
      <c r="AA63" s="386"/>
      <c r="AB63" s="386"/>
      <c r="AC63" s="386"/>
      <c r="AD63" s="386"/>
      <c r="AE63" s="386"/>
      <c r="AF63" s="386"/>
      <c r="AG63" s="386"/>
    </row>
    <row r="64" spans="1:33">
      <c r="L64" s="386"/>
      <c r="M64" s="386"/>
      <c r="N64" s="386"/>
      <c r="O64" s="386"/>
      <c r="P64" s="386"/>
      <c r="Q64" s="386"/>
      <c r="R64" s="386"/>
      <c r="S64" s="386"/>
      <c r="T64" s="386"/>
      <c r="U64" s="386"/>
      <c r="V64" s="386"/>
      <c r="W64" s="386"/>
      <c r="X64" s="386"/>
      <c r="Y64" s="386"/>
      <c r="Z64" s="386"/>
      <c r="AA64" s="386"/>
      <c r="AB64" s="386"/>
      <c r="AC64" s="386"/>
      <c r="AD64" s="386"/>
      <c r="AE64" s="386"/>
      <c r="AF64" s="386"/>
      <c r="AG64" s="386"/>
    </row>
    <row r="65" spans="12:33">
      <c r="L65" s="386"/>
      <c r="M65" s="386"/>
      <c r="N65" s="386"/>
      <c r="O65" s="386"/>
      <c r="P65" s="386"/>
      <c r="Q65" s="386"/>
      <c r="R65" s="386"/>
      <c r="S65" s="386"/>
      <c r="T65" s="386"/>
      <c r="U65" s="386"/>
      <c r="V65" s="386"/>
      <c r="W65" s="386"/>
      <c r="X65" s="386"/>
      <c r="Y65" s="386"/>
      <c r="Z65" s="386"/>
      <c r="AA65" s="386"/>
      <c r="AB65" s="386"/>
      <c r="AC65" s="386"/>
      <c r="AD65" s="386"/>
      <c r="AE65" s="386"/>
      <c r="AF65" s="386"/>
      <c r="AG65" s="386"/>
    </row>
    <row r="66" spans="12:33">
      <c r="L66" s="386"/>
      <c r="M66" s="386"/>
      <c r="N66" s="386"/>
      <c r="O66" s="386"/>
      <c r="P66" s="386"/>
      <c r="Q66" s="386"/>
      <c r="R66" s="386"/>
      <c r="S66" s="386"/>
      <c r="T66" s="386"/>
      <c r="U66" s="386"/>
      <c r="V66" s="386"/>
      <c r="W66" s="386"/>
      <c r="X66" s="386"/>
      <c r="Y66" s="386"/>
      <c r="Z66" s="386"/>
      <c r="AA66" s="386"/>
      <c r="AB66" s="386"/>
      <c r="AC66" s="386"/>
      <c r="AD66" s="386"/>
      <c r="AE66" s="386"/>
      <c r="AF66" s="386"/>
      <c r="AG66" s="386"/>
    </row>
    <row r="67" spans="12:33">
      <c r="L67" s="386"/>
      <c r="M67" s="386"/>
      <c r="N67" s="386"/>
      <c r="O67" s="386"/>
      <c r="P67" s="386"/>
      <c r="Q67" s="386"/>
      <c r="R67" s="386"/>
      <c r="S67" s="386"/>
      <c r="T67" s="386"/>
      <c r="U67" s="386"/>
      <c r="V67" s="386"/>
      <c r="W67" s="386"/>
      <c r="X67" s="386"/>
      <c r="Y67" s="386"/>
      <c r="Z67" s="386"/>
      <c r="AA67" s="386"/>
      <c r="AB67" s="386"/>
      <c r="AC67" s="386"/>
      <c r="AD67" s="386"/>
      <c r="AE67" s="386"/>
      <c r="AF67" s="386"/>
      <c r="AG67" s="386"/>
    </row>
    <row r="68" spans="12:33">
      <c r="L68" s="386"/>
      <c r="M68" s="386"/>
      <c r="N68" s="386"/>
      <c r="O68" s="386"/>
      <c r="P68" s="386"/>
      <c r="Q68" s="386"/>
      <c r="R68" s="386"/>
      <c r="S68" s="386"/>
      <c r="T68" s="386"/>
      <c r="U68" s="386"/>
      <c r="V68" s="386"/>
      <c r="W68" s="386"/>
      <c r="X68" s="386"/>
      <c r="Y68" s="386"/>
      <c r="Z68" s="386"/>
      <c r="AA68" s="386"/>
      <c r="AB68" s="386"/>
      <c r="AC68" s="386"/>
      <c r="AD68" s="386"/>
      <c r="AE68" s="386"/>
      <c r="AF68" s="386"/>
      <c r="AG68" s="386"/>
    </row>
    <row r="69" spans="12:33">
      <c r="L69" s="386"/>
      <c r="M69" s="386"/>
      <c r="N69" s="386"/>
      <c r="O69" s="386"/>
      <c r="P69" s="386"/>
      <c r="Q69" s="386"/>
      <c r="R69" s="386"/>
      <c r="S69" s="386"/>
      <c r="T69" s="386"/>
      <c r="U69" s="386"/>
      <c r="V69" s="386"/>
      <c r="W69" s="386"/>
      <c r="X69" s="386"/>
      <c r="Y69" s="386"/>
      <c r="Z69" s="386"/>
      <c r="AA69" s="386"/>
      <c r="AB69" s="386"/>
      <c r="AC69" s="386"/>
      <c r="AD69" s="386"/>
      <c r="AE69" s="386"/>
      <c r="AF69" s="386"/>
      <c r="AG69" s="386"/>
    </row>
  </sheetData>
  <mergeCells count="2">
    <mergeCell ref="C5:E5"/>
    <mergeCell ref="G5:I5"/>
  </mergeCells>
  <pageMargins left="0.75" right="0.75" top="1" bottom="1" header="0.5" footer="0.5"/>
  <pageSetup scale="65" orientation="landscape" verticalDpi="0" r:id="rId1"/>
  <headerFooter alignWithMargins="0">
    <oddHeader>&amp;L&amp;12Enron's Generation&amp;RCONFIDENTIAL</oddHeader>
    <oddFooter>&amp;L&amp;D&amp;C&amp;F&amp;RPage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C72"/>
  <sheetViews>
    <sheetView topLeftCell="B8" zoomScale="75" zoomScaleNormal="75" workbookViewId="0">
      <selection activeCell="B27" sqref="B27"/>
    </sheetView>
  </sheetViews>
  <sheetFormatPr defaultColWidth="9.28515625" defaultRowHeight="15.75"/>
  <cols>
    <col min="1" max="1" width="7" style="36" customWidth="1"/>
    <col min="2" max="2" width="40.140625" style="36" bestFit="1" customWidth="1"/>
    <col min="3" max="3" width="11.140625" style="36" customWidth="1"/>
    <col min="4" max="6" width="9.85546875" style="36" customWidth="1"/>
    <col min="7" max="8" width="11.5703125" style="36" customWidth="1"/>
    <col min="9" max="9" width="10.28515625" style="36" customWidth="1"/>
    <col min="10" max="23" width="9.85546875" style="36" customWidth="1"/>
    <col min="24" max="16384" width="9.28515625" style="36"/>
  </cols>
  <sheetData>
    <row r="1" spans="1:23" ht="12" customHeight="1">
      <c r="A1" s="25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  <c r="V1" s="202"/>
      <c r="W1" s="202"/>
    </row>
    <row r="2" spans="1:23" ht="18.75">
      <c r="A2" s="416" t="s">
        <v>243</v>
      </c>
      <c r="B2" s="203"/>
      <c r="C2" s="124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202"/>
      <c r="S2" s="202"/>
      <c r="T2" s="202"/>
      <c r="U2" s="202"/>
      <c r="V2" s="202"/>
      <c r="W2" s="202"/>
    </row>
    <row r="3" spans="1:23"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  <c r="U3" s="201"/>
      <c r="V3" s="201"/>
      <c r="W3" s="201"/>
    </row>
    <row r="4" spans="1:23">
      <c r="D4" s="208">
        <v>2001</v>
      </c>
      <c r="E4" s="208">
        <v>2002</v>
      </c>
      <c r="F4" s="208">
        <v>2003</v>
      </c>
      <c r="G4" s="208">
        <v>2004</v>
      </c>
      <c r="H4" s="208">
        <v>2005</v>
      </c>
      <c r="I4" s="208">
        <v>2006</v>
      </c>
      <c r="J4" s="208">
        <v>2007</v>
      </c>
      <c r="K4" s="208">
        <v>2008</v>
      </c>
      <c r="L4" s="208">
        <v>2009</v>
      </c>
      <c r="M4" s="208">
        <v>2010</v>
      </c>
      <c r="N4" s="208">
        <v>2011</v>
      </c>
      <c r="O4" s="208">
        <v>2012</v>
      </c>
      <c r="P4" s="208">
        <v>2013</v>
      </c>
      <c r="Q4" s="208">
        <v>2014</v>
      </c>
      <c r="R4" s="208">
        <v>2015</v>
      </c>
      <c r="S4" s="208">
        <v>2016</v>
      </c>
      <c r="T4" s="208">
        <v>2017</v>
      </c>
      <c r="U4" s="208">
        <v>2018</v>
      </c>
      <c r="V4" s="208">
        <v>2019</v>
      </c>
      <c r="W4" s="208">
        <v>2020</v>
      </c>
    </row>
    <row r="5" spans="1:23">
      <c r="D5" s="208"/>
      <c r="E5" s="208"/>
      <c r="F5" s="208"/>
      <c r="G5" s="208"/>
      <c r="H5" s="208"/>
      <c r="I5" s="208"/>
      <c r="J5" s="208"/>
      <c r="K5" s="208"/>
      <c r="L5" s="208"/>
      <c r="M5" s="208"/>
      <c r="N5" s="208"/>
      <c r="O5" s="208"/>
      <c r="P5" s="208"/>
      <c r="Q5" s="208"/>
      <c r="R5" s="208"/>
      <c r="S5" s="208"/>
      <c r="T5" s="208"/>
      <c r="U5" s="208"/>
      <c r="V5" s="208"/>
      <c r="W5" s="208"/>
    </row>
    <row r="6" spans="1:23">
      <c r="A6" s="235" t="s">
        <v>267</v>
      </c>
      <c r="D6" s="208"/>
      <c r="E6" s="208"/>
      <c r="F6" s="208"/>
      <c r="G6" s="208"/>
      <c r="H6" s="208"/>
      <c r="I6" s="208"/>
      <c r="J6" s="208"/>
      <c r="K6" s="208"/>
      <c r="L6" s="208"/>
      <c r="M6" s="208"/>
      <c r="N6" s="208"/>
      <c r="O6" s="208"/>
      <c r="P6" s="208"/>
      <c r="Q6" s="208"/>
      <c r="R6" s="208"/>
      <c r="S6" s="208"/>
      <c r="T6" s="208"/>
      <c r="U6" s="208"/>
      <c r="V6" s="208"/>
      <c r="W6" s="208"/>
    </row>
    <row r="7" spans="1:23">
      <c r="A7" s="235"/>
      <c r="D7" s="208"/>
      <c r="E7" s="208"/>
      <c r="F7" s="208"/>
      <c r="G7" s="208"/>
      <c r="H7" s="208"/>
      <c r="I7" s="208"/>
      <c r="J7" s="208"/>
      <c r="K7" s="208"/>
      <c r="L7" s="208"/>
      <c r="M7" s="208"/>
      <c r="N7" s="208"/>
      <c r="O7" s="208"/>
      <c r="P7" s="208"/>
      <c r="Q7" s="208"/>
      <c r="R7" s="208"/>
      <c r="S7" s="208"/>
      <c r="T7" s="208"/>
      <c r="U7" s="208"/>
      <c r="V7" s="208"/>
      <c r="W7" s="208"/>
    </row>
    <row r="8" spans="1:23">
      <c r="B8" s="36" t="s">
        <v>264</v>
      </c>
      <c r="D8" s="215">
        <f>Assumptions!$C$16</f>
        <v>4</v>
      </c>
      <c r="E8" s="215">
        <f>Assumptions!$C$16</f>
        <v>4</v>
      </c>
      <c r="F8" s="215">
        <f>Assumptions!$C$16</f>
        <v>4</v>
      </c>
      <c r="G8" s="520">
        <v>0</v>
      </c>
      <c r="H8" s="520">
        <v>0</v>
      </c>
      <c r="I8" s="520">
        <v>0</v>
      </c>
      <c r="J8" s="520">
        <v>0</v>
      </c>
      <c r="K8" s="520">
        <v>0</v>
      </c>
      <c r="L8" s="520">
        <v>0</v>
      </c>
      <c r="M8" s="520">
        <v>0</v>
      </c>
      <c r="N8" s="520">
        <v>0</v>
      </c>
      <c r="O8" s="520">
        <v>0</v>
      </c>
      <c r="P8" s="520">
        <v>0</v>
      </c>
      <c r="Q8" s="520">
        <v>0</v>
      </c>
      <c r="R8" s="520">
        <v>0</v>
      </c>
      <c r="S8" s="520">
        <v>0</v>
      </c>
      <c r="T8" s="520">
        <v>0</v>
      </c>
      <c r="U8" s="520">
        <v>0</v>
      </c>
      <c r="V8" s="520">
        <v>0</v>
      </c>
      <c r="W8" s="520">
        <v>0</v>
      </c>
    </row>
    <row r="9" spans="1:23">
      <c r="D9" s="208"/>
      <c r="E9" s="208"/>
      <c r="F9" s="208"/>
      <c r="G9" s="208"/>
      <c r="H9" s="208"/>
      <c r="I9" s="208"/>
      <c r="J9" s="208"/>
      <c r="K9" s="208"/>
      <c r="L9" s="208"/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208"/>
    </row>
    <row r="10" spans="1:23">
      <c r="D10" s="208"/>
      <c r="E10" s="208"/>
      <c r="F10" s="208"/>
      <c r="G10" s="208"/>
      <c r="H10" s="208"/>
      <c r="I10" s="208"/>
      <c r="J10" s="208"/>
      <c r="K10" s="208"/>
      <c r="L10" s="208"/>
      <c r="M10" s="208"/>
      <c r="N10" s="208"/>
      <c r="O10" s="208"/>
      <c r="P10" s="208"/>
      <c r="Q10" s="208"/>
      <c r="R10" s="208"/>
      <c r="S10" s="208"/>
      <c r="T10" s="208"/>
      <c r="U10" s="208"/>
      <c r="V10" s="208"/>
      <c r="W10" s="208"/>
    </row>
    <row r="11" spans="1:23">
      <c r="D11" s="208"/>
      <c r="E11" s="208"/>
      <c r="F11" s="208"/>
      <c r="G11" s="208"/>
      <c r="H11" s="208"/>
      <c r="I11" s="208"/>
      <c r="J11" s="208"/>
      <c r="K11" s="208"/>
      <c r="L11" s="208"/>
      <c r="M11" s="208"/>
      <c r="N11" s="208"/>
      <c r="O11" s="208"/>
      <c r="P11" s="208"/>
      <c r="Q11" s="208"/>
      <c r="R11" s="208"/>
      <c r="S11" s="208"/>
      <c r="T11" s="208"/>
      <c r="U11" s="208"/>
      <c r="V11" s="208"/>
      <c r="W11" s="208"/>
    </row>
    <row r="12" spans="1:23">
      <c r="A12" s="235" t="s">
        <v>268</v>
      </c>
      <c r="D12" s="208"/>
      <c r="E12" s="208"/>
      <c r="F12" s="208"/>
      <c r="G12" s="208"/>
      <c r="H12" s="208"/>
      <c r="I12" s="208"/>
      <c r="J12" s="208"/>
      <c r="K12" s="208"/>
      <c r="L12" s="208"/>
      <c r="M12" s="208"/>
      <c r="N12" s="208"/>
      <c r="O12" s="208"/>
      <c r="P12" s="208"/>
      <c r="Q12" s="208"/>
      <c r="R12" s="208"/>
      <c r="S12" s="208"/>
      <c r="T12" s="208"/>
      <c r="U12" s="208"/>
      <c r="V12" s="208"/>
      <c r="W12" s="208"/>
    </row>
    <row r="13" spans="1:23">
      <c r="A13" s="235"/>
      <c r="D13" s="208"/>
      <c r="E13" s="208"/>
      <c r="F13" s="208"/>
      <c r="G13" s="208"/>
      <c r="H13" s="208"/>
      <c r="I13" s="208"/>
      <c r="J13" s="208"/>
      <c r="K13" s="208"/>
      <c r="L13" s="208"/>
      <c r="M13" s="208"/>
      <c r="N13" s="208"/>
      <c r="O13" s="208"/>
      <c r="P13" s="208"/>
      <c r="Q13" s="208"/>
      <c r="R13" s="208"/>
      <c r="S13" s="208"/>
      <c r="T13" s="208"/>
      <c r="U13" s="208"/>
      <c r="V13" s="208"/>
      <c r="W13" s="208"/>
    </row>
    <row r="14" spans="1:23">
      <c r="A14" s="217" t="s">
        <v>226</v>
      </c>
      <c r="C14" s="302">
        <f>Assumptions!C25</f>
        <v>0.03</v>
      </c>
      <c r="D14" s="169"/>
      <c r="E14" s="169"/>
      <c r="F14" s="206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69"/>
      <c r="W14" s="169"/>
    </row>
    <row r="15" spans="1:23">
      <c r="A15" s="217"/>
      <c r="C15" s="519"/>
      <c r="D15" s="169"/>
      <c r="E15" s="169"/>
      <c r="F15" s="206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69"/>
      <c r="U15" s="169"/>
      <c r="V15" s="169"/>
      <c r="W15" s="169"/>
    </row>
    <row r="16" spans="1:23">
      <c r="A16" s="169"/>
      <c r="B16" s="204"/>
      <c r="C16" s="205"/>
      <c r="D16" s="169"/>
      <c r="E16" s="169"/>
      <c r="F16" s="206"/>
      <c r="G16" s="169"/>
      <c r="H16" s="169"/>
      <c r="I16" s="169"/>
      <c r="J16" s="169"/>
      <c r="K16" s="169"/>
      <c r="L16" s="169"/>
      <c r="M16" s="169"/>
      <c r="N16" s="169"/>
      <c r="O16" s="169"/>
      <c r="P16" s="169"/>
      <c r="Q16" s="169"/>
      <c r="R16" s="169"/>
      <c r="S16" s="169"/>
      <c r="T16" s="169"/>
      <c r="U16" s="169"/>
      <c r="V16" s="169"/>
      <c r="W16" s="169"/>
    </row>
    <row r="17" spans="1:29">
      <c r="A17" s="235" t="s">
        <v>50</v>
      </c>
      <c r="B17" s="169"/>
      <c r="C17" s="169"/>
      <c r="D17" s="207"/>
      <c r="E17" s="207"/>
      <c r="F17" s="207"/>
      <c r="G17" s="207"/>
      <c r="H17" s="207"/>
      <c r="I17" s="207"/>
      <c r="J17" s="207"/>
      <c r="K17" s="207"/>
      <c r="L17" s="207"/>
      <c r="M17" s="207"/>
      <c r="N17" s="207"/>
      <c r="O17" s="207"/>
      <c r="P17" s="207"/>
      <c r="Q17" s="207"/>
      <c r="R17" s="207"/>
      <c r="S17" s="207"/>
      <c r="T17" s="207"/>
      <c r="U17" s="207"/>
      <c r="V17" s="207"/>
      <c r="W17" s="207"/>
    </row>
    <row r="18" spans="1:29">
      <c r="A18" s="169" t="s">
        <v>197</v>
      </c>
      <c r="B18" s="169"/>
      <c r="C18" s="169"/>
    </row>
    <row r="19" spans="1:29">
      <c r="A19" s="169"/>
      <c r="B19" s="169"/>
      <c r="C19" s="169"/>
      <c r="D19" s="208"/>
      <c r="E19" s="208"/>
      <c r="F19" s="208"/>
      <c r="G19" s="208"/>
      <c r="H19" s="208"/>
      <c r="I19" s="208"/>
      <c r="J19" s="208"/>
      <c r="K19" s="208"/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8"/>
      <c r="W19" s="208"/>
    </row>
    <row r="20" spans="1:29">
      <c r="A20" s="236" t="s">
        <v>51</v>
      </c>
      <c r="B20" s="169"/>
      <c r="C20" s="169"/>
      <c r="D20" s="206"/>
      <c r="E20" s="206"/>
      <c r="F20" s="206"/>
      <c r="G20" s="206"/>
      <c r="H20" s="206"/>
      <c r="I20" s="206"/>
      <c r="J20" s="206"/>
      <c r="K20" s="206"/>
      <c r="L20" s="206"/>
      <c r="M20" s="206"/>
      <c r="N20" s="206"/>
      <c r="O20" s="206"/>
      <c r="P20" s="206"/>
      <c r="Q20" s="206"/>
      <c r="R20" s="206"/>
      <c r="S20" s="206"/>
      <c r="T20" s="206"/>
      <c r="U20" s="206"/>
      <c r="V20" s="206"/>
      <c r="W20" s="206"/>
    </row>
    <row r="21" spans="1:29">
      <c r="A21" s="169"/>
      <c r="B21" s="169" t="s">
        <v>227</v>
      </c>
      <c r="C21" s="209"/>
      <c r="D21" s="210">
        <v>60.97229916897507</v>
      </c>
      <c r="E21" s="210">
        <v>62.131742415801384</v>
      </c>
      <c r="F21" s="210">
        <v>63.313233521424777</v>
      </c>
      <c r="G21" s="210">
        <v>64.517191745760613</v>
      </c>
      <c r="H21" s="210">
        <v>65.744044321329639</v>
      </c>
      <c r="I21" s="210">
        <v>64.64769576191091</v>
      </c>
      <c r="J21" s="210">
        <v>63.569629925682506</v>
      </c>
      <c r="K21" s="210">
        <v>62.50954192970881</v>
      </c>
      <c r="L21" s="210">
        <v>61.467131975286122</v>
      </c>
      <c r="M21" s="210">
        <v>60.442105263157892</v>
      </c>
      <c r="N21" s="210">
        <v>59.792038989376501</v>
      </c>
      <c r="O21" s="210">
        <v>59.148964301319459</v>
      </c>
      <c r="P21" s="210">
        <v>58.512806003159973</v>
      </c>
      <c r="Q21" s="210">
        <v>57.883489707816537</v>
      </c>
      <c r="R21" s="210">
        <v>57.26094182825485</v>
      </c>
      <c r="S21" s="210">
        <v>56.386317952681878</v>
      </c>
      <c r="T21" s="210">
        <v>55.525053391491426</v>
      </c>
      <c r="U21" s="210">
        <v>54.676944089791142</v>
      </c>
      <c r="V21" s="210">
        <v>53.841789109495259</v>
      </c>
      <c r="W21" s="210">
        <v>53.019390581717452</v>
      </c>
      <c r="X21" s="211"/>
    </row>
    <row r="22" spans="1:29">
      <c r="A22" s="169"/>
      <c r="B22" s="169"/>
      <c r="C22" s="169"/>
      <c r="D22" s="210"/>
      <c r="E22" s="210"/>
      <c r="F22" s="210"/>
      <c r="G22" s="210"/>
      <c r="H22" s="210"/>
      <c r="I22" s="210"/>
      <c r="J22" s="210"/>
      <c r="K22" s="210"/>
      <c r="L22" s="210"/>
      <c r="M22" s="210"/>
      <c r="N22" s="210"/>
      <c r="O22" s="210"/>
      <c r="P22" s="210"/>
      <c r="Q22" s="210"/>
      <c r="R22" s="210"/>
      <c r="S22" s="210"/>
      <c r="T22" s="210"/>
      <c r="U22" s="210"/>
      <c r="V22" s="210"/>
      <c r="W22" s="210"/>
      <c r="X22" s="212"/>
    </row>
    <row r="23" spans="1:29">
      <c r="A23" s="236" t="s">
        <v>52</v>
      </c>
      <c r="B23" s="169"/>
      <c r="C23" s="169"/>
      <c r="D23" s="210"/>
      <c r="E23" s="210"/>
      <c r="F23" s="210"/>
      <c r="G23" s="210"/>
      <c r="H23" s="210"/>
      <c r="I23" s="210"/>
      <c r="J23" s="210"/>
      <c r="K23" s="210"/>
      <c r="L23" s="210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10"/>
      <c r="X23" s="212"/>
    </row>
    <row r="24" spans="1:29">
      <c r="A24" s="169"/>
      <c r="B24" s="169" t="s">
        <v>228</v>
      </c>
      <c r="C24" s="213"/>
      <c r="D24" s="210">
        <f>D21*(1+'Power Price Assumption'!$C$14)^(D4-1998)</f>
        <v>66.626077554016618</v>
      </c>
      <c r="E24" s="210">
        <f>E21*(1+'Power Price Assumption'!$C$14)^(E4-1998)</f>
        <v>69.929823469635139</v>
      </c>
      <c r="F24" s="210">
        <f>F21*(1+'Power Price Assumption'!$C$14)^(F4-1998)</f>
        <v>73.397390181489428</v>
      </c>
      <c r="G24" s="210">
        <f>G21*(1+'Power Price Assumption'!$C$14)^(G4-1998)</f>
        <v>77.036900969627297</v>
      </c>
      <c r="H24" s="210">
        <f>H21*(1+'Power Price Assumption'!$C$14)^(H4-1998)</f>
        <v>80.85688191813766</v>
      </c>
      <c r="I24" s="210">
        <f>I21*(1+'Power Price Assumption'!$C$14)^(I4-1998)</f>
        <v>81.893766821837715</v>
      </c>
      <c r="J24" s="210">
        <f>J21*(1+'Power Price Assumption'!$C$14)^(J4-1998)</f>
        <v>82.943948432979582</v>
      </c>
      <c r="K24" s="210">
        <f>K21*(1+'Power Price Assumption'!$C$14)^(K4-1998)</f>
        <v>84.00759726463383</v>
      </c>
      <c r="L24" s="210">
        <f>L21*(1+'Power Price Assumption'!$C$14)^(L4-1998)</f>
        <v>85.084886016480638</v>
      </c>
      <c r="M24" s="210">
        <f>M21*(1+'Power Price Assumption'!$C$14)^(M4-1998)</f>
        <v>86.17598960285008</v>
      </c>
      <c r="N24" s="210">
        <f>N21*(1+'Power Price Assumption'!$C$14)^(N4-1998)</f>
        <v>87.806625051909762</v>
      </c>
      <c r="O24" s="210">
        <f>O21*(1+'Power Price Assumption'!$C$14)^(O4-1998)</f>
        <v>89.468115637997585</v>
      </c>
      <c r="P24" s="210">
        <f>P21*(1+'Power Price Assumption'!$C$14)^(P4-1998)</f>
        <v>91.161045206804843</v>
      </c>
      <c r="Q24" s="210">
        <f>Q21*(1+'Power Price Assumption'!$C$14)^(Q4-1998)</f>
        <v>92.886008651641561</v>
      </c>
      <c r="R24" s="210">
        <f>R21*(1+'Power Price Assumption'!$C$14)^(R4-1998)</f>
        <v>94.643612122481485</v>
      </c>
      <c r="S24" s="210">
        <f>S21*(1+'Power Price Assumption'!$C$14)^(S4-1998)</f>
        <v>95.993931884230719</v>
      </c>
      <c r="T24" s="210">
        <f>T21*(1+'Power Price Assumption'!$C$14)^(T4-1998)</f>
        <v>97.363517219409388</v>
      </c>
      <c r="U24" s="210">
        <f>U21*(1+'Power Price Assumption'!$C$14)^(U4-1998)</f>
        <v>98.752642997963164</v>
      </c>
      <c r="V24" s="210">
        <f>V21*(1+'Power Price Assumption'!$C$14)^(V4-1998)</f>
        <v>100.16158801152146</v>
      </c>
      <c r="W24" s="210">
        <f>W21*(1+'Power Price Assumption'!$C$14)^(W4-1998)</f>
        <v>101.59063502934997</v>
      </c>
      <c r="X24" s="212"/>
    </row>
    <row r="25" spans="1:29">
      <c r="A25" s="169"/>
      <c r="B25" s="169" t="s">
        <v>229</v>
      </c>
      <c r="C25" s="169"/>
      <c r="D25" s="214">
        <f t="shared" ref="D25:W25" si="0">D24/12</f>
        <v>5.5521731295013845</v>
      </c>
      <c r="E25" s="214">
        <f t="shared" si="0"/>
        <v>5.8274852891362618</v>
      </c>
      <c r="F25" s="214">
        <f t="shared" si="0"/>
        <v>6.1164491817907853</v>
      </c>
      <c r="G25" s="214">
        <f t="shared" si="0"/>
        <v>6.4197417474689411</v>
      </c>
      <c r="H25" s="214">
        <f t="shared" si="0"/>
        <v>6.7380734931781383</v>
      </c>
      <c r="I25" s="214">
        <f t="shared" si="0"/>
        <v>6.824480568486476</v>
      </c>
      <c r="J25" s="214">
        <f t="shared" si="0"/>
        <v>6.9119957027482988</v>
      </c>
      <c r="K25" s="214">
        <f t="shared" si="0"/>
        <v>7.0006331053861528</v>
      </c>
      <c r="L25" s="214">
        <f t="shared" si="0"/>
        <v>7.0904071680400529</v>
      </c>
      <c r="M25" s="214">
        <f t="shared" si="0"/>
        <v>7.1813324669041734</v>
      </c>
      <c r="N25" s="214">
        <f t="shared" si="0"/>
        <v>7.3172187543258138</v>
      </c>
      <c r="O25" s="214">
        <f t="shared" si="0"/>
        <v>7.4556763031664657</v>
      </c>
      <c r="P25" s="214">
        <f t="shared" si="0"/>
        <v>7.5967537672337366</v>
      </c>
      <c r="Q25" s="214">
        <f t="shared" si="0"/>
        <v>7.7405007209701298</v>
      </c>
      <c r="R25" s="214">
        <f t="shared" si="0"/>
        <v>7.8869676768734571</v>
      </c>
      <c r="S25" s="214">
        <f t="shared" si="0"/>
        <v>7.9994943236858935</v>
      </c>
      <c r="T25" s="214">
        <f t="shared" si="0"/>
        <v>8.113626434950783</v>
      </c>
      <c r="U25" s="214">
        <f t="shared" si="0"/>
        <v>8.2293869164969298</v>
      </c>
      <c r="V25" s="214">
        <f t="shared" si="0"/>
        <v>8.3467990009601216</v>
      </c>
      <c r="W25" s="214">
        <f t="shared" si="0"/>
        <v>8.4658862524458307</v>
      </c>
      <c r="X25" s="212"/>
    </row>
    <row r="26" spans="1:29" ht="16.5" thickBot="1">
      <c r="A26" s="169"/>
      <c r="B26" s="169"/>
      <c r="C26" s="169"/>
      <c r="D26" s="395"/>
      <c r="E26" s="395"/>
      <c r="F26" s="395"/>
      <c r="G26" s="395"/>
      <c r="H26" s="395"/>
      <c r="I26" s="395"/>
      <c r="J26" s="395"/>
      <c r="K26" s="395"/>
      <c r="L26" s="395"/>
      <c r="M26" s="395"/>
      <c r="N26" s="395"/>
      <c r="O26" s="395"/>
      <c r="P26" s="395"/>
      <c r="Q26" s="395"/>
      <c r="R26" s="395"/>
      <c r="S26" s="395"/>
      <c r="T26" s="395"/>
      <c r="U26" s="395"/>
      <c r="V26" s="395"/>
      <c r="W26" s="395"/>
      <c r="X26" s="396"/>
      <c r="Y26" s="124"/>
      <c r="Z26" s="124"/>
      <c r="AA26" s="124"/>
      <c r="AB26" s="124"/>
      <c r="AC26" s="124"/>
    </row>
    <row r="27" spans="1:29" ht="16.5" thickBot="1">
      <c r="A27" s="514" t="s">
        <v>266</v>
      </c>
      <c r="B27" s="515"/>
      <c r="C27" s="516"/>
      <c r="D27" s="517">
        <f>D8</f>
        <v>4</v>
      </c>
      <c r="E27" s="517">
        <f>E8</f>
        <v>4</v>
      </c>
      <c r="F27" s="517">
        <f>F8</f>
        <v>4</v>
      </c>
      <c r="G27" s="517">
        <f>G25</f>
        <v>6.4197417474689411</v>
      </c>
      <c r="H27" s="517">
        <f t="shared" ref="H27:W27" si="1">H25</f>
        <v>6.7380734931781383</v>
      </c>
      <c r="I27" s="517">
        <f t="shared" si="1"/>
        <v>6.824480568486476</v>
      </c>
      <c r="J27" s="517">
        <f t="shared" si="1"/>
        <v>6.9119957027482988</v>
      </c>
      <c r="K27" s="517">
        <f t="shared" si="1"/>
        <v>7.0006331053861528</v>
      </c>
      <c r="L27" s="517">
        <f t="shared" si="1"/>
        <v>7.0904071680400529</v>
      </c>
      <c r="M27" s="517">
        <f t="shared" si="1"/>
        <v>7.1813324669041734</v>
      </c>
      <c r="N27" s="517">
        <f t="shared" si="1"/>
        <v>7.3172187543258138</v>
      </c>
      <c r="O27" s="517">
        <f t="shared" si="1"/>
        <v>7.4556763031664657</v>
      </c>
      <c r="P27" s="517">
        <f t="shared" si="1"/>
        <v>7.5967537672337366</v>
      </c>
      <c r="Q27" s="517">
        <f t="shared" si="1"/>
        <v>7.7405007209701298</v>
      </c>
      <c r="R27" s="517">
        <f t="shared" si="1"/>
        <v>7.8869676768734571</v>
      </c>
      <c r="S27" s="517">
        <f t="shared" si="1"/>
        <v>7.9994943236858935</v>
      </c>
      <c r="T27" s="517">
        <f t="shared" si="1"/>
        <v>8.113626434950783</v>
      </c>
      <c r="U27" s="517">
        <f t="shared" si="1"/>
        <v>8.2293869164969298</v>
      </c>
      <c r="V27" s="517">
        <f t="shared" si="1"/>
        <v>8.3467990009601216</v>
      </c>
      <c r="W27" s="518">
        <f t="shared" si="1"/>
        <v>8.4658862524458307</v>
      </c>
    </row>
    <row r="28" spans="1:29" s="124" customFormat="1">
      <c r="A28" s="217"/>
      <c r="B28" s="217"/>
      <c r="C28" s="386"/>
      <c r="D28" s="214"/>
      <c r="E28" s="214"/>
      <c r="F28" s="214"/>
      <c r="G28" s="214"/>
      <c r="H28" s="214"/>
      <c r="I28" s="214"/>
      <c r="J28" s="214"/>
      <c r="K28" s="214"/>
      <c r="L28" s="214"/>
      <c r="M28" s="214"/>
      <c r="N28" s="214"/>
      <c r="O28" s="214"/>
      <c r="P28" s="214"/>
      <c r="Q28" s="214"/>
      <c r="R28" s="214"/>
      <c r="S28" s="214"/>
      <c r="T28" s="214"/>
      <c r="U28" s="214"/>
      <c r="V28" s="214"/>
      <c r="W28" s="214"/>
    </row>
    <row r="29" spans="1:29">
      <c r="A29" s="169"/>
      <c r="B29" s="217"/>
      <c r="C29" s="218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1"/>
      <c r="Y29" s="220"/>
      <c r="Z29" s="220"/>
    </row>
    <row r="30" spans="1:29">
      <c r="A30" s="235" t="s">
        <v>54</v>
      </c>
      <c r="B30" s="169"/>
      <c r="C30" s="169"/>
      <c r="D30" s="169"/>
      <c r="E30" s="169"/>
      <c r="F30" s="169"/>
      <c r="G30" s="169"/>
      <c r="H30" s="169"/>
      <c r="I30" s="169"/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69"/>
      <c r="W30" s="169"/>
    </row>
    <row r="31" spans="1:29">
      <c r="A31" s="169" t="s">
        <v>55</v>
      </c>
      <c r="B31" s="169"/>
      <c r="C31" s="169"/>
      <c r="D31" s="169"/>
      <c r="E31" s="169"/>
      <c r="F31" s="169"/>
      <c r="G31" s="169"/>
      <c r="H31" s="169"/>
      <c r="I31" s="169"/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69"/>
      <c r="W31" s="169"/>
    </row>
    <row r="32" spans="1:29">
      <c r="A32" s="169"/>
      <c r="B32" s="169"/>
      <c r="C32" s="169"/>
      <c r="D32" s="169"/>
      <c r="E32" s="169"/>
      <c r="F32" s="169"/>
      <c r="G32" s="169"/>
      <c r="H32" s="169"/>
      <c r="I32" s="169"/>
      <c r="J32" s="169"/>
      <c r="K32" s="169"/>
      <c r="L32" s="169"/>
      <c r="M32" s="169"/>
      <c r="N32" s="169"/>
      <c r="O32" s="169"/>
      <c r="P32" s="169"/>
      <c r="Q32" s="169"/>
      <c r="R32" s="169"/>
      <c r="S32" s="169"/>
      <c r="T32" s="169"/>
      <c r="U32" s="169"/>
      <c r="V32" s="169"/>
      <c r="W32" s="169"/>
    </row>
    <row r="33" spans="1:26">
      <c r="A33" s="236" t="s">
        <v>51</v>
      </c>
      <c r="B33" s="169"/>
      <c r="C33" s="169"/>
      <c r="D33" s="206"/>
      <c r="E33" s="206"/>
      <c r="F33" s="206"/>
      <c r="G33" s="206"/>
      <c r="H33" s="206"/>
      <c r="I33" s="206"/>
      <c r="J33" s="206"/>
      <c r="K33" s="206"/>
      <c r="L33" s="206"/>
      <c r="M33" s="206"/>
      <c r="N33" s="206"/>
      <c r="O33" s="206"/>
      <c r="P33" s="206"/>
      <c r="Q33" s="206"/>
      <c r="R33" s="206"/>
      <c r="S33" s="206"/>
      <c r="T33" s="206"/>
      <c r="U33" s="206"/>
      <c r="V33" s="206"/>
      <c r="W33" s="206"/>
    </row>
    <row r="34" spans="1:26">
      <c r="A34" s="169"/>
      <c r="B34" s="169" t="s">
        <v>227</v>
      </c>
      <c r="C34" s="218"/>
      <c r="D34" s="210">
        <v>63.677659574468088</v>
      </c>
      <c r="E34" s="210">
        <v>65.100779776943028</v>
      </c>
      <c r="F34" s="210">
        <v>66.555705028853311</v>
      </c>
      <c r="G34" s="210">
        <v>68.043146135349346</v>
      </c>
      <c r="H34" s="210">
        <v>69.563829787234042</v>
      </c>
      <c r="I34" s="210">
        <v>68.90950818778056</v>
      </c>
      <c r="J34" s="210">
        <v>68.261341176951959</v>
      </c>
      <c r="K34" s="210">
        <v>67.619270864314558</v>
      </c>
      <c r="L34" s="210">
        <v>66.983239903955678</v>
      </c>
      <c r="M34" s="210">
        <v>66.353191489361706</v>
      </c>
      <c r="N34" s="210">
        <v>65.246684783649414</v>
      </c>
      <c r="O34" s="210">
        <v>64.158630198510451</v>
      </c>
      <c r="P34" s="210">
        <v>63.088720026136173</v>
      </c>
      <c r="Q34" s="210">
        <v>62.036651690057468</v>
      </c>
      <c r="R34" s="210">
        <v>61.002127659574469</v>
      </c>
      <c r="S34" s="210">
        <v>60.120860172387651</v>
      </c>
      <c r="T34" s="210">
        <v>59.25232391956542</v>
      </c>
      <c r="U34" s="210">
        <v>58.396334979278365</v>
      </c>
      <c r="V34" s="210">
        <v>57.55271208672454</v>
      </c>
      <c r="W34" s="210">
        <v>56.721276595744683</v>
      </c>
    </row>
    <row r="35" spans="1:26">
      <c r="A35" s="169"/>
      <c r="B35" s="169"/>
      <c r="C35" s="218"/>
      <c r="D35" s="221"/>
      <c r="E35" s="221"/>
      <c r="F35" s="221"/>
      <c r="G35" s="221"/>
      <c r="H35" s="221"/>
      <c r="I35" s="221"/>
      <c r="J35" s="221"/>
      <c r="K35" s="221"/>
      <c r="L35" s="221"/>
      <c r="M35" s="221"/>
      <c r="N35" s="221"/>
      <c r="O35" s="221"/>
      <c r="P35" s="221"/>
      <c r="Q35" s="221"/>
      <c r="R35" s="221"/>
      <c r="S35" s="221"/>
      <c r="T35" s="221"/>
      <c r="U35" s="221"/>
      <c r="V35" s="221"/>
      <c r="W35" s="221"/>
    </row>
    <row r="36" spans="1:26">
      <c r="A36" s="236" t="s">
        <v>52</v>
      </c>
      <c r="B36" s="169"/>
      <c r="C36" s="218"/>
      <c r="D36" s="221"/>
      <c r="E36" s="221"/>
      <c r="F36" s="221"/>
      <c r="G36" s="221"/>
      <c r="H36" s="221"/>
      <c r="I36" s="221"/>
      <c r="J36" s="221"/>
      <c r="K36" s="221"/>
      <c r="L36" s="221"/>
      <c r="M36" s="221"/>
      <c r="N36" s="221"/>
      <c r="O36" s="221"/>
      <c r="P36" s="221"/>
      <c r="Q36" s="221"/>
      <c r="R36" s="221"/>
      <c r="S36" s="221"/>
      <c r="T36" s="221"/>
      <c r="U36" s="221"/>
      <c r="V36" s="221"/>
      <c r="W36" s="221"/>
    </row>
    <row r="37" spans="1:26">
      <c r="A37" s="169"/>
      <c r="B37" s="169" t="s">
        <v>228</v>
      </c>
      <c r="C37" s="218"/>
      <c r="D37" s="221">
        <f>D34*(1+'Power Price Assumption'!$C$14)^(D4-1998)</f>
        <v>69.582297913829791</v>
      </c>
      <c r="E37" s="221">
        <f>E34*(1+'Power Price Assumption'!$C$14)^(E4-1998)</f>
        <v>73.271501176819214</v>
      </c>
      <c r="F37" s="221">
        <f>F34*(1+'Power Price Assumption'!$C$14)^(F4-1998)</f>
        <v>77.156303336707765</v>
      </c>
      <c r="G37" s="221">
        <f>G34*(1+'Power Price Assumption'!$C$14)^(G4-1998)</f>
        <v>81.247074905972227</v>
      </c>
      <c r="H37" s="221">
        <f>H34*(1+'Power Price Assumption'!$C$14)^(H4-1998)</f>
        <v>85.554736234183238</v>
      </c>
      <c r="I37" s="221">
        <f>I34*(1+'Power Price Assumption'!$C$14)^(I4-1998)</f>
        <v>87.292503295415372</v>
      </c>
      <c r="J37" s="221">
        <f>J34*(1+'Power Price Assumption'!$C$14)^(J4-1998)</f>
        <v>89.065567459905907</v>
      </c>
      <c r="K37" s="221">
        <f>K34*(1+'Power Price Assumption'!$C$14)^(K4-1998)</f>
        <v>90.874645673859078</v>
      </c>
      <c r="L37" s="221">
        <f>L34*(1+'Power Price Assumption'!$C$14)^(L4-1998)</f>
        <v>92.720469445916706</v>
      </c>
      <c r="M37" s="221">
        <f>M34*(1+'Power Price Assumption'!$C$14)^(M4-1998)</f>
        <v>94.603785142946663</v>
      </c>
      <c r="N37" s="221">
        <f>N34*(1+'Power Price Assumption'!$C$14)^(N4-1998)</f>
        <v>95.816956295736318</v>
      </c>
      <c r="O37" s="221">
        <f>O34*(1+'Power Price Assumption'!$C$14)^(O4-1998)</f>
        <v>97.045684799045745</v>
      </c>
      <c r="P37" s="221">
        <f>P34*(1+'Power Price Assumption'!$C$14)^(P4-1998)</f>
        <v>98.29017015576828</v>
      </c>
      <c r="Q37" s="221">
        <f>Q34*(1+'Power Price Assumption'!$C$14)^(Q4-1998)</f>
        <v>99.550614427163865</v>
      </c>
      <c r="R37" s="221">
        <f>R34*(1+'Power Price Assumption'!$C$14)^(R4-1998)</f>
        <v>100.82722226566673</v>
      </c>
      <c r="S37" s="221">
        <f>S34*(1+'Power Price Assumption'!$C$14)^(S4-1998)</f>
        <v>102.35174002765409</v>
      </c>
      <c r="T37" s="221">
        <f>T34*(1+'Power Price Assumption'!$C$14)^(T4-1998)</f>
        <v>103.89930865184301</v>
      </c>
      <c r="U37" s="221">
        <f>U34*(1+'Power Price Assumption'!$C$14)^(U4-1998)</f>
        <v>105.47027666959309</v>
      </c>
      <c r="V37" s="221">
        <f>V34*(1+'Power Price Assumption'!$C$14)^(V4-1998)</f>
        <v>107.06499788209312</v>
      </c>
      <c r="W37" s="221">
        <f>W34*(1+'Power Price Assumption'!$C$14)^(W4-1998)</f>
        <v>108.68383144004159</v>
      </c>
    </row>
    <row r="38" spans="1:26">
      <c r="A38" s="169"/>
      <c r="B38" s="169" t="s">
        <v>229</v>
      </c>
      <c r="C38" s="169"/>
      <c r="D38" s="214">
        <f t="shared" ref="D38:W38" si="2">D37/12</f>
        <v>5.7985248261524829</v>
      </c>
      <c r="E38" s="214">
        <f t="shared" si="2"/>
        <v>6.1059584314016009</v>
      </c>
      <c r="F38" s="214">
        <f t="shared" si="2"/>
        <v>6.4296919447256471</v>
      </c>
      <c r="G38" s="214">
        <f t="shared" si="2"/>
        <v>6.7705895754976853</v>
      </c>
      <c r="H38" s="214">
        <f t="shared" si="2"/>
        <v>7.1295613528486035</v>
      </c>
      <c r="I38" s="214">
        <f t="shared" si="2"/>
        <v>7.274375274617948</v>
      </c>
      <c r="J38" s="214">
        <f t="shared" si="2"/>
        <v>7.4221306216588259</v>
      </c>
      <c r="K38" s="214">
        <f t="shared" si="2"/>
        <v>7.5728871394882562</v>
      </c>
      <c r="L38" s="214">
        <f t="shared" si="2"/>
        <v>7.7267057871597258</v>
      </c>
      <c r="M38" s="214">
        <f t="shared" si="2"/>
        <v>7.8836487619122222</v>
      </c>
      <c r="N38" s="214">
        <f t="shared" si="2"/>
        <v>7.9847463579780262</v>
      </c>
      <c r="O38" s="214">
        <f t="shared" si="2"/>
        <v>8.0871403999204787</v>
      </c>
      <c r="P38" s="214">
        <f t="shared" si="2"/>
        <v>8.1908475129806906</v>
      </c>
      <c r="Q38" s="214">
        <f t="shared" si="2"/>
        <v>8.2958845355969881</v>
      </c>
      <c r="R38" s="214">
        <f t="shared" si="2"/>
        <v>8.4022685221388951</v>
      </c>
      <c r="S38" s="214">
        <f t="shared" si="2"/>
        <v>8.5293116689711734</v>
      </c>
      <c r="T38" s="214">
        <f t="shared" si="2"/>
        <v>8.6582757209869179</v>
      </c>
      <c r="U38" s="214">
        <f t="shared" si="2"/>
        <v>8.7891897224660909</v>
      </c>
      <c r="V38" s="214">
        <f t="shared" si="2"/>
        <v>8.9220831568410937</v>
      </c>
      <c r="W38" s="214">
        <f t="shared" si="2"/>
        <v>9.0569859533367989</v>
      </c>
    </row>
    <row r="39" spans="1:26" ht="16.5" thickBot="1">
      <c r="A39" s="169"/>
      <c r="B39" s="169"/>
      <c r="C39" s="169"/>
      <c r="D39" s="215"/>
      <c r="E39" s="215"/>
      <c r="F39" s="216"/>
      <c r="G39" s="216"/>
      <c r="H39" s="216"/>
      <c r="I39" s="216"/>
      <c r="J39" s="216"/>
      <c r="K39" s="216"/>
      <c r="L39" s="216"/>
      <c r="M39" s="216"/>
      <c r="N39" s="216"/>
      <c r="O39" s="216"/>
      <c r="P39" s="216"/>
      <c r="Q39" s="216"/>
      <c r="R39" s="216"/>
      <c r="S39" s="216"/>
      <c r="T39" s="216"/>
      <c r="U39" s="216"/>
      <c r="V39" s="216"/>
      <c r="W39" s="216"/>
    </row>
    <row r="40" spans="1:26" ht="16.5" thickBot="1">
      <c r="A40" s="514" t="s">
        <v>265</v>
      </c>
      <c r="B40" s="515"/>
      <c r="C40" s="516"/>
      <c r="D40" s="517">
        <f>D8</f>
        <v>4</v>
      </c>
      <c r="E40" s="517">
        <f>E8</f>
        <v>4</v>
      </c>
      <c r="F40" s="517">
        <f>F8</f>
        <v>4</v>
      </c>
      <c r="G40" s="517">
        <f>G38</f>
        <v>6.7705895754976853</v>
      </c>
      <c r="H40" s="517">
        <f t="shared" ref="H40:W40" si="3">H38</f>
        <v>7.1295613528486035</v>
      </c>
      <c r="I40" s="517">
        <f t="shared" si="3"/>
        <v>7.274375274617948</v>
      </c>
      <c r="J40" s="517">
        <f t="shared" si="3"/>
        <v>7.4221306216588259</v>
      </c>
      <c r="K40" s="517">
        <f t="shared" si="3"/>
        <v>7.5728871394882562</v>
      </c>
      <c r="L40" s="517">
        <f t="shared" si="3"/>
        <v>7.7267057871597258</v>
      </c>
      <c r="M40" s="517">
        <f t="shared" si="3"/>
        <v>7.8836487619122222</v>
      </c>
      <c r="N40" s="517">
        <f t="shared" si="3"/>
        <v>7.9847463579780262</v>
      </c>
      <c r="O40" s="517">
        <f t="shared" si="3"/>
        <v>8.0871403999204787</v>
      </c>
      <c r="P40" s="517">
        <f t="shared" si="3"/>
        <v>8.1908475129806906</v>
      </c>
      <c r="Q40" s="517">
        <f t="shared" si="3"/>
        <v>8.2958845355969881</v>
      </c>
      <c r="R40" s="517">
        <f t="shared" si="3"/>
        <v>8.4022685221388951</v>
      </c>
      <c r="S40" s="517">
        <f t="shared" si="3"/>
        <v>8.5293116689711734</v>
      </c>
      <c r="T40" s="517">
        <f t="shared" si="3"/>
        <v>8.6582757209869179</v>
      </c>
      <c r="U40" s="517">
        <f t="shared" si="3"/>
        <v>8.7891897224660909</v>
      </c>
      <c r="V40" s="517">
        <f t="shared" si="3"/>
        <v>8.9220831568410937</v>
      </c>
      <c r="W40" s="518">
        <f t="shared" si="3"/>
        <v>9.0569859533367989</v>
      </c>
    </row>
    <row r="41" spans="1:26">
      <c r="A41" s="169"/>
      <c r="B41" s="217"/>
      <c r="C41" s="218"/>
      <c r="D41" s="237"/>
      <c r="E41" s="237"/>
      <c r="F41" s="237"/>
      <c r="G41" s="237"/>
      <c r="H41" s="237"/>
      <c r="I41" s="237"/>
      <c r="J41" s="237"/>
      <c r="K41" s="237"/>
      <c r="L41" s="237"/>
      <c r="M41" s="237"/>
      <c r="N41" s="237"/>
      <c r="O41" s="237"/>
      <c r="P41" s="237"/>
      <c r="Q41" s="237"/>
      <c r="R41" s="237"/>
      <c r="S41" s="237"/>
      <c r="T41" s="237"/>
      <c r="U41" s="237"/>
      <c r="V41" s="237"/>
      <c r="W41" s="237"/>
    </row>
    <row r="42" spans="1:26">
      <c r="A42" s="169"/>
      <c r="B42" s="217"/>
      <c r="C42" s="218"/>
      <c r="D42" s="237"/>
      <c r="E42" s="237"/>
      <c r="F42" s="237"/>
      <c r="G42" s="237"/>
      <c r="H42" s="237"/>
      <c r="I42" s="237"/>
      <c r="J42" s="237"/>
      <c r="K42" s="237"/>
      <c r="L42" s="237"/>
      <c r="M42" s="237"/>
      <c r="N42" s="237"/>
      <c r="O42" s="237"/>
      <c r="P42" s="237"/>
      <c r="Q42" s="237"/>
      <c r="R42" s="237"/>
      <c r="S42" s="237"/>
      <c r="T42" s="237"/>
      <c r="U42" s="237"/>
      <c r="V42" s="237"/>
      <c r="W42" s="237"/>
    </row>
    <row r="43" spans="1:26">
      <c r="A43" s="235" t="s">
        <v>225</v>
      </c>
      <c r="B43" s="217"/>
      <c r="C43" s="218"/>
      <c r="D43" s="219"/>
      <c r="E43" s="219"/>
      <c r="F43" s="219"/>
      <c r="G43" s="219"/>
      <c r="H43" s="219"/>
      <c r="I43" s="219"/>
      <c r="J43" s="219"/>
      <c r="K43" s="219"/>
      <c r="L43" s="219"/>
      <c r="M43" s="219"/>
      <c r="N43" s="219"/>
      <c r="O43" s="219"/>
      <c r="P43" s="219"/>
      <c r="Q43" s="219"/>
      <c r="R43" s="219"/>
      <c r="S43" s="219"/>
      <c r="T43" s="219"/>
      <c r="U43" s="219"/>
      <c r="V43" s="219"/>
      <c r="W43" s="219"/>
      <c r="X43" s="211"/>
      <c r="Y43" s="220"/>
      <c r="Z43" s="220"/>
    </row>
    <row r="44" spans="1:26">
      <c r="A44" s="169" t="s">
        <v>53</v>
      </c>
      <c r="B44" s="217"/>
      <c r="C44" s="218"/>
      <c r="D44" s="219"/>
      <c r="E44" s="219"/>
      <c r="F44" s="219"/>
      <c r="G44" s="219"/>
      <c r="H44" s="219"/>
      <c r="I44" s="219"/>
      <c r="J44" s="219"/>
      <c r="K44" s="219"/>
      <c r="L44" s="219"/>
      <c r="M44" s="219"/>
      <c r="N44" s="219"/>
      <c r="O44" s="219"/>
      <c r="P44" s="219"/>
      <c r="Q44" s="219"/>
      <c r="R44" s="219"/>
      <c r="S44" s="219"/>
      <c r="T44" s="219"/>
      <c r="U44" s="219"/>
      <c r="V44" s="219"/>
      <c r="W44" s="219"/>
      <c r="X44" s="211"/>
      <c r="Y44" s="220"/>
      <c r="Z44" s="220"/>
    </row>
    <row r="45" spans="1:26">
      <c r="A45" s="169"/>
      <c r="B45" s="217"/>
      <c r="C45" s="218"/>
      <c r="D45" s="219"/>
      <c r="E45" s="219"/>
      <c r="F45" s="219"/>
      <c r="G45" s="219"/>
      <c r="H45" s="219"/>
      <c r="I45" s="219"/>
      <c r="J45" s="219"/>
      <c r="K45" s="219"/>
      <c r="L45" s="219"/>
      <c r="M45" s="219"/>
      <c r="N45" s="219"/>
      <c r="O45" s="219"/>
      <c r="P45" s="219"/>
      <c r="Q45" s="219"/>
      <c r="R45" s="219"/>
      <c r="S45" s="219"/>
      <c r="T45" s="219"/>
      <c r="U45" s="219"/>
      <c r="V45" s="219"/>
      <c r="W45" s="219"/>
      <c r="X45" s="211"/>
      <c r="Y45" s="220"/>
      <c r="Z45" s="220"/>
    </row>
    <row r="46" spans="1:26">
      <c r="A46" s="236" t="s">
        <v>51</v>
      </c>
      <c r="B46" s="169"/>
      <c r="C46" s="218"/>
      <c r="D46" s="219"/>
      <c r="E46" s="219"/>
      <c r="F46" s="219"/>
      <c r="G46" s="219"/>
      <c r="H46" s="219"/>
      <c r="I46" s="219"/>
      <c r="J46" s="219"/>
      <c r="K46" s="219"/>
      <c r="L46" s="219"/>
      <c r="M46" s="219"/>
      <c r="N46" s="219"/>
      <c r="O46" s="219"/>
      <c r="P46" s="219"/>
      <c r="Q46" s="219"/>
      <c r="R46" s="219"/>
      <c r="S46" s="219"/>
      <c r="T46" s="219"/>
      <c r="U46" s="219"/>
      <c r="V46" s="219"/>
      <c r="W46" s="219"/>
      <c r="X46" s="211"/>
      <c r="Y46" s="220"/>
      <c r="Z46" s="220"/>
    </row>
    <row r="47" spans="1:26">
      <c r="A47" s="169"/>
      <c r="B47" s="169" t="s">
        <v>227</v>
      </c>
      <c r="C47" s="218"/>
      <c r="D47" s="210">
        <v>64.11023686899189</v>
      </c>
      <c r="E47" s="210">
        <v>65.16178520495788</v>
      </c>
      <c r="F47" s="210">
        <v>66.230581237342975</v>
      </c>
      <c r="G47" s="210">
        <v>67.31690786615431</v>
      </c>
      <c r="H47" s="210">
        <v>68.421052631578945</v>
      </c>
      <c r="I47" s="210">
        <v>67.767228351637073</v>
      </c>
      <c r="J47" s="210">
        <v>67.119651946765785</v>
      </c>
      <c r="K47" s="210">
        <v>66.478263712937448</v>
      </c>
      <c r="L47" s="210">
        <v>65.843004516649714</v>
      </c>
      <c r="M47" s="210">
        <v>65.213815789473685</v>
      </c>
      <c r="N47" s="210">
        <v>64.559364113585431</v>
      </c>
      <c r="O47" s="210">
        <v>63.911480171710068</v>
      </c>
      <c r="P47" s="210">
        <v>63.270098053511326</v>
      </c>
      <c r="Q47" s="210">
        <v>62.63515251009445</v>
      </c>
      <c r="R47" s="210">
        <v>62.006578947368418</v>
      </c>
      <c r="S47" s="210">
        <v>61.12669629598323</v>
      </c>
      <c r="T47" s="210">
        <v>60.259299311334551</v>
      </c>
      <c r="U47" s="210">
        <v>59.404210819939543</v>
      </c>
      <c r="V47" s="210">
        <v>58.561256162433608</v>
      </c>
      <c r="W47" s="210">
        <v>57.73026315789474</v>
      </c>
      <c r="Z47" s="220"/>
    </row>
    <row r="48" spans="1:26">
      <c r="A48" s="180"/>
      <c r="B48" s="169"/>
      <c r="C48" s="169"/>
      <c r="D48" s="210"/>
      <c r="E48" s="210"/>
      <c r="F48" s="210"/>
      <c r="G48" s="210"/>
      <c r="H48" s="210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Z48" s="220"/>
    </row>
    <row r="49" spans="1:26">
      <c r="A49" s="236" t="s">
        <v>52</v>
      </c>
      <c r="B49" s="169"/>
      <c r="C49" s="169"/>
      <c r="D49" s="210"/>
      <c r="E49" s="210"/>
      <c r="F49" s="210"/>
      <c r="G49" s="210"/>
      <c r="H49" s="210"/>
      <c r="I49" s="210"/>
      <c r="J49" s="210"/>
      <c r="K49" s="210"/>
      <c r="L49" s="210"/>
      <c r="M49" s="210"/>
      <c r="N49" s="210"/>
      <c r="O49" s="210"/>
      <c r="P49" s="210"/>
      <c r="Q49" s="210"/>
      <c r="R49" s="210"/>
      <c r="S49" s="210"/>
      <c r="T49" s="210"/>
      <c r="U49" s="210"/>
      <c r="V49" s="210"/>
      <c r="W49" s="210"/>
      <c r="Z49" s="220"/>
    </row>
    <row r="50" spans="1:26">
      <c r="A50" s="169"/>
      <c r="B50" s="169" t="s">
        <v>228</v>
      </c>
      <c r="C50" s="169"/>
      <c r="D50" s="210">
        <f>D47*(1+'Power Price Assumption'!$C$14)^(D4-1998)</f>
        <v>70.054986803142896</v>
      </c>
      <c r="E50" s="210">
        <f>E47*(1+'Power Price Assumption'!$C$14)^(E4-1998)</f>
        <v>73.340163323507738</v>
      </c>
      <c r="F50" s="210">
        <f>F47*(1+'Power Price Assumption'!$C$14)^(F4-1998)</f>
        <v>76.779395754271718</v>
      </c>
      <c r="G50" s="210">
        <f>G47*(1+'Power Price Assumption'!$C$14)^(G4-1998)</f>
        <v>80.379908432812655</v>
      </c>
      <c r="H50" s="210">
        <f>H47*(1+'Power Price Assumption'!$C$14)^(H4-1998)</f>
        <v>84.149264476438475</v>
      </c>
      <c r="I50" s="210">
        <f>I47*(1+'Power Price Assumption'!$C$14)^(I4-1998)</f>
        <v>85.845497374416453</v>
      </c>
      <c r="J50" s="210">
        <f>J47*(1+'Power Price Assumption'!$C$14)^(J4-1998)</f>
        <v>87.575921968092345</v>
      </c>
      <c r="K50" s="210">
        <f>K47*(1+'Power Price Assumption'!$C$14)^(K4-1998)</f>
        <v>89.341227474174616</v>
      </c>
      <c r="L50" s="210">
        <f>L47*(1+'Power Price Assumption'!$C$14)^(L4-1998)</f>
        <v>91.142117002209176</v>
      </c>
      <c r="M50" s="210">
        <f>M47*(1+'Power Price Assumption'!$C$14)^(M4-1998)</f>
        <v>92.979307834623327</v>
      </c>
      <c r="N50" s="210">
        <f>N47*(1+'Power Price Assumption'!$C$14)^(N4-1998)</f>
        <v>94.807602719795241</v>
      </c>
      <c r="O50" s="210">
        <f>O47*(1+'Power Price Assumption'!$C$14)^(O4-1998)</f>
        <v>96.67184820800982</v>
      </c>
      <c r="P50" s="210">
        <f>P47*(1+'Power Price Assumption'!$C$14)^(P4-1998)</f>
        <v>98.572751212506091</v>
      </c>
      <c r="Q50" s="210">
        <f>Q47*(1+'Power Price Assumption'!$C$14)^(Q4-1998)</f>
        <v>100.51103254688311</v>
      </c>
      <c r="R50" s="210">
        <f>R47*(1+'Power Price Assumption'!$C$14)^(R4-1998)</f>
        <v>102.48742719842927</v>
      </c>
      <c r="S50" s="210">
        <f>S47*(1+'Power Price Assumption'!$C$14)^(S4-1998)</f>
        <v>104.06410869865259</v>
      </c>
      <c r="T50" s="210">
        <f>T47*(1+'Power Price Assumption'!$C$14)^(T4-1998)</f>
        <v>105.66504609660987</v>
      </c>
      <c r="U50" s="210">
        <f>U47*(1+'Power Price Assumption'!$C$14)^(U4-1998)</f>
        <v>107.29061254856313</v>
      </c>
      <c r="V50" s="210">
        <f>V47*(1+'Power Price Assumption'!$C$14)^(V4-1998)</f>
        <v>108.94118695146447</v>
      </c>
      <c r="W50" s="210">
        <f>W47*(1+'Power Price Assumption'!$C$14)^(W4-1998)</f>
        <v>110.61715403127204</v>
      </c>
    </row>
    <row r="51" spans="1:26">
      <c r="A51" s="169"/>
      <c r="B51" s="169" t="s">
        <v>229</v>
      </c>
      <c r="C51" s="169"/>
      <c r="D51" s="214">
        <f t="shared" ref="D51:W51" si="4">D50/12</f>
        <v>5.8379155669285749</v>
      </c>
      <c r="E51" s="214">
        <f t="shared" si="4"/>
        <v>6.1116802769589782</v>
      </c>
      <c r="F51" s="214">
        <f t="shared" si="4"/>
        <v>6.3982829795226435</v>
      </c>
      <c r="G51" s="214">
        <f t="shared" si="4"/>
        <v>6.6983257027343877</v>
      </c>
      <c r="H51" s="214">
        <f t="shared" si="4"/>
        <v>7.0124387063698732</v>
      </c>
      <c r="I51" s="214">
        <f t="shared" si="4"/>
        <v>7.1537914478680378</v>
      </c>
      <c r="J51" s="214">
        <f t="shared" si="4"/>
        <v>7.2979934973410288</v>
      </c>
      <c r="K51" s="214">
        <f t="shared" si="4"/>
        <v>7.4451022895145513</v>
      </c>
      <c r="L51" s="214">
        <f t="shared" si="4"/>
        <v>7.5951764168507649</v>
      </c>
      <c r="M51" s="214">
        <f t="shared" si="4"/>
        <v>7.748275652885277</v>
      </c>
      <c r="N51" s="214">
        <f t="shared" si="4"/>
        <v>7.9006335599829365</v>
      </c>
      <c r="O51" s="214">
        <f t="shared" si="4"/>
        <v>8.0559873506674844</v>
      </c>
      <c r="P51" s="214">
        <f t="shared" si="4"/>
        <v>8.2143959343755082</v>
      </c>
      <c r="Q51" s="214">
        <f t="shared" si="4"/>
        <v>8.3759193789069268</v>
      </c>
      <c r="R51" s="214">
        <f t="shared" si="4"/>
        <v>8.54061893320244</v>
      </c>
      <c r="S51" s="214">
        <f t="shared" si="4"/>
        <v>8.6720090582210485</v>
      </c>
      <c r="T51" s="214">
        <f t="shared" si="4"/>
        <v>8.8054205080508225</v>
      </c>
      <c r="U51" s="214">
        <f t="shared" si="4"/>
        <v>8.9408843790469277</v>
      </c>
      <c r="V51" s="214">
        <f t="shared" si="4"/>
        <v>9.0784322459553728</v>
      </c>
      <c r="W51" s="214">
        <f t="shared" si="4"/>
        <v>9.2180961692726697</v>
      </c>
    </row>
    <row r="52" spans="1:26" ht="16.5" thickBot="1">
      <c r="A52" s="169"/>
      <c r="B52" s="169"/>
      <c r="C52" s="169"/>
      <c r="D52" s="215"/>
      <c r="E52" s="215"/>
      <c r="F52" s="216"/>
      <c r="G52" s="216"/>
      <c r="H52" s="216"/>
      <c r="I52" s="216"/>
      <c r="J52" s="216"/>
      <c r="K52" s="216"/>
      <c r="L52" s="216"/>
      <c r="M52" s="216"/>
      <c r="N52" s="216"/>
      <c r="O52" s="216"/>
      <c r="P52" s="216"/>
      <c r="Q52" s="216"/>
      <c r="R52" s="216"/>
      <c r="S52" s="216"/>
      <c r="T52" s="216"/>
      <c r="U52" s="216"/>
      <c r="V52" s="216"/>
      <c r="W52" s="216"/>
    </row>
    <row r="53" spans="1:26" ht="16.5" thickBot="1">
      <c r="A53" s="514" t="s">
        <v>269</v>
      </c>
      <c r="B53" s="515"/>
      <c r="C53" s="516"/>
      <c r="D53" s="517">
        <v>4</v>
      </c>
      <c r="E53" s="517">
        <v>4</v>
      </c>
      <c r="F53" s="517">
        <v>4</v>
      </c>
      <c r="G53" s="517">
        <f>G51</f>
        <v>6.6983257027343877</v>
      </c>
      <c r="H53" s="517">
        <f t="shared" ref="H53:W53" si="5">H51</f>
        <v>7.0124387063698732</v>
      </c>
      <c r="I53" s="517">
        <f t="shared" si="5"/>
        <v>7.1537914478680378</v>
      </c>
      <c r="J53" s="517">
        <f t="shared" si="5"/>
        <v>7.2979934973410288</v>
      </c>
      <c r="K53" s="517">
        <f t="shared" si="5"/>
        <v>7.4451022895145513</v>
      </c>
      <c r="L53" s="517">
        <f t="shared" si="5"/>
        <v>7.5951764168507649</v>
      </c>
      <c r="M53" s="517">
        <f t="shared" si="5"/>
        <v>7.748275652885277</v>
      </c>
      <c r="N53" s="517">
        <f t="shared" si="5"/>
        <v>7.9006335599829365</v>
      </c>
      <c r="O53" s="517">
        <f t="shared" si="5"/>
        <v>8.0559873506674844</v>
      </c>
      <c r="P53" s="517">
        <f t="shared" si="5"/>
        <v>8.2143959343755082</v>
      </c>
      <c r="Q53" s="517">
        <f t="shared" si="5"/>
        <v>8.3759193789069268</v>
      </c>
      <c r="R53" s="517">
        <f t="shared" si="5"/>
        <v>8.54061893320244</v>
      </c>
      <c r="S53" s="517">
        <f t="shared" si="5"/>
        <v>8.6720090582210485</v>
      </c>
      <c r="T53" s="517">
        <f t="shared" si="5"/>
        <v>8.8054205080508225</v>
      </c>
      <c r="U53" s="517">
        <f t="shared" si="5"/>
        <v>8.9408843790469277</v>
      </c>
      <c r="V53" s="517">
        <f t="shared" si="5"/>
        <v>9.0784322459553728</v>
      </c>
      <c r="W53" s="518">
        <f t="shared" si="5"/>
        <v>9.2180961692726697</v>
      </c>
    </row>
    <row r="54" spans="1:26">
      <c r="A54" s="169"/>
      <c r="B54" s="217"/>
      <c r="C54" s="218"/>
      <c r="D54" s="219"/>
      <c r="E54" s="219"/>
      <c r="F54" s="219"/>
      <c r="G54" s="219"/>
      <c r="H54" s="219"/>
      <c r="I54" s="219"/>
      <c r="J54" s="219"/>
      <c r="K54" s="219"/>
      <c r="L54" s="219"/>
      <c r="M54" s="219"/>
      <c r="N54" s="219"/>
      <c r="O54" s="219"/>
      <c r="P54" s="219"/>
      <c r="Q54" s="219"/>
      <c r="R54" s="219"/>
      <c r="S54" s="219"/>
      <c r="T54" s="219"/>
      <c r="U54" s="219"/>
      <c r="V54" s="219"/>
      <c r="W54" s="219"/>
    </row>
    <row r="55" spans="1:26">
      <c r="A55" s="169"/>
      <c r="B55" s="169"/>
      <c r="C55" s="169"/>
      <c r="D55" s="169"/>
      <c r="E55" s="169"/>
      <c r="F55" s="169"/>
      <c r="G55" s="169"/>
      <c r="H55" s="169"/>
      <c r="I55" s="169"/>
      <c r="J55" s="169"/>
      <c r="K55" s="169"/>
      <c r="L55" s="169"/>
      <c r="M55" s="169"/>
      <c r="N55" s="169"/>
      <c r="O55" s="169"/>
      <c r="P55" s="169"/>
      <c r="Q55" s="169"/>
      <c r="R55" s="169"/>
      <c r="S55" s="169"/>
      <c r="T55" s="169"/>
      <c r="U55" s="169"/>
      <c r="V55" s="169"/>
      <c r="W55" s="169"/>
    </row>
    <row r="56" spans="1:26">
      <c r="A56" s="169"/>
      <c r="B56" s="169"/>
      <c r="C56" s="169"/>
      <c r="D56" s="169"/>
      <c r="E56" s="169"/>
      <c r="F56" s="169"/>
      <c r="G56" s="169"/>
      <c r="H56" s="169"/>
      <c r="I56" s="169"/>
      <c r="J56" s="169"/>
      <c r="K56" s="169"/>
      <c r="L56" s="169"/>
      <c r="M56" s="169"/>
      <c r="N56" s="169"/>
      <c r="O56" s="169"/>
      <c r="P56" s="169"/>
      <c r="Q56" s="169"/>
      <c r="R56" s="169"/>
      <c r="S56" s="169"/>
      <c r="T56" s="169"/>
      <c r="U56" s="169"/>
      <c r="V56" s="169"/>
      <c r="W56" s="169"/>
    </row>
    <row r="57" spans="1:26">
      <c r="A57" s="169"/>
      <c r="B57" s="169"/>
      <c r="C57" s="169"/>
      <c r="D57" s="169"/>
      <c r="E57" s="169"/>
      <c r="F57" s="169"/>
      <c r="G57" s="169"/>
      <c r="H57" s="169"/>
      <c r="I57" s="169"/>
      <c r="J57" s="169"/>
      <c r="K57" s="169"/>
      <c r="L57" s="169"/>
      <c r="M57" s="169"/>
      <c r="N57" s="169"/>
      <c r="O57" s="169"/>
      <c r="P57" s="169"/>
      <c r="Q57" s="169"/>
      <c r="R57" s="169"/>
      <c r="S57" s="169"/>
      <c r="T57" s="169"/>
      <c r="U57" s="169"/>
      <c r="V57" s="169"/>
      <c r="W57" s="169"/>
    </row>
    <row r="58" spans="1:26">
      <c r="A58" s="169"/>
      <c r="B58" s="169"/>
      <c r="C58" s="169"/>
      <c r="D58" s="169"/>
      <c r="E58" s="169"/>
      <c r="F58" s="169"/>
      <c r="G58" s="169"/>
      <c r="H58" s="169"/>
      <c r="I58" s="169"/>
      <c r="J58" s="169"/>
      <c r="K58" s="169"/>
      <c r="L58" s="169"/>
      <c r="M58" s="169"/>
      <c r="N58" s="169"/>
      <c r="O58" s="169"/>
      <c r="P58" s="169"/>
      <c r="Q58" s="169"/>
      <c r="R58" s="169"/>
      <c r="S58" s="169"/>
      <c r="T58" s="169"/>
      <c r="U58" s="169"/>
      <c r="V58" s="169"/>
      <c r="W58" s="169"/>
    </row>
    <row r="59" spans="1:26">
      <c r="A59" s="169"/>
      <c r="B59" s="169"/>
      <c r="C59" s="169"/>
      <c r="D59" s="169"/>
      <c r="E59" s="169"/>
      <c r="F59" s="169"/>
      <c r="G59" s="169"/>
      <c r="H59" s="169"/>
      <c r="I59" s="169"/>
      <c r="J59" s="169"/>
      <c r="K59" s="169"/>
      <c r="L59" s="169"/>
      <c r="M59" s="169"/>
      <c r="N59" s="169"/>
      <c r="O59" s="169"/>
      <c r="P59" s="169"/>
      <c r="Q59" s="169"/>
      <c r="R59" s="169"/>
      <c r="S59" s="169"/>
      <c r="T59" s="169"/>
      <c r="U59" s="169"/>
      <c r="V59" s="169"/>
      <c r="W59" s="169"/>
    </row>
    <row r="60" spans="1:26">
      <c r="A60" s="169"/>
      <c r="B60" s="169"/>
      <c r="C60" s="218"/>
      <c r="D60" s="222"/>
      <c r="E60" s="222"/>
      <c r="F60" s="222"/>
      <c r="G60" s="222"/>
      <c r="H60" s="222"/>
      <c r="I60" s="222"/>
      <c r="J60" s="222"/>
      <c r="K60" s="222"/>
      <c r="L60" s="222"/>
      <c r="M60" s="222"/>
      <c r="N60" s="222"/>
      <c r="O60" s="222"/>
      <c r="P60" s="222"/>
      <c r="Q60" s="222"/>
      <c r="R60" s="222"/>
      <c r="S60" s="222"/>
      <c r="T60" s="222"/>
      <c r="U60" s="222"/>
      <c r="V60" s="222"/>
      <c r="W60" s="222"/>
    </row>
    <row r="61" spans="1:26">
      <c r="A61" s="169"/>
      <c r="B61" s="169"/>
      <c r="C61" s="218"/>
      <c r="D61" s="222"/>
      <c r="E61" s="222"/>
      <c r="F61" s="222"/>
      <c r="G61" s="222"/>
      <c r="H61" s="222"/>
      <c r="I61" s="222"/>
      <c r="J61" s="222"/>
      <c r="K61" s="222"/>
      <c r="L61" s="222"/>
      <c r="M61" s="222"/>
      <c r="N61" s="222"/>
      <c r="O61" s="222"/>
      <c r="P61" s="222"/>
      <c r="Q61" s="222"/>
      <c r="R61" s="222"/>
      <c r="S61" s="222"/>
      <c r="T61" s="222"/>
      <c r="U61" s="222"/>
      <c r="V61" s="222"/>
      <c r="W61" s="222"/>
    </row>
    <row r="62" spans="1:26">
      <c r="A62" s="169"/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</row>
    <row r="63" spans="1:26">
      <c r="A63" s="169"/>
      <c r="B63" s="169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R63" s="169"/>
      <c r="S63" s="169"/>
      <c r="T63" s="169"/>
      <c r="U63" s="169"/>
      <c r="V63" s="169"/>
      <c r="W63" s="169"/>
    </row>
    <row r="64" spans="1:26">
      <c r="A64" s="169"/>
      <c r="B64" s="169"/>
      <c r="C64" s="169"/>
      <c r="D64" s="169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69"/>
      <c r="T64" s="169"/>
      <c r="U64" s="169"/>
      <c r="V64" s="169"/>
      <c r="W64" s="169"/>
    </row>
    <row r="65" spans="1:23">
      <c r="A65" s="169"/>
      <c r="B65" s="169"/>
      <c r="C65" s="169"/>
      <c r="D65" s="169"/>
      <c r="E65" s="169"/>
      <c r="F65" s="169"/>
      <c r="G65" s="169"/>
      <c r="H65" s="169"/>
      <c r="I65" s="169"/>
      <c r="J65" s="169"/>
      <c r="K65" s="169"/>
      <c r="L65" s="169"/>
      <c r="M65" s="169"/>
      <c r="N65" s="169"/>
      <c r="O65" s="169"/>
      <c r="P65" s="169"/>
      <c r="Q65" s="169"/>
      <c r="R65" s="169"/>
      <c r="S65" s="169"/>
      <c r="T65" s="169"/>
      <c r="U65" s="169"/>
      <c r="V65" s="169"/>
      <c r="W65" s="169"/>
    </row>
    <row r="66" spans="1:23">
      <c r="A66" s="169"/>
      <c r="B66" s="169"/>
      <c r="C66" s="169"/>
      <c r="D66" s="169"/>
      <c r="E66" s="169"/>
      <c r="F66" s="169"/>
      <c r="G66" s="169"/>
      <c r="H66" s="169"/>
      <c r="I66" s="169"/>
      <c r="J66" s="169"/>
      <c r="K66" s="169"/>
      <c r="L66" s="169"/>
      <c r="M66" s="169"/>
      <c r="N66" s="169"/>
      <c r="O66" s="169"/>
      <c r="P66" s="169"/>
      <c r="Q66" s="169"/>
      <c r="R66" s="169"/>
      <c r="S66" s="169"/>
      <c r="T66" s="169"/>
      <c r="U66" s="169"/>
      <c r="V66" s="169"/>
      <c r="W66" s="169"/>
    </row>
    <row r="67" spans="1:23">
      <c r="A67" s="169"/>
      <c r="B67" s="169"/>
      <c r="C67" s="169"/>
      <c r="D67" s="169"/>
      <c r="E67" s="169"/>
      <c r="F67" s="169"/>
      <c r="G67" s="169"/>
      <c r="H67" s="169"/>
      <c r="I67" s="169"/>
      <c r="J67" s="169"/>
      <c r="K67" s="169"/>
      <c r="L67" s="169"/>
      <c r="M67" s="169"/>
      <c r="N67" s="169"/>
      <c r="O67" s="169"/>
      <c r="P67" s="169"/>
      <c r="Q67" s="169"/>
      <c r="R67" s="169"/>
      <c r="S67" s="169"/>
      <c r="T67" s="169"/>
      <c r="U67" s="169"/>
      <c r="V67" s="169"/>
      <c r="W67" s="169"/>
    </row>
    <row r="68" spans="1:23">
      <c r="A68" s="169"/>
      <c r="B68" s="169"/>
      <c r="C68" s="169"/>
      <c r="D68" s="169"/>
      <c r="E68" s="169"/>
      <c r="F68" s="169"/>
      <c r="G68" s="169"/>
      <c r="H68" s="169"/>
      <c r="I68" s="169"/>
      <c r="J68" s="169"/>
      <c r="K68" s="169"/>
      <c r="L68" s="169"/>
      <c r="M68" s="169"/>
      <c r="N68" s="169"/>
      <c r="O68" s="169"/>
      <c r="P68" s="169"/>
      <c r="Q68" s="169"/>
      <c r="R68" s="169"/>
      <c r="S68" s="169"/>
      <c r="T68" s="169"/>
      <c r="U68" s="169"/>
      <c r="V68" s="169"/>
      <c r="W68" s="169"/>
    </row>
    <row r="69" spans="1:23">
      <c r="A69" s="169"/>
      <c r="B69" s="169"/>
      <c r="C69" s="169"/>
      <c r="D69" s="169"/>
      <c r="E69" s="169"/>
      <c r="F69" s="169"/>
      <c r="G69" s="169"/>
      <c r="H69" s="169"/>
      <c r="I69" s="169"/>
      <c r="J69" s="169"/>
      <c r="K69" s="169"/>
      <c r="L69" s="169"/>
      <c r="M69" s="169"/>
      <c r="N69" s="169"/>
      <c r="O69" s="169"/>
      <c r="P69" s="169"/>
      <c r="Q69" s="169"/>
      <c r="R69" s="169"/>
      <c r="S69" s="169"/>
      <c r="T69" s="169"/>
      <c r="U69" s="169"/>
      <c r="V69" s="169"/>
      <c r="W69" s="169"/>
    </row>
    <row r="70" spans="1:23">
      <c r="A70" s="169"/>
      <c r="B70" s="169"/>
      <c r="C70" s="169"/>
      <c r="D70" s="169"/>
      <c r="E70" s="169"/>
      <c r="F70" s="169"/>
      <c r="G70" s="169"/>
      <c r="H70" s="169"/>
      <c r="I70" s="169"/>
      <c r="J70" s="169"/>
      <c r="K70" s="169"/>
      <c r="L70" s="169"/>
      <c r="M70" s="169"/>
      <c r="N70" s="169"/>
      <c r="O70" s="169"/>
      <c r="P70" s="169"/>
      <c r="Q70" s="169"/>
      <c r="R70" s="169"/>
      <c r="S70" s="169"/>
      <c r="T70" s="169"/>
      <c r="U70" s="169"/>
      <c r="V70" s="169"/>
      <c r="W70" s="169"/>
    </row>
    <row r="71" spans="1:23">
      <c r="A71" s="169"/>
      <c r="B71" s="169"/>
      <c r="C71" s="169"/>
    </row>
    <row r="72" spans="1:23">
      <c r="A72" s="169"/>
      <c r="B72" s="169"/>
      <c r="C72" s="169"/>
    </row>
  </sheetData>
  <pageMargins left="0.75" right="0.75" top="1" bottom="1" header="0.5" footer="0.5"/>
  <pageSetup scale="46" orientation="landscape" r:id="rId1"/>
  <headerFooter alignWithMargins="0">
    <oddHeader>&amp;L&amp;12Enron's Generation&amp;RCONFIDENTIAL</oddHeader>
    <oddFooter>&amp;L&amp;D&amp;C&amp;F&amp;RPage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2:AS55"/>
  <sheetViews>
    <sheetView topLeftCell="A20" zoomScale="85" zoomScaleNormal="75" workbookViewId="0">
      <selection activeCell="B55" sqref="B55"/>
    </sheetView>
  </sheetViews>
  <sheetFormatPr defaultRowHeight="12.75"/>
  <cols>
    <col min="1" max="1" width="33.7109375" style="16" customWidth="1"/>
    <col min="2" max="21" width="12.5703125" style="16" customWidth="1"/>
    <col min="22" max="22" width="12.5703125" style="7" customWidth="1"/>
    <col min="23" max="23" width="11.140625" style="7" bestFit="1" customWidth="1"/>
    <col min="24" max="24" width="11.5703125" style="16" bestFit="1" customWidth="1"/>
    <col min="25" max="16384" width="9.140625" style="16"/>
  </cols>
  <sheetData>
    <row r="2" spans="1:45" ht="18.75">
      <c r="A2" s="52" t="s">
        <v>152</v>
      </c>
      <c r="B2" s="26"/>
    </row>
    <row r="3" spans="1:45" ht="16.5" customHeight="1">
      <c r="A3" s="464"/>
      <c r="B3" s="421"/>
      <c r="C3" s="421"/>
      <c r="D3" s="421"/>
      <c r="E3" s="421"/>
      <c r="F3" s="421"/>
      <c r="G3" s="421"/>
      <c r="H3" s="421"/>
      <c r="I3" s="421"/>
      <c r="J3" s="421"/>
      <c r="K3" s="421"/>
      <c r="L3" s="421"/>
      <c r="M3" s="421"/>
      <c r="N3" s="421"/>
      <c r="O3" s="421"/>
      <c r="P3" s="421"/>
      <c r="Q3" s="421"/>
      <c r="R3" s="421"/>
      <c r="S3" s="421"/>
      <c r="T3" s="421"/>
      <c r="U3" s="421"/>
    </row>
    <row r="4" spans="1:45">
      <c r="A4" s="464"/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</row>
    <row r="5" spans="1:45" s="7" customFormat="1" ht="13.5" thickBot="1">
      <c r="A5" s="194" t="s">
        <v>56</v>
      </c>
      <c r="B5" s="8">
        <f>Brownsville!$B$5</f>
        <v>2001</v>
      </c>
      <c r="C5" s="8">
        <f t="shared" ref="C5:U5" si="0">B5+1</f>
        <v>2002</v>
      </c>
      <c r="D5" s="8">
        <f>C5+1</f>
        <v>2003</v>
      </c>
      <c r="E5" s="8">
        <f>D5+1</f>
        <v>2004</v>
      </c>
      <c r="F5" s="8">
        <f t="shared" si="0"/>
        <v>2005</v>
      </c>
      <c r="G5" s="8">
        <f t="shared" si="0"/>
        <v>2006</v>
      </c>
      <c r="H5" s="8">
        <f t="shared" si="0"/>
        <v>2007</v>
      </c>
      <c r="I5" s="8">
        <f t="shared" si="0"/>
        <v>2008</v>
      </c>
      <c r="J5" s="8">
        <f t="shared" si="0"/>
        <v>2009</v>
      </c>
      <c r="K5" s="8">
        <f>J5+1</f>
        <v>2010</v>
      </c>
      <c r="L5" s="8">
        <f t="shared" si="0"/>
        <v>2011</v>
      </c>
      <c r="M5" s="8">
        <f t="shared" si="0"/>
        <v>2012</v>
      </c>
      <c r="N5" s="8">
        <f t="shared" si="0"/>
        <v>2013</v>
      </c>
      <c r="O5" s="8">
        <f t="shared" si="0"/>
        <v>2014</v>
      </c>
      <c r="P5" s="8">
        <f t="shared" si="0"/>
        <v>2015</v>
      </c>
      <c r="Q5" s="8">
        <f t="shared" si="0"/>
        <v>2016</v>
      </c>
      <c r="R5" s="8">
        <f t="shared" si="0"/>
        <v>2017</v>
      </c>
      <c r="S5" s="8">
        <f t="shared" si="0"/>
        <v>2018</v>
      </c>
      <c r="T5" s="8">
        <f t="shared" si="0"/>
        <v>2019</v>
      </c>
      <c r="U5" s="8">
        <f t="shared" si="0"/>
        <v>2020</v>
      </c>
      <c r="V5" s="9"/>
      <c r="W5" s="9"/>
      <c r="Y5" s="473">
        <f>SUM(Z5:AS5)-SUM(Z6:AS6)</f>
        <v>0</v>
      </c>
      <c r="Z5" s="474">
        <f>B11+B12</f>
        <v>11141.219198871495</v>
      </c>
      <c r="AA5" s="474">
        <f>C11+C12</f>
        <v>11475.455774837641</v>
      </c>
      <c r="AB5" s="474">
        <f>D11+D12</f>
        <v>11819.719448082771</v>
      </c>
      <c r="AC5" s="474">
        <f t="shared" ref="AC5:AS5" si="1">E17</f>
        <v>10120.257453275251</v>
      </c>
      <c r="AD5" s="474">
        <f t="shared" si="1"/>
        <v>10423.865176873511</v>
      </c>
      <c r="AE5" s="474">
        <f t="shared" si="1"/>
        <v>10736.581132179715</v>
      </c>
      <c r="AF5" s="474">
        <f t="shared" si="1"/>
        <v>11058.678566145109</v>
      </c>
      <c r="AG5" s="474">
        <f t="shared" si="1"/>
        <v>11390.438923129459</v>
      </c>
      <c r="AH5" s="474">
        <f t="shared" si="1"/>
        <v>11732.152090823341</v>
      </c>
      <c r="AI5" s="474">
        <f t="shared" si="1"/>
        <v>12084.116653548044</v>
      </c>
      <c r="AJ5" s="474">
        <f t="shared" si="1"/>
        <v>12446.640153154485</v>
      </c>
      <c r="AK5" s="474">
        <f t="shared" si="1"/>
        <v>12820.039357749118</v>
      </c>
      <c r="AL5" s="474">
        <f t="shared" si="1"/>
        <v>13204.64053848159</v>
      </c>
      <c r="AM5" s="474">
        <f t="shared" si="1"/>
        <v>13600.779754636038</v>
      </c>
      <c r="AN5" s="474">
        <f t="shared" si="1"/>
        <v>14008.803147275121</v>
      </c>
      <c r="AO5" s="474">
        <f t="shared" si="1"/>
        <v>14429.067241693374</v>
      </c>
      <c r="AP5" s="474">
        <f t="shared" si="1"/>
        <v>14861.939258944176</v>
      </c>
      <c r="AQ5" s="474">
        <f t="shared" si="1"/>
        <v>15307.797436712499</v>
      </c>
      <c r="AR5" s="474">
        <f t="shared" si="1"/>
        <v>15767.031359813875</v>
      </c>
      <c r="AS5" s="474">
        <f t="shared" si="1"/>
        <v>16240.042300608293</v>
      </c>
    </row>
    <row r="6" spans="1:45">
      <c r="A6" s="2"/>
      <c r="B6" s="120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Y6" s="473">
        <v>0</v>
      </c>
      <c r="Z6" s="475">
        <f>B24+B25</f>
        <v>11141.219198871495</v>
      </c>
      <c r="AA6" s="475">
        <f>C24+C25</f>
        <v>11475.455774837641</v>
      </c>
      <c r="AB6" s="475">
        <f>D24+D25</f>
        <v>11819.719448082771</v>
      </c>
      <c r="AC6" s="475">
        <f t="shared" ref="AC6:AS6" si="2">E24+1/3*E25</f>
        <v>10120.257453275251</v>
      </c>
      <c r="AD6" s="475">
        <f t="shared" si="2"/>
        <v>10423.865176873511</v>
      </c>
      <c r="AE6" s="475">
        <f t="shared" si="2"/>
        <v>10736.581132179715</v>
      </c>
      <c r="AF6" s="475">
        <f t="shared" si="2"/>
        <v>11058.678566145109</v>
      </c>
      <c r="AG6" s="475">
        <f t="shared" si="2"/>
        <v>11390.438923129459</v>
      </c>
      <c r="AH6" s="475">
        <f t="shared" si="2"/>
        <v>11732.152090823341</v>
      </c>
      <c r="AI6" s="475">
        <f t="shared" si="2"/>
        <v>12084.116653548044</v>
      </c>
      <c r="AJ6" s="475">
        <f t="shared" si="2"/>
        <v>12446.640153154483</v>
      </c>
      <c r="AK6" s="475">
        <f t="shared" si="2"/>
        <v>12820.039357749116</v>
      </c>
      <c r="AL6" s="475">
        <f t="shared" si="2"/>
        <v>13204.640538481592</v>
      </c>
      <c r="AM6" s="475">
        <f t="shared" si="2"/>
        <v>13600.779754636038</v>
      </c>
      <c r="AN6" s="475">
        <f t="shared" si="2"/>
        <v>14008.803147275125</v>
      </c>
      <c r="AO6" s="475">
        <f t="shared" si="2"/>
        <v>14429.067241693374</v>
      </c>
      <c r="AP6" s="475">
        <f t="shared" si="2"/>
        <v>14861.939258944176</v>
      </c>
      <c r="AQ6" s="475">
        <f t="shared" si="2"/>
        <v>15307.797436712501</v>
      </c>
      <c r="AR6" s="475">
        <f t="shared" si="2"/>
        <v>15767.031359813875</v>
      </c>
      <c r="AS6" s="475">
        <f t="shared" si="2"/>
        <v>16240.042300608293</v>
      </c>
    </row>
    <row r="7" spans="1:45">
      <c r="A7" s="2"/>
      <c r="B7" s="420"/>
      <c r="C7" s="420"/>
      <c r="D7" s="420"/>
      <c r="E7" s="420"/>
      <c r="F7" s="420"/>
      <c r="G7" s="420"/>
      <c r="H7" s="420"/>
      <c r="I7" s="420"/>
      <c r="J7" s="420"/>
      <c r="K7" s="420"/>
      <c r="L7" s="420"/>
      <c r="M7" s="420"/>
      <c r="N7" s="420"/>
      <c r="O7" s="420"/>
      <c r="P7" s="420"/>
      <c r="Q7" s="420"/>
      <c r="R7" s="420"/>
      <c r="S7" s="420"/>
      <c r="T7" s="420"/>
      <c r="U7" s="420"/>
    </row>
    <row r="8" spans="1:45">
      <c r="A8" s="1" t="s">
        <v>57</v>
      </c>
      <c r="B8" s="421"/>
      <c r="C8" s="421"/>
      <c r="D8" s="421"/>
      <c r="E8" s="421"/>
      <c r="F8" s="421"/>
      <c r="G8" s="421"/>
      <c r="H8" s="421"/>
      <c r="I8" s="421"/>
      <c r="J8" s="421"/>
      <c r="K8" s="421"/>
      <c r="L8" s="421"/>
      <c r="M8" s="421"/>
      <c r="N8" s="421"/>
      <c r="O8" s="421"/>
      <c r="P8" s="421"/>
      <c r="Q8" s="421"/>
      <c r="R8" s="421"/>
      <c r="S8" s="421"/>
      <c r="T8" s="421"/>
      <c r="U8" s="421"/>
      <c r="V8" s="91"/>
      <c r="W8" s="91"/>
    </row>
    <row r="9" spans="1:45">
      <c r="A9" s="347"/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91"/>
      <c r="W9" s="91"/>
    </row>
    <row r="10" spans="1:45">
      <c r="A10" s="3" t="s">
        <v>58</v>
      </c>
      <c r="B10" s="122">
        <f>SUM(Caledonia!B9,'New Albany'!B9,Wheatland!B9,Wilton!B9,Brownsville!B9,Gleason!B9)</f>
        <v>138384</v>
      </c>
      <c r="C10" s="122">
        <f>SUM(Caledonia!C9,'New Albany'!C9,Wheatland!C9,Wilton!C9,Brownsville!C9,Gleason!C9)</f>
        <v>138384</v>
      </c>
      <c r="D10" s="122">
        <f>SUM(Caledonia!D9,'New Albany'!D9,Wheatland!D9,Wilton!D9,Brownsville!D9,Gleason!D9)</f>
        <v>138384</v>
      </c>
      <c r="E10" s="122">
        <f>SUM(Caledonia!E9,'New Albany'!E9,Wheatland!E9,Wilton!E9,Brownsville!E9,Gleason!E9)</f>
        <v>0</v>
      </c>
      <c r="F10" s="122">
        <f>SUM(Caledonia!F9,'New Albany'!F9,Wheatland!F9,Wilton!F9,Brownsville!F9,Gleason!F9)</f>
        <v>0</v>
      </c>
      <c r="G10" s="122">
        <f>SUM(Caledonia!G9,'New Albany'!G9,Wheatland!G9,Wilton!G9,Brownsville!G9,Gleason!G9)</f>
        <v>0</v>
      </c>
      <c r="H10" s="122">
        <f>SUM(Caledonia!H9,'New Albany'!H9,Wheatland!H9,Wilton!H9,Brownsville!H9,Gleason!H9)</f>
        <v>0</v>
      </c>
      <c r="I10" s="122">
        <f>SUM(Caledonia!I9,'New Albany'!I9,Wheatland!I9,Wilton!I9,Brownsville!I9,Gleason!I9)</f>
        <v>0</v>
      </c>
      <c r="J10" s="122">
        <f>SUM(Caledonia!J9,'New Albany'!J9,Wheatland!J9,Wilton!J9,Brownsville!J9,Gleason!J9)</f>
        <v>0</v>
      </c>
      <c r="K10" s="122">
        <f>SUM(Caledonia!K9,'New Albany'!K9,Wheatland!K9,Wilton!K9,Brownsville!K9,Gleason!K9)</f>
        <v>0</v>
      </c>
      <c r="L10" s="122">
        <f>SUM(Caledonia!L9,'New Albany'!L9,Wheatland!L9,Wilton!L9,Brownsville!L9,Gleason!L9)</f>
        <v>0</v>
      </c>
      <c r="M10" s="122">
        <f>SUM(Caledonia!M9,'New Albany'!M9,Wheatland!M9,Wilton!M9,Brownsville!M9,Gleason!M9)</f>
        <v>0</v>
      </c>
      <c r="N10" s="122">
        <f>SUM(Caledonia!N9,'New Albany'!N9,Wheatland!N9,Wilton!N9,Brownsville!N9,Gleason!N9)</f>
        <v>0</v>
      </c>
      <c r="O10" s="122">
        <f>SUM(Caledonia!O9,'New Albany'!O9,Wheatland!O9,Wilton!O9,Brownsville!O9,Gleason!O9)</f>
        <v>0</v>
      </c>
      <c r="P10" s="122">
        <f>SUM(Caledonia!P9,'New Albany'!P9,Wheatland!P9,Wilton!P9,Brownsville!P9,Gleason!P9)</f>
        <v>0</v>
      </c>
      <c r="Q10" s="122">
        <f>SUM(Caledonia!Q9,'New Albany'!Q9,Wheatland!Q9,Wilton!Q9,Brownsville!Q9,Gleason!Q9)</f>
        <v>0</v>
      </c>
      <c r="R10" s="122">
        <f>SUM(Caledonia!R9,'New Albany'!R9,Wheatland!R9,Wilton!R9,Brownsville!R9,Gleason!R9)</f>
        <v>0</v>
      </c>
      <c r="S10" s="122">
        <f>SUM(Caledonia!S9,'New Albany'!S9,Wheatland!S9,Wilton!S9,Brownsville!S9,Gleason!S9)</f>
        <v>0</v>
      </c>
      <c r="T10" s="122">
        <f>SUM(Caledonia!T9,'New Albany'!T9,Wheatland!T9,Wilton!T9,Brownsville!T9,Gleason!T9)</f>
        <v>0</v>
      </c>
      <c r="U10" s="122">
        <f>SUM(Caledonia!U9,'New Albany'!U9,Wheatland!U9,Wilton!U9,Brownsville!U9,Gleason!U9)</f>
        <v>0</v>
      </c>
      <c r="W10" s="450">
        <f>SUM(B10:U10)</f>
        <v>415152</v>
      </c>
      <c r="X10" s="404">
        <f>SUM(Caledonia!W9,'New Albany'!W9,Wheatland!W9,Wilton!W9,Brownsville!W9,Gleason!W9)</f>
        <v>415152</v>
      </c>
      <c r="Y10" s="404">
        <f>W10-X10</f>
        <v>0</v>
      </c>
    </row>
    <row r="11" spans="1:45">
      <c r="A11" s="3" t="s">
        <v>208</v>
      </c>
      <c r="B11" s="122">
        <f>SUM(Caledonia!B10,'New Albany'!B10,Wheatland!B10,Wilton!B10,Brownsville!B10,Gleason!B10)</f>
        <v>8321.5941988714949</v>
      </c>
      <c r="C11" s="122">
        <f>SUM(Caledonia!C10,'New Albany'!C10,Wheatland!C10,Wilton!C10,Brownsville!C10,Gleason!C10)</f>
        <v>8571.2420248376402</v>
      </c>
      <c r="D11" s="122">
        <f>SUM(Caledonia!D10,'New Albany'!D10,Wheatland!D10,Wilton!D10,Brownsville!D10,Gleason!D10)</f>
        <v>8828.3792855827705</v>
      </c>
      <c r="E11" s="122">
        <f>SUM(Caledonia!E10,'New Albany'!E10,Wheatland!E10,Wilton!E10,Brownsville!E10,Gleason!E10)</f>
        <v>0</v>
      </c>
      <c r="F11" s="122">
        <f>SUM(Caledonia!F10,'New Albany'!F10,Wheatland!F10,Wilton!F10,Brownsville!F10,Gleason!F10)</f>
        <v>0</v>
      </c>
      <c r="G11" s="122">
        <f>SUM(Caledonia!G10,'New Albany'!G10,Wheatland!G10,Wilton!G10,Brownsville!G10,Gleason!G10)</f>
        <v>0</v>
      </c>
      <c r="H11" s="122">
        <f>SUM(Caledonia!H10,'New Albany'!H10,Wheatland!H10,Wilton!H10,Brownsville!H10,Gleason!H10)</f>
        <v>0</v>
      </c>
      <c r="I11" s="122">
        <f>SUM(Caledonia!I10,'New Albany'!I10,Wheatland!I10,Wilton!I10,Brownsville!I10,Gleason!I10)</f>
        <v>0</v>
      </c>
      <c r="J11" s="122">
        <f>SUM(Caledonia!J10,'New Albany'!J10,Wheatland!J10,Wilton!J10,Brownsville!J10,Gleason!J10)</f>
        <v>0</v>
      </c>
      <c r="K11" s="122">
        <f>SUM(Caledonia!K10,'New Albany'!K10,Wheatland!K10,Wilton!K10,Brownsville!K10,Gleason!K10)</f>
        <v>0</v>
      </c>
      <c r="L11" s="122">
        <f>SUM(Caledonia!L10,'New Albany'!L10,Wheatland!L10,Wilton!L10,Brownsville!L10,Gleason!L10)</f>
        <v>0</v>
      </c>
      <c r="M11" s="122">
        <f>SUM(Caledonia!M10,'New Albany'!M10,Wheatland!M10,Wilton!M10,Brownsville!M10,Gleason!M10)</f>
        <v>0</v>
      </c>
      <c r="N11" s="122">
        <f>SUM(Caledonia!N10,'New Albany'!N10,Wheatland!N10,Wilton!N10,Brownsville!N10,Gleason!N10)</f>
        <v>0</v>
      </c>
      <c r="O11" s="122">
        <f>SUM(Caledonia!O10,'New Albany'!O10,Wheatland!O10,Wilton!O10,Brownsville!O10,Gleason!O10)</f>
        <v>0</v>
      </c>
      <c r="P11" s="122">
        <f>SUM(Caledonia!P10,'New Albany'!P10,Wheatland!P10,Wilton!P10,Brownsville!P10,Gleason!P10)</f>
        <v>0</v>
      </c>
      <c r="Q11" s="122">
        <f>SUM(Caledonia!Q10,'New Albany'!Q10,Wheatland!Q10,Wilton!Q10,Brownsville!Q10,Gleason!Q10)</f>
        <v>0</v>
      </c>
      <c r="R11" s="122">
        <f>SUM(Caledonia!R10,'New Albany'!R10,Wheatland!R10,Wilton!R10,Brownsville!R10,Gleason!R10)</f>
        <v>0</v>
      </c>
      <c r="S11" s="122">
        <f>SUM(Caledonia!S10,'New Albany'!S10,Wheatland!S10,Wilton!S10,Brownsville!S10,Gleason!S10)</f>
        <v>0</v>
      </c>
      <c r="T11" s="122">
        <f>SUM(Caledonia!T10,'New Albany'!T10,Wheatland!T10,Wilton!T10,Brownsville!T10,Gleason!T10)</f>
        <v>0</v>
      </c>
      <c r="U11" s="122">
        <f>SUM(Caledonia!U10,'New Albany'!U10,Wheatland!U10,Wilton!U10,Brownsville!U10,Gleason!U10)</f>
        <v>0</v>
      </c>
      <c r="W11" s="450">
        <f>SUM(B11:U11)</f>
        <v>25721.215509291906</v>
      </c>
      <c r="X11" s="404">
        <f>SUM(Caledonia!W10,'New Albany'!W10,Wheatland!W10,Wilton!W10,Brownsville!W10,Gleason!W10)</f>
        <v>25721.215509291909</v>
      </c>
      <c r="Y11" s="404">
        <f>W11-X11</f>
        <v>0</v>
      </c>
    </row>
    <row r="12" spans="1:45">
      <c r="A12" s="3" t="s">
        <v>255</v>
      </c>
      <c r="B12" s="122">
        <f>SUM(Caledonia!B11,'New Albany'!B11,Wheatland!B11,Wilton!B11,Brownsville!B11,Gleason!B11)</f>
        <v>2819.625</v>
      </c>
      <c r="C12" s="122">
        <f>SUM(Caledonia!C11,'New Albany'!C11,Wheatland!C11,Wilton!C11,Brownsville!C11,Gleason!C11)</f>
        <v>2904.2137500000003</v>
      </c>
      <c r="D12" s="122">
        <f>SUM(Caledonia!D11,'New Albany'!D11,Wheatland!D11,Wilton!D11,Brownsville!D11,Gleason!D11)</f>
        <v>2991.3401625000001</v>
      </c>
      <c r="E12" s="122">
        <f>SUM(Caledonia!E11,'New Albany'!E11,Wheatland!E11,Wilton!E11,Brownsville!E11,Gleason!E11)</f>
        <v>0</v>
      </c>
      <c r="F12" s="122">
        <f>SUM(Caledonia!F11,'New Albany'!F11,Wheatland!F11,Wilton!F11,Brownsville!F11,Gleason!F11)</f>
        <v>0</v>
      </c>
      <c r="G12" s="122">
        <f>SUM(Caledonia!G11,'New Albany'!G11,Wheatland!G11,Wilton!G11,Brownsville!G11,Gleason!G11)</f>
        <v>0</v>
      </c>
      <c r="H12" s="122">
        <f>SUM(Caledonia!H11,'New Albany'!H11,Wheatland!H11,Wilton!H11,Brownsville!H11,Gleason!H11)</f>
        <v>0</v>
      </c>
      <c r="I12" s="122">
        <f>SUM(Caledonia!I11,'New Albany'!I11,Wheatland!I11,Wilton!I11,Brownsville!I11,Gleason!I11)</f>
        <v>0</v>
      </c>
      <c r="J12" s="122">
        <f>SUM(Caledonia!J11,'New Albany'!J11,Wheatland!J11,Wilton!J11,Brownsville!J11,Gleason!J11)</f>
        <v>0</v>
      </c>
      <c r="K12" s="122">
        <f>SUM(Caledonia!K11,'New Albany'!K11,Wheatland!K11,Wilton!K11,Brownsville!K11,Gleason!K11)</f>
        <v>0</v>
      </c>
      <c r="L12" s="122">
        <f>SUM(Caledonia!L11,'New Albany'!L11,Wheatland!L11,Wilton!L11,Brownsville!L11,Gleason!L11)</f>
        <v>0</v>
      </c>
      <c r="M12" s="122">
        <f>SUM(Caledonia!M11,'New Albany'!M11,Wheatland!M11,Wilton!M11,Brownsville!M11,Gleason!M11)</f>
        <v>0</v>
      </c>
      <c r="N12" s="122">
        <f>SUM(Caledonia!N11,'New Albany'!N11,Wheatland!N11,Wilton!N11,Brownsville!N11,Gleason!N11)</f>
        <v>0</v>
      </c>
      <c r="O12" s="122">
        <f>SUM(Caledonia!O11,'New Albany'!O11,Wheatland!O11,Wilton!O11,Brownsville!O11,Gleason!O11)</f>
        <v>0</v>
      </c>
      <c r="P12" s="122">
        <f>SUM(Caledonia!P11,'New Albany'!P11,Wheatland!P11,Wilton!P11,Brownsville!P11,Gleason!P11)</f>
        <v>0</v>
      </c>
      <c r="Q12" s="122">
        <f>SUM(Caledonia!Q11,'New Albany'!Q11,Wheatland!Q11,Wilton!Q11,Brownsville!Q11,Gleason!Q11)</f>
        <v>0</v>
      </c>
      <c r="R12" s="122">
        <f>SUM(Caledonia!R11,'New Albany'!R11,Wheatland!R11,Wilton!R11,Brownsville!R11,Gleason!R11)</f>
        <v>0</v>
      </c>
      <c r="S12" s="122">
        <f>SUM(Caledonia!S11,'New Albany'!S11,Wheatland!S11,Wilton!S11,Brownsville!S11,Gleason!S11)</f>
        <v>0</v>
      </c>
      <c r="T12" s="122">
        <f>SUM(Caledonia!T11,'New Albany'!T11,Wheatland!T11,Wilton!T11,Brownsville!T11,Gleason!T11)</f>
        <v>0</v>
      </c>
      <c r="U12" s="122">
        <f>SUM(Caledonia!U11,'New Albany'!U11,Wheatland!U11,Wilton!U11,Brownsville!U11,Gleason!U11)</f>
        <v>0</v>
      </c>
      <c r="W12" s="450">
        <f>SUM(B12:U12)</f>
        <v>8715.1789125000014</v>
      </c>
      <c r="X12" s="404">
        <f>SUM(Caledonia!W11,'New Albany'!W11,Wheatland!W11,Wilton!W11,Brownsville!W11,Gleason!W11)</f>
        <v>8715.1789124999996</v>
      </c>
      <c r="Y12" s="404">
        <f>W12-X12</f>
        <v>0</v>
      </c>
    </row>
    <row r="13" spans="1:45">
      <c r="A13" s="3" t="s">
        <v>275</v>
      </c>
      <c r="B13" s="122">
        <f>SUM(Caledonia!B12,'New Albany'!B12,Wheatland!B12,Wilton!B12,Brownsville!B12,Gleason!B12)</f>
        <v>54056.268887400991</v>
      </c>
      <c r="C13" s="122">
        <f>SUM(Caledonia!C12,'New Albany'!C12,Wheatland!C12,Wilton!C12,Brownsville!C12,Gleason!C12)</f>
        <v>54056.268887400991</v>
      </c>
      <c r="D13" s="122">
        <f>SUM(Caledonia!D12,'New Albany'!D12,Wheatland!D12,Wilton!D12,Brownsville!D12,Gleason!D12)</f>
        <v>54056.268887400991</v>
      </c>
      <c r="E13" s="122">
        <f>SUM(Caledonia!E12,'New Albany'!E12,Wheatland!E12,Wilton!E12,Brownsville!E12,Gleason!E12)</f>
        <v>0</v>
      </c>
      <c r="F13" s="122">
        <f>SUM(Caledonia!F12,'New Albany'!F12,Wheatland!F12,Wilton!F12,Brownsville!F12,Gleason!F12)</f>
        <v>0</v>
      </c>
      <c r="G13" s="122">
        <f>SUM(Caledonia!G12,'New Albany'!G12,Wheatland!G12,Wilton!G12,Brownsville!G12,Gleason!G12)</f>
        <v>0</v>
      </c>
      <c r="H13" s="122">
        <f>SUM(Caledonia!H12,'New Albany'!H12,Wheatland!H12,Wilton!H12,Brownsville!H12,Gleason!H12)</f>
        <v>0</v>
      </c>
      <c r="I13" s="122">
        <f>SUM(Caledonia!I12,'New Albany'!I12,Wheatland!I12,Wilton!I12,Brownsville!I12,Gleason!I12)</f>
        <v>0</v>
      </c>
      <c r="J13" s="122">
        <f>SUM(Caledonia!J12,'New Albany'!J12,Wheatland!J12,Wilton!J12,Brownsville!J12,Gleason!J12)</f>
        <v>0</v>
      </c>
      <c r="K13" s="122">
        <f>SUM(Caledonia!K12,'New Albany'!K12,Wheatland!K12,Wilton!K12,Brownsville!K12,Gleason!K12)</f>
        <v>0</v>
      </c>
      <c r="L13" s="122">
        <f>SUM(Caledonia!L12,'New Albany'!L12,Wheatland!L12,Wilton!L12,Brownsville!L12,Gleason!L12)</f>
        <v>0</v>
      </c>
      <c r="M13" s="122">
        <f>SUM(Caledonia!M12,'New Albany'!M12,Wheatland!M12,Wilton!M12,Brownsville!M12,Gleason!M12)</f>
        <v>0</v>
      </c>
      <c r="N13" s="122">
        <f>SUM(Caledonia!N12,'New Albany'!N12,Wheatland!N12,Wilton!N12,Brownsville!N12,Gleason!N12)</f>
        <v>0</v>
      </c>
      <c r="O13" s="122">
        <f>SUM(Caledonia!O12,'New Albany'!O12,Wheatland!O12,Wilton!O12,Brownsville!O12,Gleason!O12)</f>
        <v>0</v>
      </c>
      <c r="P13" s="122">
        <f>SUM(Caledonia!P12,'New Albany'!P12,Wheatland!P12,Wilton!P12,Brownsville!P12,Gleason!P12)</f>
        <v>0</v>
      </c>
      <c r="Q13" s="122">
        <f>SUM(Caledonia!Q12,'New Albany'!Q12,Wheatland!Q12,Wilton!Q12,Brownsville!Q12,Gleason!Q12)</f>
        <v>0</v>
      </c>
      <c r="R13" s="122">
        <f>SUM(Caledonia!R12,'New Albany'!R12,Wheatland!R12,Wilton!R12,Brownsville!R12,Gleason!R12)</f>
        <v>0</v>
      </c>
      <c r="S13" s="122">
        <f>SUM(Caledonia!S12,'New Albany'!S12,Wheatland!S12,Wilton!S12,Brownsville!S12,Gleason!S12)</f>
        <v>0</v>
      </c>
      <c r="T13" s="122">
        <f>SUM(Caledonia!T12,'New Albany'!T12,Wheatland!T12,Wilton!T12,Brownsville!T12,Gleason!T12)</f>
        <v>0</v>
      </c>
      <c r="U13" s="122">
        <f>SUM(Caledonia!U12,'New Albany'!U12,Wheatland!U12,Wilton!U12,Brownsville!U12,Gleason!U12)</f>
        <v>0</v>
      </c>
      <c r="W13" s="450">
        <f>SUM(B13:U13)</f>
        <v>162168.80666220299</v>
      </c>
      <c r="X13" s="404">
        <f>SUM(Caledonia!W12,'New Albany'!W12,Wheatland!W12,Wilton!W12,Brownsville!W12,Gleason!W12)</f>
        <v>162168.80666220299</v>
      </c>
      <c r="Y13" s="404">
        <f>W13-X13</f>
        <v>0</v>
      </c>
    </row>
    <row r="14" spans="1:45">
      <c r="A14" s="1"/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W14" s="450"/>
      <c r="X14" s="44"/>
      <c r="Y14" s="44"/>
    </row>
    <row r="15" spans="1:45">
      <c r="A15" s="347" t="s">
        <v>281</v>
      </c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W15" s="450"/>
      <c r="X15" s="44"/>
      <c r="Y15" s="44"/>
    </row>
    <row r="16" spans="1:45">
      <c r="A16" s="3" t="s">
        <v>58</v>
      </c>
      <c r="B16" s="122">
        <f>SUM(Caledonia!B15,'New Albany'!B15,Wheatland!B15,Wilton!B15,Brownsville!B15,Gleason!B15)</f>
        <v>0</v>
      </c>
      <c r="C16" s="122">
        <f>SUM(Caledonia!C15,'New Albany'!C15,Wheatland!C15,Wilton!C15,Brownsville!C15,Gleason!C15)</f>
        <v>0</v>
      </c>
      <c r="D16" s="122">
        <f>SUM(Caledonia!D15,'New Albany'!D15,Wheatland!D15,Wilton!D15,Brownsville!D15,Gleason!D15)</f>
        <v>0</v>
      </c>
      <c r="E16" s="122">
        <f>SUM(Caledonia!E15,'New Albany'!E15,Wheatland!E15,Wilton!E15,Brownsville!E15,Gleason!E15)</f>
        <v>226108.71578313431</v>
      </c>
      <c r="F16" s="122">
        <f>SUM(Caledonia!F15,'New Albany'!F15,Wheatland!F15,Wilton!F15,Brownsville!F15,Gleason!F15)</f>
        <v>237320.1506939792</v>
      </c>
      <c r="G16" s="122">
        <f>SUM(Caledonia!G15,'New Albany'!G15,Wheatland!G15,Wilton!G15,Brownsville!G15,Gleason!G15)</f>
        <v>241039.78806590749</v>
      </c>
      <c r="H16" s="122">
        <f>SUM(Caledonia!H15,'New Albany'!H15,Wheatland!H15,Wilton!H15,Brownsville!H15,Gleason!H15)</f>
        <v>244820.80418428406</v>
      </c>
      <c r="I16" s="122">
        <f>SUM(Caledonia!I15,'New Albany'!I15,Wheatland!I15,Wilton!I15,Brownsville!I15,Gleason!I15)</f>
        <v>248664.26283367604</v>
      </c>
      <c r="J16" s="122">
        <f>SUM(Caledonia!J15,'New Albany'!J15,Wheatland!J15,Wilton!J15,Brownsville!J15,Gleason!J15)</f>
        <v>252571.24703667156</v>
      </c>
      <c r="K16" s="122">
        <f>SUM(Caledonia!K15,'New Albany'!K15,Wheatland!K15,Wilton!K15,Brownsville!K15,Gleason!K15)</f>
        <v>256542.85941378033</v>
      </c>
      <c r="L16" s="122">
        <f>SUM(Caledonia!L15,'New Albany'!L15,Wheatland!L15,Wilton!L15,Brownsville!L15,Gleason!L15)</f>
        <v>261167.95013132872</v>
      </c>
      <c r="M16" s="122">
        <f>SUM(Caledonia!M15,'New Albany'!M15,Wheatland!M15,Wilton!M15,Brownsville!M15,Gleason!M15)</f>
        <v>265877.9042926071</v>
      </c>
      <c r="N16" s="122">
        <f>SUM(Caledonia!N15,'New Albany'!N15,Wheatland!N15,Wilton!N15,Brownsville!N15,Gleason!N15)</f>
        <v>270674.29930869752</v>
      </c>
      <c r="O16" s="122">
        <f>SUM(Caledonia!O15,'New Albany'!O15,Wheatland!O15,Wilton!O15,Brownsville!O15,Gleason!O15)</f>
        <v>275558.74218548497</v>
      </c>
      <c r="P16" s="122">
        <f>SUM(Caledonia!P15,'New Albany'!P15,Wheatland!P15,Wilton!P15,Brownsville!P15,Gleason!P15)</f>
        <v>280532.87008258747</v>
      </c>
      <c r="Q16" s="122">
        <f>SUM(Caledonia!Q15,'New Albany'!Q15,Wheatland!Q15,Wilton!Q15,Brownsville!Q15,Gleason!Q15)</f>
        <v>284645.34295281465</v>
      </c>
      <c r="R16" s="122">
        <f>SUM(Caledonia!R15,'New Albany'!R15,Wheatland!R15,Wilton!R15,Brownsville!R15,Gleason!R15)</f>
        <v>288818.17167413898</v>
      </c>
      <c r="S16" s="122">
        <f>SUM(Caledonia!S15,'New Albany'!S15,Wheatland!S15,Wilton!S15,Brownsville!S15,Gleason!S15)</f>
        <v>293052.24307555868</v>
      </c>
      <c r="T16" s="122">
        <f>SUM(Caledonia!T15,'New Albany'!T15,Wheatland!T15,Wilton!T15,Brownsville!T15,Gleason!T15)</f>
        <v>297348.45703187038</v>
      </c>
      <c r="U16" s="122">
        <f>SUM(Caledonia!U15,'New Albany'!U15,Wheatland!U15,Wilton!U15,Brownsville!U15,Gleason!U15)</f>
        <v>301707.72665580967</v>
      </c>
      <c r="W16" s="450">
        <f>SUM(B16:U16)</f>
        <v>4526451.5354023315</v>
      </c>
      <c r="X16" s="404">
        <f>SUM(Caledonia!W15,'New Albany'!W15,Wheatland!W15,Wilton!W15,Brownsville!W15,Gleason!W15)</f>
        <v>4526451.5354023306</v>
      </c>
      <c r="Y16" s="404">
        <f>W16-X16</f>
        <v>0</v>
      </c>
    </row>
    <row r="17" spans="1:25">
      <c r="A17" s="3" t="s">
        <v>59</v>
      </c>
      <c r="B17" s="122">
        <f>SUM(Caledonia!B16,'New Albany'!B16,Wheatland!B16,Wilton!B16,Brownsville!B16,Gleason!B16)</f>
        <v>0</v>
      </c>
      <c r="C17" s="122">
        <f>SUM(Caledonia!C16,'New Albany'!C16,Wheatland!C16,Wilton!C16,Brownsville!C16,Gleason!C16)</f>
        <v>0</v>
      </c>
      <c r="D17" s="122">
        <f>SUM(Caledonia!D16,'New Albany'!D16,Wheatland!D16,Wilton!D16,Brownsville!D16,Gleason!D16)</f>
        <v>0</v>
      </c>
      <c r="E17" s="122">
        <f>SUM(Caledonia!E16,'New Albany'!E16,Wheatland!E16,Wilton!E16,Brownsville!E16,Gleason!E16)</f>
        <v>10120.257453275251</v>
      </c>
      <c r="F17" s="122">
        <f>SUM(Caledonia!F16,'New Albany'!F16,Wheatland!F16,Wilton!F16,Brownsville!F16,Gleason!F16)</f>
        <v>10423.865176873511</v>
      </c>
      <c r="G17" s="122">
        <f>SUM(Caledonia!G16,'New Albany'!G16,Wheatland!G16,Wilton!G16,Brownsville!G16,Gleason!G16)</f>
        <v>10736.581132179715</v>
      </c>
      <c r="H17" s="122">
        <f>SUM(Caledonia!H16,'New Albany'!H16,Wheatland!H16,Wilton!H16,Brownsville!H16,Gleason!H16)</f>
        <v>11058.678566145109</v>
      </c>
      <c r="I17" s="122">
        <f>SUM(Caledonia!I16,'New Albany'!I16,Wheatland!I16,Wilton!I16,Brownsville!I16,Gleason!I16)</f>
        <v>11390.438923129459</v>
      </c>
      <c r="J17" s="122">
        <f>SUM(Caledonia!J16,'New Albany'!J16,Wheatland!J16,Wilton!J16,Brownsville!J16,Gleason!J16)</f>
        <v>11732.152090823341</v>
      </c>
      <c r="K17" s="122">
        <f>SUM(Caledonia!K16,'New Albany'!K16,Wheatland!K16,Wilton!K16,Brownsville!K16,Gleason!K16)</f>
        <v>12084.116653548044</v>
      </c>
      <c r="L17" s="122">
        <f>SUM(Caledonia!L16,'New Albany'!L16,Wheatland!L16,Wilton!L16,Brownsville!L16,Gleason!L16)</f>
        <v>12446.640153154485</v>
      </c>
      <c r="M17" s="122">
        <f>SUM(Caledonia!M16,'New Albany'!M16,Wheatland!M16,Wilton!M16,Brownsville!M16,Gleason!M16)</f>
        <v>12820.039357749118</v>
      </c>
      <c r="N17" s="122">
        <f>SUM(Caledonia!N16,'New Albany'!N16,Wheatland!N16,Wilton!N16,Brownsville!N16,Gleason!N16)</f>
        <v>13204.64053848159</v>
      </c>
      <c r="O17" s="122">
        <f>SUM(Caledonia!O16,'New Albany'!O16,Wheatland!O16,Wilton!O16,Brownsville!O16,Gleason!O16)</f>
        <v>13600.779754636038</v>
      </c>
      <c r="P17" s="122">
        <f>SUM(Caledonia!P16,'New Albany'!P16,Wheatland!P16,Wilton!P16,Brownsville!P16,Gleason!P16)</f>
        <v>14008.803147275121</v>
      </c>
      <c r="Q17" s="122">
        <f>SUM(Caledonia!Q16,'New Albany'!Q16,Wheatland!Q16,Wilton!Q16,Brownsville!Q16,Gleason!Q16)</f>
        <v>14429.067241693374</v>
      </c>
      <c r="R17" s="122">
        <f>SUM(Caledonia!R16,'New Albany'!R16,Wheatland!R16,Wilton!R16,Brownsville!R16,Gleason!R16)</f>
        <v>14861.939258944176</v>
      </c>
      <c r="S17" s="122">
        <f>SUM(Caledonia!S16,'New Albany'!S16,Wheatland!S16,Wilton!S16,Brownsville!S16,Gleason!S16)</f>
        <v>15307.797436712499</v>
      </c>
      <c r="T17" s="122">
        <f>SUM(Caledonia!T16,'New Albany'!T16,Wheatland!T16,Wilton!T16,Brownsville!T16,Gleason!T16)</f>
        <v>15767.031359813875</v>
      </c>
      <c r="U17" s="122">
        <f>SUM(Caledonia!U16,'New Albany'!U16,Wheatland!U16,Wilton!U16,Brownsville!U16,Gleason!U16)</f>
        <v>16240.042300608293</v>
      </c>
      <c r="W17" s="450">
        <f>SUM(B17:U17)</f>
        <v>220232.87054504303</v>
      </c>
      <c r="X17" s="404">
        <f>SUM(Caledonia!W16,'New Albany'!W16,Wheatland!W16,Wilton!W16,Brownsville!W16,Gleason!W16)</f>
        <v>220232.87054504303</v>
      </c>
      <c r="Y17" s="404">
        <f>W17-X17</f>
        <v>0</v>
      </c>
    </row>
    <row r="18" spans="1:25">
      <c r="A18" s="3"/>
      <c r="B18" s="122"/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W18" s="450"/>
      <c r="X18" s="404"/>
      <c r="Y18" s="404"/>
    </row>
    <row r="19" spans="1:25">
      <c r="A19" s="3" t="s">
        <v>168</v>
      </c>
      <c r="B19" s="146">
        <f>SUM(Caledonia!B18,'New Albany'!B18,Wheatland!B18,Wilton!B18,Brownsville!B18,Gleason!B18)</f>
        <v>1526.7027308440609</v>
      </c>
      <c r="C19" s="146">
        <f>SUM(Caledonia!C18,'New Albany'!C18,Wheatland!C18,Wilton!C18,Brownsville!C18,Gleason!C18)</f>
        <v>1519.4977621454766</v>
      </c>
      <c r="D19" s="146">
        <f>SUM(Caledonia!D18,'New Albany'!D18,Wheatland!D18,Wilton!D18,Brownsville!D18,Gleason!D18)</f>
        <v>1513.2127418970808</v>
      </c>
      <c r="E19" s="146">
        <f>SUM(Caledonia!E18,'New Albany'!E18,Wheatland!E18,Wilton!E18,Brownsville!E18,Gleason!E18)</f>
        <v>2579.4820223205838</v>
      </c>
      <c r="F19" s="146">
        <f>SUM(Caledonia!F18,'New Albany'!F18,Wheatland!F18,Wilton!F18,Brownsville!F18,Gleason!F18)</f>
        <v>2714.5116239853178</v>
      </c>
      <c r="G19" s="146">
        <f>SUM(Caledonia!G18,'New Albany'!G18,Wheatland!G18,Wilton!G18,Brownsville!G18,Gleason!G18)</f>
        <v>2753.7587793762295</v>
      </c>
      <c r="H19" s="146">
        <f>SUM(Caledonia!H18,'New Albany'!H18,Wheatland!H18,Wilton!H18,Brownsville!H18,Gleason!H18)</f>
        <v>2794.2696390689207</v>
      </c>
      <c r="I19" s="146">
        <f>SUM(Caledonia!I18,'New Albany'!I18,Wheatland!I18,Wilton!I18,Brownsville!I18,Gleason!I18)</f>
        <v>2836.1430410570879</v>
      </c>
      <c r="J19" s="146">
        <f>SUM(Caledonia!J18,'New Albany'!J18,Wheatland!J18,Wilton!J18,Brownsville!J18,Gleason!J18)</f>
        <v>2880.1791142422817</v>
      </c>
      <c r="K19" s="146">
        <f>SUM(Caledonia!K18,'New Albany'!K18,Wheatland!K18,Wilton!K18,Brownsville!K18,Gleason!K18)</f>
        <v>2913.7422489496571</v>
      </c>
      <c r="L19" s="146">
        <f>SUM(Caledonia!L18,'New Albany'!L18,Wheatland!L18,Wilton!L18,Brownsville!L18,Gleason!L18)</f>
        <v>2968.3127421802069</v>
      </c>
      <c r="M19" s="146">
        <f>SUM(Caledonia!M18,'New Albany'!M18,Wheatland!M18,Wilton!M18,Brownsville!M18,Gleason!M18)</f>
        <v>3026.1389824395501</v>
      </c>
      <c r="N19" s="146">
        <f>SUM(Caledonia!N18,'New Albany'!N18,Wheatland!N18,Wilton!N18,Brownsville!N18,Gleason!N18)</f>
        <v>3078.6535930646232</v>
      </c>
      <c r="O19" s="146">
        <f>SUM(Caledonia!O18,'New Albany'!O18,Wheatland!O18,Wilton!O18,Brownsville!O18,Gleason!O18)</f>
        <v>3133.2226270084029</v>
      </c>
      <c r="P19" s="146">
        <f>SUM(Caledonia!P18,'New Albany'!P18,Wheatland!P18,Wilton!P18,Brownsville!P18,Gleason!P18)</f>
        <v>3182.5824105798747</v>
      </c>
      <c r="Q19" s="146">
        <f>SUM(Caledonia!Q18,'New Albany'!Q18,Wheatland!Q18,Wilton!Q18,Brownsville!Q18,Gleason!Q18)</f>
        <v>3233.8760953636847</v>
      </c>
      <c r="R19" s="146">
        <f>SUM(Caledonia!R18,'New Albany'!R18,Wheatland!R18,Wilton!R18,Brownsville!R18,Gleason!R18)</f>
        <v>3278.3193986032798</v>
      </c>
      <c r="S19" s="146">
        <f>SUM(Caledonia!S18,'New Albany'!S18,Wheatland!S18,Wilton!S18,Brownsville!S18,Gleason!S18)</f>
        <v>3323.2801624512549</v>
      </c>
      <c r="T19" s="146">
        <f>SUM(Caledonia!T18,'New Albany'!T18,Wheatland!T18,Wilton!T18,Brownsville!T18,Gleason!T18)</f>
        <v>3368.7622132682968</v>
      </c>
      <c r="U19" s="146">
        <f>SUM(Caledonia!U18,'New Albany'!U18,Wheatland!U18,Wilton!U18,Brownsville!U18,Gleason!U18)</f>
        <v>3414.8850372933484</v>
      </c>
      <c r="W19" s="450">
        <f>SUM(B19:U19)</f>
        <v>56039.532966139217</v>
      </c>
      <c r="X19" s="404">
        <f>SUM(Caledonia!W18,'New Albany'!W18,Wheatland!W18,Wilton!W18,Brownsville!W18,Gleason!W18)</f>
        <v>56039.532966139217</v>
      </c>
      <c r="Y19" s="404">
        <f>W19-X19</f>
        <v>0</v>
      </c>
    </row>
    <row r="20" spans="1:25">
      <c r="A20" s="3" t="s">
        <v>60</v>
      </c>
      <c r="B20" s="122">
        <f t="shared" ref="B20:U20" si="3">SUM(B10:B19)</f>
        <v>205108.19081711656</v>
      </c>
      <c r="C20" s="122">
        <f t="shared" si="3"/>
        <v>205435.22242438409</v>
      </c>
      <c r="D20" s="122">
        <f t="shared" si="3"/>
        <v>205773.20107738086</v>
      </c>
      <c r="E20" s="122">
        <f t="shared" si="3"/>
        <v>238808.45525873016</v>
      </c>
      <c r="F20" s="122">
        <f t="shared" si="3"/>
        <v>250458.52749483802</v>
      </c>
      <c r="G20" s="122">
        <f t="shared" si="3"/>
        <v>254530.12797746342</v>
      </c>
      <c r="H20" s="122">
        <f t="shared" si="3"/>
        <v>258673.75238949808</v>
      </c>
      <c r="I20" s="122">
        <f t="shared" si="3"/>
        <v>262890.84479786258</v>
      </c>
      <c r="J20" s="122">
        <f t="shared" si="3"/>
        <v>267183.57824173715</v>
      </c>
      <c r="K20" s="122">
        <f t="shared" si="3"/>
        <v>271540.71831627801</v>
      </c>
      <c r="L20" s="122">
        <f t="shared" si="3"/>
        <v>276582.90302666341</v>
      </c>
      <c r="M20" s="122">
        <f t="shared" si="3"/>
        <v>281724.08263279573</v>
      </c>
      <c r="N20" s="122">
        <f t="shared" si="3"/>
        <v>286957.59344024374</v>
      </c>
      <c r="O20" s="122">
        <f t="shared" si="3"/>
        <v>292292.74456712941</v>
      </c>
      <c r="P20" s="122">
        <f t="shared" si="3"/>
        <v>297724.25564044248</v>
      </c>
      <c r="Q20" s="122">
        <f t="shared" si="3"/>
        <v>302308.28628987173</v>
      </c>
      <c r="R20" s="122">
        <f t="shared" si="3"/>
        <v>306958.43033168645</v>
      </c>
      <c r="S20" s="122">
        <f t="shared" si="3"/>
        <v>311683.32067472243</v>
      </c>
      <c r="T20" s="122">
        <f t="shared" si="3"/>
        <v>316484.25060495257</v>
      </c>
      <c r="U20" s="122">
        <f t="shared" si="3"/>
        <v>321362.65399371134</v>
      </c>
      <c r="W20" s="450">
        <f>SUM(B20:U20)</f>
        <v>5414481.1399975065</v>
      </c>
      <c r="X20" s="404">
        <f>SUM(Caledonia!W19,'New Albany'!W19,Wheatland!W19,Wilton!W19,Brownsville!W19,Gleason!W19)</f>
        <v>5414481.1399975074</v>
      </c>
      <c r="Y20" s="404">
        <f>W20-X20</f>
        <v>0</v>
      </c>
    </row>
    <row r="21" spans="1:25">
      <c r="A21" s="3"/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W21" s="450"/>
      <c r="X21" s="44"/>
      <c r="Y21" s="44"/>
    </row>
    <row r="22" spans="1:25">
      <c r="A22" s="1" t="s">
        <v>61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W22" s="450"/>
      <c r="X22" s="44"/>
      <c r="Y22" s="44"/>
    </row>
    <row r="23" spans="1:25">
      <c r="A23" s="3" t="s">
        <v>48</v>
      </c>
      <c r="B23" s="122">
        <f>SUM(Caledonia!B22,'New Albany'!B22,Wheatland!B22,Wilton!B22,Brownsville!B22,Gleason!B22)</f>
        <v>9650.9069691714285</v>
      </c>
      <c r="C23" s="122">
        <f>SUM(Caledonia!C22,'New Albany'!C22,Wheatland!C22,Wilton!C22,Brownsville!C22,Gleason!C22)</f>
        <v>9940.4341782465726</v>
      </c>
      <c r="D23" s="122">
        <f>SUM(Caledonia!D22,'New Albany'!D22,Wheatland!D22,Wilton!D22,Brownsville!D22,Gleason!D22)</f>
        <v>10238.64720359397</v>
      </c>
      <c r="E23" s="122">
        <f>SUM(Caledonia!E22,'New Albany'!E22,Wheatland!E22,Wilton!E22,Brownsville!E22,Gleason!E22)</f>
        <v>10545.806619701789</v>
      </c>
      <c r="F23" s="122">
        <f>SUM(Caledonia!F22,'New Albany'!F22,Wheatland!F22,Wilton!F22,Brownsville!F22,Gleason!F22)</f>
        <v>10862.180818292843</v>
      </c>
      <c r="G23" s="122">
        <f>SUM(Caledonia!G22,'New Albany'!G22,Wheatland!G22,Wilton!G22,Brownsville!G22,Gleason!G22)</f>
        <v>11188.046242841629</v>
      </c>
      <c r="H23" s="122">
        <f>SUM(Caledonia!H22,'New Albany'!H22,Wheatland!H22,Wilton!H22,Brownsville!H22,Gleason!H22)</f>
        <v>11523.687630126879</v>
      </c>
      <c r="I23" s="122">
        <f>SUM(Caledonia!I22,'New Albany'!I22,Wheatland!I22,Wilton!I22,Brownsville!I22,Gleason!I22)</f>
        <v>11869.398259030686</v>
      </c>
      <c r="J23" s="122">
        <f>SUM(Caledonia!J22,'New Albany'!J22,Wheatland!J22,Wilton!J22,Brownsville!J22,Gleason!J22)</f>
        <v>12225.480206801605</v>
      </c>
      <c r="K23" s="122">
        <f>SUM(Caledonia!K22,'New Albany'!K22,Wheatland!K22,Wilton!K22,Brownsville!K22,Gleason!K22)</f>
        <v>12592.244613005654</v>
      </c>
      <c r="L23" s="122">
        <f>SUM(Caledonia!L22,'New Albany'!L22,Wheatland!L22,Wilton!L22,Brownsville!L22,Gleason!L22)</f>
        <v>12970.011951395823</v>
      </c>
      <c r="M23" s="122">
        <f>SUM(Caledonia!M22,'New Albany'!M22,Wheatland!M22,Wilton!M22,Brownsville!M22,Gleason!M22)</f>
        <v>13359.1123099377</v>
      </c>
      <c r="N23" s="122">
        <f>SUM(Caledonia!N22,'New Albany'!N22,Wheatland!N22,Wilton!N22,Brownsville!N22,Gleason!N22)</f>
        <v>13759.885679235831</v>
      </c>
      <c r="O23" s="122">
        <f>SUM(Caledonia!O22,'New Albany'!O22,Wheatland!O22,Wilton!O22,Brownsville!O22,Gleason!O22)</f>
        <v>14172.682249612908</v>
      </c>
      <c r="P23" s="122">
        <f>SUM(Caledonia!P22,'New Albany'!P22,Wheatland!P22,Wilton!P22,Brownsville!P22,Gleason!P22)</f>
        <v>14597.862717101296</v>
      </c>
      <c r="Q23" s="122">
        <f>SUM(Caledonia!Q22,'New Albany'!Q22,Wheatland!Q22,Wilton!Q22,Brownsville!Q22,Gleason!Q22)</f>
        <v>15035.798598614334</v>
      </c>
      <c r="R23" s="122">
        <f>SUM(Caledonia!R22,'New Albany'!R22,Wheatland!R22,Wilton!R22,Brownsville!R22,Gleason!R22)</f>
        <v>15486.872556572765</v>
      </c>
      <c r="S23" s="122">
        <f>SUM(Caledonia!S22,'New Albany'!S22,Wheatland!S22,Wilton!S22,Brownsville!S22,Gleason!S22)</f>
        <v>15951.478733269949</v>
      </c>
      <c r="T23" s="122">
        <f>SUM(Caledonia!T22,'New Albany'!T22,Wheatland!T22,Wilton!T22,Brownsville!T22,Gleason!T22)</f>
        <v>16430.023095268047</v>
      </c>
      <c r="U23" s="122">
        <f>SUM(Caledonia!U22,'New Albany'!U22,Wheatland!U22,Wilton!U22,Brownsville!U22,Gleason!U22)</f>
        <v>16922.923788126089</v>
      </c>
      <c r="W23" s="450">
        <f t="shared" ref="W23:W30" si="4">SUM(B23:U23)</f>
        <v>259323.48441994784</v>
      </c>
      <c r="X23" s="404">
        <f>SUM(Caledonia!W22,'New Albany'!W22,Wheatland!W22,Wilton!W22,Brownsville!W22,Gleason!W22)</f>
        <v>259323.48441994775</v>
      </c>
      <c r="Y23" s="404">
        <f t="shared" ref="Y23:Y30" si="5">W23-X23</f>
        <v>0</v>
      </c>
    </row>
    <row r="24" spans="1:25">
      <c r="A24" s="3" t="s">
        <v>49</v>
      </c>
      <c r="B24" s="122">
        <f>SUM(Caledonia!B23,'New Albany'!B23,Wheatland!B23,Wilton!B23,Brownsville!B23,Gleason!B23)</f>
        <v>8321.5941988714949</v>
      </c>
      <c r="C24" s="122">
        <f>SUM(Caledonia!C23,'New Albany'!C23,Wheatland!C23,Wilton!C23,Brownsville!C23,Gleason!C23)</f>
        <v>8571.2420248376402</v>
      </c>
      <c r="D24" s="122">
        <f>SUM(Caledonia!D23,'New Albany'!D23,Wheatland!D23,Wilton!D23,Brownsville!D23,Gleason!D23)</f>
        <v>8828.3792855827705</v>
      </c>
      <c r="E24" s="122">
        <f>SUM(Caledonia!E23,'New Albany'!E23,Wheatland!E23,Wilton!E23,Brownsville!E23,Gleason!E23)</f>
        <v>9093.230664150251</v>
      </c>
      <c r="F24" s="122">
        <f>SUM(Caledonia!F23,'New Albany'!F23,Wheatland!F23,Wilton!F23,Brownsville!F23,Gleason!F23)</f>
        <v>9366.0275840747599</v>
      </c>
      <c r="G24" s="122">
        <f>SUM(Caledonia!G23,'New Albany'!G23,Wheatland!G23,Wilton!G23,Brownsville!G23,Gleason!G23)</f>
        <v>9647.0084115970021</v>
      </c>
      <c r="H24" s="122">
        <f>SUM(Caledonia!H23,'New Albany'!H23,Wheatland!H23,Wilton!H23,Brownsville!H23,Gleason!H23)</f>
        <v>9936.4186639449144</v>
      </c>
      <c r="I24" s="122">
        <f>SUM(Caledonia!I23,'New Albany'!I23,Wheatland!I23,Wilton!I23,Brownsville!I23,Gleason!I23)</f>
        <v>10234.511223863259</v>
      </c>
      <c r="J24" s="122">
        <f>SUM(Caledonia!J23,'New Albany'!J23,Wheatland!J23,Wilton!J23,Brownsville!J23,Gleason!J23)</f>
        <v>10541.546560579156</v>
      </c>
      <c r="K24" s="122">
        <f>SUM(Caledonia!K23,'New Albany'!K23,Wheatland!K23,Wilton!K23,Brownsville!K23,Gleason!K23)</f>
        <v>10857.792957396532</v>
      </c>
      <c r="L24" s="122">
        <f>SUM(Caledonia!L23,'New Albany'!L23,Wheatland!L23,Wilton!L23,Brownsville!L23,Gleason!L23)</f>
        <v>11183.526746118427</v>
      </c>
      <c r="M24" s="122">
        <f>SUM(Caledonia!M23,'New Albany'!M23,Wheatland!M23,Wilton!M23,Brownsville!M23,Gleason!M23)</f>
        <v>11519.032548501978</v>
      </c>
      <c r="N24" s="122">
        <f>SUM(Caledonia!N23,'New Albany'!N23,Wheatland!N23,Wilton!N23,Brownsville!N23,Gleason!N23)</f>
        <v>11864.603524957038</v>
      </c>
      <c r="O24" s="122">
        <f>SUM(Caledonia!O23,'New Albany'!O23,Wheatland!O23,Wilton!O23,Brownsville!O23,Gleason!O23)</f>
        <v>12220.541630705749</v>
      </c>
      <c r="P24" s="122">
        <f>SUM(Caledonia!P23,'New Albany'!P23,Wheatland!P23,Wilton!P23,Brownsville!P23,Gleason!P23)</f>
        <v>12587.157879626926</v>
      </c>
      <c r="Q24" s="122">
        <f>SUM(Caledonia!Q23,'New Albany'!Q23,Wheatland!Q23,Wilton!Q23,Brownsville!Q23,Gleason!Q23)</f>
        <v>12964.772616015729</v>
      </c>
      <c r="R24" s="122">
        <f>SUM(Caledonia!R23,'New Albany'!R23,Wheatland!R23,Wilton!R23,Brownsville!R23,Gleason!R23)</f>
        <v>13353.715794496202</v>
      </c>
      <c r="S24" s="122">
        <f>SUM(Caledonia!S23,'New Albany'!S23,Wheatland!S23,Wilton!S23,Brownsville!S23,Gleason!S23)</f>
        <v>13754.327268331088</v>
      </c>
      <c r="T24" s="122">
        <f>SUM(Caledonia!T23,'New Albany'!T23,Wheatland!T23,Wilton!T23,Brownsville!T23,Gleason!T23)</f>
        <v>14166.957086381019</v>
      </c>
      <c r="U24" s="122">
        <f>SUM(Caledonia!U23,'New Albany'!U23,Wheatland!U23,Wilton!U23,Brownsville!U23,Gleason!U23)</f>
        <v>14591.965798972453</v>
      </c>
      <c r="W24" s="450">
        <f t="shared" si="4"/>
        <v>223604.35246900437</v>
      </c>
      <c r="X24" s="404">
        <f>SUM(Caledonia!W23,'New Albany'!W23,Wheatland!W23,Wilton!W23,Brownsville!W23,Gleason!W23)</f>
        <v>223604.3524690044</v>
      </c>
      <c r="Y24" s="404">
        <f t="shared" si="5"/>
        <v>0</v>
      </c>
    </row>
    <row r="25" spans="1:25">
      <c r="A25" s="3" t="s">
        <v>262</v>
      </c>
      <c r="B25" s="122">
        <f>SUM(Caledonia!B24,'New Albany'!B24,Wheatland!B24,Wilton!B24,Brownsville!B24,Gleason!B24)</f>
        <v>2819.625</v>
      </c>
      <c r="C25" s="122">
        <f>SUM(Caledonia!C24,'New Albany'!C24,Wheatland!C24,Wilton!C24,Brownsville!C24,Gleason!C24)</f>
        <v>2904.2137500000003</v>
      </c>
      <c r="D25" s="122">
        <f>SUM(Caledonia!D24,'New Albany'!D24,Wheatland!D24,Wilton!D24,Brownsville!D24,Gleason!D24)</f>
        <v>2991.3401625000001</v>
      </c>
      <c r="E25" s="122">
        <f>SUM(Caledonia!E24,'New Albany'!E24,Wheatland!E24,Wilton!E24,Brownsville!E24,Gleason!E24)</f>
        <v>3081.0803673750002</v>
      </c>
      <c r="F25" s="122">
        <f>SUM(Caledonia!F24,'New Albany'!F24,Wheatland!F24,Wilton!F24,Brownsville!F24,Gleason!F24)</f>
        <v>3173.5127783962503</v>
      </c>
      <c r="G25" s="122">
        <f>SUM(Caledonia!G24,'New Albany'!G24,Wheatland!G24,Wilton!G24,Brownsville!G24,Gleason!G24)</f>
        <v>3268.7181617481383</v>
      </c>
      <c r="H25" s="122">
        <f>SUM(Caledonia!H24,'New Albany'!H24,Wheatland!H24,Wilton!H24,Brownsville!H24,Gleason!H24)</f>
        <v>3366.7797066005828</v>
      </c>
      <c r="I25" s="122">
        <f>SUM(Caledonia!I24,'New Albany'!I24,Wheatland!I24,Wilton!I24,Brownsville!I24,Gleason!I24)</f>
        <v>3467.7830977986005</v>
      </c>
      <c r="J25" s="122">
        <f>SUM(Caledonia!J24,'New Albany'!J24,Wheatland!J24,Wilton!J24,Brownsville!J24,Gleason!J24)</f>
        <v>3571.8165907325583</v>
      </c>
      <c r="K25" s="122">
        <f>SUM(Caledonia!K24,'New Albany'!K24,Wheatland!K24,Wilton!K24,Brownsville!K24,Gleason!K24)</f>
        <v>3678.9710884545352</v>
      </c>
      <c r="L25" s="122">
        <f>SUM(Caledonia!L24,'New Albany'!L24,Wheatland!L24,Wilton!L24,Brownsville!L24,Gleason!L24)</f>
        <v>3789.3402211081711</v>
      </c>
      <c r="M25" s="122">
        <f>SUM(Caledonia!M24,'New Albany'!M24,Wheatland!M24,Wilton!M24,Brownsville!M24,Gleason!M24)</f>
        <v>3903.0204277414155</v>
      </c>
      <c r="N25" s="122">
        <f>SUM(Caledonia!N24,'New Albany'!N24,Wheatland!N24,Wilton!N24,Brownsville!N24,Gleason!N24)</f>
        <v>4020.111040573659</v>
      </c>
      <c r="O25" s="122">
        <f>SUM(Caledonia!O24,'New Albany'!O24,Wheatland!O24,Wilton!O24,Brownsville!O24,Gleason!O24)</f>
        <v>4140.7143717908684</v>
      </c>
      <c r="P25" s="122">
        <f>SUM(Caledonia!P24,'New Albany'!P24,Wheatland!P24,Wilton!P24,Brownsville!P24,Gleason!P24)</f>
        <v>4264.9358029445948</v>
      </c>
      <c r="Q25" s="122">
        <f>SUM(Caledonia!Q24,'New Albany'!Q24,Wheatland!Q24,Wilton!Q24,Brownsville!Q24,Gleason!Q24)</f>
        <v>4392.8838770329321</v>
      </c>
      <c r="R25" s="122">
        <f>SUM(Caledonia!R24,'New Albany'!R24,Wheatland!R24,Wilton!R24,Brownsville!R24,Gleason!R24)</f>
        <v>4524.6703933439203</v>
      </c>
      <c r="S25" s="122">
        <f>SUM(Caledonia!S24,'New Albany'!S24,Wheatland!S24,Wilton!S24,Brownsville!S24,Gleason!S24)</f>
        <v>4660.4105051442384</v>
      </c>
      <c r="T25" s="122">
        <f>SUM(Caledonia!T24,'New Albany'!T24,Wheatland!T24,Wilton!T24,Brownsville!T24,Gleason!T24)</f>
        <v>4800.2228202985652</v>
      </c>
      <c r="U25" s="122">
        <f>SUM(Caledonia!U24,'New Albany'!U24,Wheatland!U24,Wilton!U24,Brownsville!U24,Gleason!U24)</f>
        <v>4944.2295049075228</v>
      </c>
      <c r="W25" s="450">
        <f t="shared" si="4"/>
        <v>75764.379668491558</v>
      </c>
      <c r="X25" s="404">
        <f>SUM(Caledonia!W24,'New Albany'!W24,Wheatland!W24,Wilton!W24,Brownsville!W24,Gleason!W24)</f>
        <v>75764.379668491543</v>
      </c>
      <c r="Y25" s="404">
        <f t="shared" si="5"/>
        <v>0</v>
      </c>
    </row>
    <row r="26" spans="1:25">
      <c r="A26" s="3" t="s">
        <v>112</v>
      </c>
      <c r="B26" s="122">
        <f>SUM(Caledonia!B25,'New Albany'!B25,Wheatland!B25,Wilton!B25,Brownsville!B25,Gleason!B25)</f>
        <v>0</v>
      </c>
      <c r="C26" s="122">
        <f>SUM(Caledonia!C25,'New Albany'!C25,Wheatland!C25,Wilton!C25,Brownsville!C25,Gleason!C25)</f>
        <v>0</v>
      </c>
      <c r="D26" s="122">
        <f>SUM(Caledonia!D25,'New Albany'!D25,Wheatland!D25,Wilton!D25,Brownsville!D25,Gleason!D25)</f>
        <v>0</v>
      </c>
      <c r="E26" s="122">
        <f>SUM(Caledonia!E25,'New Albany'!E25,Wheatland!E25,Wilton!E25,Brownsville!E25,Gleason!E25)</f>
        <v>0</v>
      </c>
      <c r="F26" s="122">
        <f>SUM(Caledonia!F25,'New Albany'!F25,Wheatland!F25,Wilton!F25,Brownsville!F25,Gleason!F25)</f>
        <v>0</v>
      </c>
      <c r="G26" s="122">
        <f>SUM(Caledonia!G25,'New Albany'!G25,Wheatland!G25,Wilton!G25,Brownsville!G25,Gleason!G25)</f>
        <v>0</v>
      </c>
      <c r="H26" s="122">
        <f>SUM(Caledonia!H25,'New Albany'!H25,Wheatland!H25,Wilton!H25,Brownsville!H25,Gleason!H25)</f>
        <v>0</v>
      </c>
      <c r="I26" s="122">
        <f>SUM(Caledonia!I25,'New Albany'!I25,Wheatland!I25,Wilton!I25,Brownsville!I25,Gleason!I25)</f>
        <v>0</v>
      </c>
      <c r="J26" s="122">
        <f>SUM(Caledonia!J25,'New Albany'!J25,Wheatland!J25,Wilton!J25,Brownsville!J25,Gleason!J25)</f>
        <v>0</v>
      </c>
      <c r="K26" s="122">
        <f>SUM(Caledonia!K25,'New Albany'!K25,Wheatland!K25,Wilton!K25,Brownsville!K25,Gleason!K25)</f>
        <v>0</v>
      </c>
      <c r="L26" s="122">
        <f>SUM(Caledonia!L25,'New Albany'!L25,Wheatland!L25,Wilton!L25,Brownsville!L25,Gleason!L25)</f>
        <v>0</v>
      </c>
      <c r="M26" s="122">
        <f>SUM(Caledonia!M25,'New Albany'!M25,Wheatland!M25,Wilton!M25,Brownsville!M25,Gleason!M25)</f>
        <v>0</v>
      </c>
      <c r="N26" s="122">
        <f>SUM(Caledonia!N25,'New Albany'!N25,Wheatland!N25,Wilton!N25,Brownsville!N25,Gleason!N25)</f>
        <v>0</v>
      </c>
      <c r="O26" s="122">
        <f>SUM(Caledonia!O25,'New Albany'!O25,Wheatland!O25,Wilton!O25,Brownsville!O25,Gleason!O25)</f>
        <v>0</v>
      </c>
      <c r="P26" s="122">
        <f>SUM(Caledonia!P25,'New Albany'!P25,Wheatland!P25,Wilton!P25,Brownsville!P25,Gleason!P25)</f>
        <v>0</v>
      </c>
      <c r="Q26" s="122">
        <f>SUM(Caledonia!Q25,'New Albany'!Q25,Wheatland!Q25,Wilton!Q25,Brownsville!Q25,Gleason!Q25)</f>
        <v>0</v>
      </c>
      <c r="R26" s="122">
        <f>SUM(Caledonia!R25,'New Albany'!R25,Wheatland!R25,Wilton!R25,Brownsville!R25,Gleason!R25)</f>
        <v>0</v>
      </c>
      <c r="S26" s="122">
        <f>SUM(Caledonia!S25,'New Albany'!S25,Wheatland!S25,Wilton!S25,Brownsville!S25,Gleason!S25)</f>
        <v>0</v>
      </c>
      <c r="T26" s="122">
        <f>SUM(Caledonia!T25,'New Albany'!T25,Wheatland!T25,Wilton!T25,Brownsville!T25,Gleason!T25)</f>
        <v>0</v>
      </c>
      <c r="U26" s="122">
        <f>SUM(Caledonia!U25,'New Albany'!U25,Wheatland!U25,Wilton!U25,Brownsville!U25,Gleason!U25)</f>
        <v>0</v>
      </c>
      <c r="W26" s="450">
        <f t="shared" si="4"/>
        <v>0</v>
      </c>
      <c r="X26" s="404">
        <f>SUM(Caledonia!W25,'New Albany'!W25,Wheatland!W25,Wilton!W25,Brownsville!W25,Gleason!W25)</f>
        <v>0</v>
      </c>
      <c r="Y26" s="404">
        <f t="shared" si="5"/>
        <v>0</v>
      </c>
    </row>
    <row r="27" spans="1:25">
      <c r="A27" s="3" t="s">
        <v>113</v>
      </c>
      <c r="B27" s="122">
        <f>SUM(Caledonia!B26,'New Albany'!B26,Wheatland!B26,Wilton!B26,Brownsville!B26,Gleason!B26)</f>
        <v>2301.5906199999999</v>
      </c>
      <c r="C27" s="122">
        <f>SUM(Caledonia!C26,'New Albany'!C26,Wheatland!C26,Wilton!C26,Brownsville!C26,Gleason!C26)</f>
        <v>2370.6383386000002</v>
      </c>
      <c r="D27" s="122">
        <f>SUM(Caledonia!D26,'New Albany'!D26,Wheatland!D26,Wilton!D26,Brownsville!D26,Gleason!D26)</f>
        <v>2441.7574887579999</v>
      </c>
      <c r="E27" s="122">
        <f>SUM(Caledonia!E26,'New Albany'!E26,Wheatland!E26,Wilton!E26,Brownsville!E26,Gleason!E26)</f>
        <v>2515.01021342074</v>
      </c>
      <c r="F27" s="122">
        <f>SUM(Caledonia!F26,'New Albany'!F26,Wheatland!F26,Wilton!F26,Brownsville!F26,Gleason!F26)</f>
        <v>2590.4605198233621</v>
      </c>
      <c r="G27" s="122">
        <f>SUM(Caledonia!G26,'New Albany'!G26,Wheatland!G26,Wilton!G26,Brownsville!G26,Gleason!G26)</f>
        <v>2668.1743354180635</v>
      </c>
      <c r="H27" s="122">
        <f>SUM(Caledonia!H26,'New Albany'!H26,Wheatland!H26,Wilton!H26,Brownsville!H26,Gleason!H26)</f>
        <v>2748.2195654806055</v>
      </c>
      <c r="I27" s="122">
        <f>SUM(Caledonia!I26,'New Albany'!I26,Wheatland!I26,Wilton!I26,Brownsville!I26,Gleason!I26)</f>
        <v>2830.6661524450237</v>
      </c>
      <c r="J27" s="122">
        <f>SUM(Caledonia!J26,'New Albany'!J26,Wheatland!J26,Wilton!J26,Brownsville!J26,Gleason!J26)</f>
        <v>2915.5861370183743</v>
      </c>
      <c r="K27" s="122">
        <f>SUM(Caledonia!K26,'New Albany'!K26,Wheatland!K26,Wilton!K26,Brownsville!K26,Gleason!K26)</f>
        <v>3003.0537211289256</v>
      </c>
      <c r="L27" s="122">
        <f>SUM(Caledonia!L26,'New Albany'!L26,Wheatland!L26,Wilton!L26,Brownsville!L26,Gleason!L26)</f>
        <v>3093.1453327627933</v>
      </c>
      <c r="M27" s="122">
        <f>SUM(Caledonia!M26,'New Albany'!M26,Wheatland!M26,Wilton!M26,Brownsville!M26,Gleason!M26)</f>
        <v>3185.9396927456773</v>
      </c>
      <c r="N27" s="122">
        <f>SUM(Caledonia!N26,'New Albany'!N26,Wheatland!N26,Wilton!N26,Brownsville!N26,Gleason!N26)</f>
        <v>3281.5178835280476</v>
      </c>
      <c r="O27" s="122">
        <f>SUM(Caledonia!O26,'New Albany'!O26,Wheatland!O26,Wilton!O26,Brownsville!O26,Gleason!O26)</f>
        <v>3379.9634200338892</v>
      </c>
      <c r="P27" s="122">
        <f>SUM(Caledonia!P26,'New Albany'!P26,Wheatland!P26,Wilton!P26,Brownsville!P26,Gleason!P26)</f>
        <v>3481.3623226349059</v>
      </c>
      <c r="Q27" s="122">
        <f>SUM(Caledonia!Q26,'New Albany'!Q26,Wheatland!Q26,Wilton!Q26,Brownsville!Q26,Gleason!Q26)</f>
        <v>3585.8031923139529</v>
      </c>
      <c r="R27" s="122">
        <f>SUM(Caledonia!R26,'New Albany'!R26,Wheatland!R26,Wilton!R26,Brownsville!R26,Gleason!R26)</f>
        <v>3693.3772880833722</v>
      </c>
      <c r="S27" s="122">
        <f>SUM(Caledonia!S26,'New Albany'!S26,Wheatland!S26,Wilton!S26,Brownsville!S26,Gleason!S26)</f>
        <v>3804.1786067258731</v>
      </c>
      <c r="T27" s="122">
        <f>SUM(Caledonia!T26,'New Albany'!T26,Wheatland!T26,Wilton!T26,Brownsville!T26,Gleason!T26)</f>
        <v>3918.3039649276493</v>
      </c>
      <c r="U27" s="122">
        <f>SUM(Caledonia!U26,'New Albany'!U26,Wheatland!U26,Wilton!U26,Brownsville!U26,Gleason!U26)</f>
        <v>4035.8530838754791</v>
      </c>
      <c r="W27" s="450">
        <f t="shared" si="4"/>
        <v>61844.601879724731</v>
      </c>
      <c r="X27" s="404">
        <f>SUM(Caledonia!W26,'New Albany'!W26,Wheatland!W26,Wilton!W26,Brownsville!W26,Gleason!W26)</f>
        <v>61844.601879724731</v>
      </c>
      <c r="Y27" s="404">
        <f t="shared" si="5"/>
        <v>0</v>
      </c>
    </row>
    <row r="28" spans="1:25" ht="14.25" customHeight="1">
      <c r="A28" s="3" t="s">
        <v>198</v>
      </c>
      <c r="B28" s="122">
        <f>SUM(Caledonia!B27,'New Albany'!B27,Wheatland!B27,Wilton!B27,Brownsville!B27,Gleason!B27)</f>
        <v>2138.7599999999998</v>
      </c>
      <c r="C28" s="122">
        <f>SUM(Caledonia!C27,'New Albany'!C27,Wheatland!C27,Wilton!C27,Brownsville!C27,Gleason!C27)</f>
        <v>2485.4070000000002</v>
      </c>
      <c r="D28" s="122">
        <f>SUM(Caledonia!D27,'New Albany'!D27,Wheatland!D27,Wilton!D27,Brownsville!D27,Gleason!D27)</f>
        <v>2675.4930000000004</v>
      </c>
      <c r="E28" s="122">
        <f>SUM(Caledonia!E27,'New Albany'!E27,Wheatland!E27,Wilton!E27,Brownsville!E27,Gleason!E27)</f>
        <v>2752.7350000000001</v>
      </c>
      <c r="F28" s="122">
        <f>SUM(Caledonia!F27,'New Albany'!F27,Wheatland!F27,Wilton!F27,Brownsville!F27,Gleason!F27)</f>
        <v>2800.4010000000003</v>
      </c>
      <c r="G28" s="122">
        <f>SUM(Caledonia!G27,'New Albany'!G27,Wheatland!G27,Wilton!G27,Brownsville!G27,Gleason!G27)</f>
        <v>3000.837</v>
      </c>
      <c r="H28" s="122">
        <f>SUM(Caledonia!H27,'New Albany'!H27,Wheatland!H27,Wilton!H27,Brownsville!H27,Gleason!H27)</f>
        <v>3133.239</v>
      </c>
      <c r="I28" s="122">
        <f>SUM(Caledonia!I27,'New Albany'!I27,Wheatland!I27,Wilton!I27,Brownsville!I27,Gleason!I27)</f>
        <v>3204.1120000000001</v>
      </c>
      <c r="J28" s="122">
        <f>SUM(Caledonia!J27,'New Albany'!J27,Wheatland!J27,Wilton!J27,Brownsville!J27,Gleason!J27)</f>
        <v>3150.1800000000003</v>
      </c>
      <c r="K28" s="122">
        <f>SUM(Caledonia!K27,'New Albany'!K27,Wheatland!K27,Wilton!K27,Brownsville!K27,Gleason!K27)</f>
        <v>3985.1379999999999</v>
      </c>
      <c r="L28" s="122">
        <f>SUM(Caledonia!L27,'New Albany'!L27,Wheatland!L27,Wilton!L27,Brownsville!L27,Gleason!L27)</f>
        <v>3774.3130000000001</v>
      </c>
      <c r="M28" s="122">
        <f>SUM(Caledonia!M27,'New Albany'!M27,Wheatland!M27,Wilton!M27,Brownsville!M27,Gleason!M27)</f>
        <v>3371.88</v>
      </c>
      <c r="N28" s="122">
        <f>SUM(Caledonia!N27,'New Albany'!N27,Wheatland!N27,Wilton!N27,Brownsville!N27,Gleason!N27)</f>
        <v>3464.7</v>
      </c>
      <c r="O28" s="122">
        <f>SUM(Caledonia!O27,'New Albany'!O27,Wheatland!O27,Wilton!O27,Brownsville!O27,Gleason!O27)</f>
        <v>3464.7</v>
      </c>
      <c r="P28" s="122">
        <f>SUM(Caledonia!P27,'New Albany'!P27,Wheatland!P27,Wilton!P27,Brownsville!P27,Gleason!P27)</f>
        <v>3953.498301179623</v>
      </c>
      <c r="Q28" s="122">
        <f>SUM(Caledonia!Q27,'New Albany'!Q27,Wheatland!Q27,Wilton!Q27,Brownsville!Q27,Gleason!Q27)</f>
        <v>3397.5323122032155</v>
      </c>
      <c r="R28" s="122">
        <f>SUM(Caledonia!R27,'New Albany'!R27,Wheatland!R27,Wilton!R27,Brownsville!R27,Gleason!R27)</f>
        <v>3421.1349584472796</v>
      </c>
      <c r="S28" s="122">
        <f>SUM(Caledonia!S27,'New Albany'!S27,Wheatland!S27,Wilton!S27,Brownsville!S27,Gleason!S27)</f>
        <v>3445.2096576162253</v>
      </c>
      <c r="T28" s="122">
        <f>SUM(Caledonia!T27,'New Albany'!T27,Wheatland!T27,Wilton!T27,Brownsville!T27,Gleason!T27)</f>
        <v>3469.7658507685501</v>
      </c>
      <c r="U28" s="122">
        <f>SUM(Caledonia!U27,'New Albany'!U27,Wheatland!U27,Wilton!U27,Brownsville!U27,Gleason!U27)</f>
        <v>3485.5551622965972</v>
      </c>
      <c r="W28" s="450">
        <f t="shared" si="4"/>
        <v>64574.591242511466</v>
      </c>
      <c r="X28" s="404">
        <f>SUM(Caledonia!W27,'New Albany'!W27,Wheatland!W27,Wilton!W27,Brownsville!W27,Gleason!W27)</f>
        <v>64574.591242511488</v>
      </c>
      <c r="Y28" s="404">
        <f t="shared" si="5"/>
        <v>0</v>
      </c>
    </row>
    <row r="29" spans="1:25">
      <c r="A29" s="3" t="s">
        <v>233</v>
      </c>
      <c r="B29" s="146">
        <f>SUM(Caledonia!B28,'New Albany'!B28,Wheatland!B28,Wilton!B28,Brownsville!B28,Gleason!B28)</f>
        <v>2156.5239433037123</v>
      </c>
      <c r="C29" s="146">
        <f>SUM(Caledonia!C28,'New Albany'!C28,Wheatland!C28,Wilton!C28,Brownsville!C28,Gleason!C28)</f>
        <v>2027.6995115153004</v>
      </c>
      <c r="D29" s="146">
        <f>SUM(Caledonia!D28,'New Albany'!D28,Wheatland!D28,Wilton!D28,Brownsville!D28,Gleason!D28)</f>
        <v>1971.0829558815794</v>
      </c>
      <c r="E29" s="146">
        <f>SUM(Caledonia!E28,'New Albany'!E28,Wheatland!E28,Wilton!E28,Brownsville!E28,Gleason!E28)</f>
        <v>1882.5485861150714</v>
      </c>
      <c r="F29" s="146">
        <f>SUM(Caledonia!F28,'New Albany'!F28,Wheatland!F28,Wilton!F28,Brownsville!F28,Gleason!F28)</f>
        <v>1790.5032514401355</v>
      </c>
      <c r="G29" s="146">
        <f>SUM(Caledonia!G28,'New Albany'!G28,Wheatland!G28,Wilton!G28,Brownsville!G28,Gleason!G28)</f>
        <v>1702.8826963840338</v>
      </c>
      <c r="H29" s="146">
        <f>SUM(Caledonia!H28,'New Albany'!H28,Wheatland!H28,Wilton!H28,Brownsville!H28,Gleason!H28)</f>
        <v>1629.5670587625527</v>
      </c>
      <c r="I29" s="146">
        <f>SUM(Caledonia!I28,'New Albany'!I28,Wheatland!I28,Wilton!I28,Brownsville!I28,Gleason!I28)</f>
        <v>1556.7877391008599</v>
      </c>
      <c r="J29" s="146">
        <f>SUM(Caledonia!J28,'New Albany'!J28,Wheatland!J28,Wilton!J28,Brownsville!J28,Gleason!J28)</f>
        <v>1484.4604929807151</v>
      </c>
      <c r="K29" s="146">
        <f>SUM(Caledonia!K28,'New Albany'!K28,Wheatland!K28,Wilton!K28,Brownsville!K28,Gleason!K28)</f>
        <v>1410.3957713701261</v>
      </c>
      <c r="L29" s="146">
        <f>SUM(Caledonia!L28,'New Albany'!L28,Wheatland!L28,Wilton!L28,Brownsville!L28,Gleason!L28)</f>
        <v>1339.2336586814579</v>
      </c>
      <c r="M29" s="146">
        <f>SUM(Caledonia!M28,'New Albany'!M28,Wheatland!M28,Wilton!M28,Brownsville!M28,Gleason!M28)</f>
        <v>1267.8400762654658</v>
      </c>
      <c r="N29" s="146">
        <f>SUM(Caledonia!N28,'New Albany'!N28,Wheatland!N28,Wilton!N28,Brownsville!N28,Gleason!N28)</f>
        <v>1195.8342737147132</v>
      </c>
      <c r="O29" s="146">
        <f>SUM(Caledonia!O28,'New Albany'!O28,Wheatland!O28,Wilton!O28,Brownsville!O28,Gleason!O28)</f>
        <v>1123.1101073053976</v>
      </c>
      <c r="P29" s="146">
        <f>SUM(Caledonia!P28,'New Albany'!P28,Wheatland!P28,Wilton!P28,Brownsville!P28,Gleason!P28)</f>
        <v>1050.2633599852416</v>
      </c>
      <c r="Q29" s="146">
        <f>SUM(Caledonia!Q28,'New Albany'!Q28,Wheatland!Q28,Wilton!Q28,Brownsville!Q28,Gleason!Q28)</f>
        <v>987.53196923309963</v>
      </c>
      <c r="R29" s="146">
        <f>SUM(Caledonia!R28,'New Albany'!R28,Wheatland!R28,Wilton!R28,Brownsville!R28,Gleason!R28)</f>
        <v>934.78805387724344</v>
      </c>
      <c r="S29" s="146">
        <f>SUM(Caledonia!S28,'New Albany'!S28,Wheatland!S28,Wilton!S28,Brownsville!S28,Gleason!S28)</f>
        <v>882.02274508338019</v>
      </c>
      <c r="T29" s="146">
        <f>SUM(Caledonia!T28,'New Albany'!T28,Wheatland!T28,Wilton!T28,Brownsville!T28,Gleason!T28)</f>
        <v>829.23851257671686</v>
      </c>
      <c r="U29" s="146">
        <f>SUM(Caledonia!U28,'New Albany'!U28,Wheatland!U28,Wilton!U28,Brownsville!U28,Gleason!U28)</f>
        <v>776.43863477191633</v>
      </c>
      <c r="V29" s="91"/>
      <c r="W29" s="450">
        <f t="shared" si="4"/>
        <v>27998.753398348726</v>
      </c>
      <c r="X29" s="404">
        <f>SUM(Caledonia!W28,'New Albany'!W28,Wheatland!W28,Wilton!W28,Brownsville!W28,Gleason!W28)</f>
        <v>27998.753398348719</v>
      </c>
      <c r="Y29" s="404">
        <f t="shared" si="5"/>
        <v>0</v>
      </c>
    </row>
    <row r="30" spans="1:25">
      <c r="A30" s="3" t="s">
        <v>62</v>
      </c>
      <c r="B30" s="122">
        <f t="shared" ref="B30:U30" si="6">SUM(B23:B29)</f>
        <v>27389.000731346634</v>
      </c>
      <c r="C30" s="122">
        <f t="shared" si="6"/>
        <v>28299.634803199515</v>
      </c>
      <c r="D30" s="122">
        <f t="shared" si="6"/>
        <v>29146.700096316319</v>
      </c>
      <c r="E30" s="122">
        <f t="shared" si="6"/>
        <v>29870.411450762855</v>
      </c>
      <c r="F30" s="122">
        <f t="shared" si="6"/>
        <v>30583.085952027352</v>
      </c>
      <c r="G30" s="122">
        <f t="shared" si="6"/>
        <v>31475.666847988869</v>
      </c>
      <c r="H30" s="122">
        <f t="shared" si="6"/>
        <v>32337.911624915538</v>
      </c>
      <c r="I30" s="122">
        <f t="shared" si="6"/>
        <v>33163.258472238434</v>
      </c>
      <c r="J30" s="122">
        <f t="shared" si="6"/>
        <v>33889.069988112409</v>
      </c>
      <c r="K30" s="122">
        <f t="shared" si="6"/>
        <v>35527.59615135577</v>
      </c>
      <c r="L30" s="122">
        <f t="shared" si="6"/>
        <v>36149.570910066672</v>
      </c>
      <c r="M30" s="122">
        <f t="shared" si="6"/>
        <v>36606.825055192232</v>
      </c>
      <c r="N30" s="122">
        <f t="shared" si="6"/>
        <v>37586.652402009284</v>
      </c>
      <c r="O30" s="122">
        <f t="shared" si="6"/>
        <v>38501.711779448808</v>
      </c>
      <c r="P30" s="122">
        <f t="shared" si="6"/>
        <v>39935.080383472588</v>
      </c>
      <c r="Q30" s="122">
        <f t="shared" si="6"/>
        <v>40364.322565413262</v>
      </c>
      <c r="R30" s="122">
        <f t="shared" si="6"/>
        <v>41414.55904482078</v>
      </c>
      <c r="S30" s="122">
        <f t="shared" si="6"/>
        <v>42497.627516170745</v>
      </c>
      <c r="T30" s="122">
        <f t="shared" si="6"/>
        <v>43614.511330220543</v>
      </c>
      <c r="U30" s="122">
        <f t="shared" si="6"/>
        <v>44756.965972950064</v>
      </c>
      <c r="W30" s="450">
        <f t="shared" si="4"/>
        <v>713110.16307802871</v>
      </c>
      <c r="X30" s="404">
        <f>SUM(Caledonia!W29,'New Albany'!W29,Wheatland!W29,Wilton!W29,Brownsville!W29,Gleason!W29)</f>
        <v>713110.16307802871</v>
      </c>
      <c r="Y30" s="404">
        <f t="shared" si="5"/>
        <v>0</v>
      </c>
    </row>
    <row r="31" spans="1:25">
      <c r="A31" s="483"/>
      <c r="B31" s="375"/>
      <c r="C31" s="375"/>
      <c r="D31" s="375"/>
      <c r="E31" s="375"/>
      <c r="F31" s="375"/>
      <c r="G31" s="375"/>
      <c r="H31" s="375"/>
      <c r="I31" s="375"/>
      <c r="J31" s="375"/>
      <c r="K31" s="375"/>
      <c r="L31" s="375"/>
      <c r="M31" s="375"/>
      <c r="N31" s="375"/>
      <c r="O31" s="375"/>
      <c r="P31" s="375"/>
      <c r="Q31" s="375"/>
      <c r="R31" s="375"/>
      <c r="S31" s="375"/>
      <c r="T31" s="375"/>
      <c r="U31" s="375"/>
      <c r="W31" s="450"/>
      <c r="X31" s="44"/>
      <c r="Y31" s="44"/>
    </row>
    <row r="32" spans="1:25">
      <c r="A32" s="5"/>
      <c r="B32" s="376"/>
      <c r="C32" s="376"/>
      <c r="D32" s="376"/>
      <c r="E32" s="376"/>
      <c r="F32" s="376"/>
      <c r="G32" s="376"/>
      <c r="H32" s="376"/>
      <c r="I32" s="376"/>
      <c r="J32" s="376"/>
      <c r="K32" s="376"/>
      <c r="L32" s="376"/>
      <c r="M32" s="376"/>
      <c r="N32" s="376"/>
      <c r="O32" s="376"/>
      <c r="P32" s="376"/>
      <c r="Q32" s="376"/>
      <c r="R32" s="376"/>
      <c r="S32" s="376"/>
      <c r="T32" s="376"/>
      <c r="U32" s="376"/>
      <c r="W32" s="450"/>
      <c r="X32" s="44"/>
      <c r="Y32" s="44"/>
    </row>
    <row r="33" spans="1:25">
      <c r="A33" s="1" t="s">
        <v>63</v>
      </c>
      <c r="B33" s="197">
        <f t="shared" ref="B33:U33" si="7">B20-B30</f>
        <v>177719.19008576992</v>
      </c>
      <c r="C33" s="197">
        <f t="shared" si="7"/>
        <v>177135.58762118459</v>
      </c>
      <c r="D33" s="197">
        <f t="shared" si="7"/>
        <v>176626.50098106454</v>
      </c>
      <c r="E33" s="197">
        <f t="shared" si="7"/>
        <v>208938.0438079673</v>
      </c>
      <c r="F33" s="197">
        <f t="shared" si="7"/>
        <v>219875.44154281067</v>
      </c>
      <c r="G33" s="197">
        <f t="shared" si="7"/>
        <v>223054.46112947454</v>
      </c>
      <c r="H33" s="197">
        <f t="shared" si="7"/>
        <v>226335.84076458254</v>
      </c>
      <c r="I33" s="197">
        <f t="shared" si="7"/>
        <v>229727.58632562414</v>
      </c>
      <c r="J33" s="197">
        <f t="shared" si="7"/>
        <v>233294.50825362475</v>
      </c>
      <c r="K33" s="197">
        <f t="shared" si="7"/>
        <v>236013.12216492224</v>
      </c>
      <c r="L33" s="197">
        <f t="shared" si="7"/>
        <v>240433.33211659675</v>
      </c>
      <c r="M33" s="197">
        <f t="shared" si="7"/>
        <v>245117.25757760351</v>
      </c>
      <c r="N33" s="197">
        <f t="shared" si="7"/>
        <v>249370.94103823445</v>
      </c>
      <c r="O33" s="197">
        <f t="shared" si="7"/>
        <v>253791.0327876806</v>
      </c>
      <c r="P33" s="197">
        <f t="shared" si="7"/>
        <v>257789.1752569699</v>
      </c>
      <c r="Q33" s="197">
        <f t="shared" si="7"/>
        <v>261943.96372445847</v>
      </c>
      <c r="R33" s="197">
        <f t="shared" si="7"/>
        <v>265543.87128686567</v>
      </c>
      <c r="S33" s="197">
        <f t="shared" si="7"/>
        <v>269185.6931585517</v>
      </c>
      <c r="T33" s="197">
        <f t="shared" si="7"/>
        <v>272869.73927473201</v>
      </c>
      <c r="U33" s="197">
        <f t="shared" si="7"/>
        <v>276605.6880207613</v>
      </c>
      <c r="W33" s="450">
        <f>SUM(B33:U33)</f>
        <v>4701370.9769194797</v>
      </c>
      <c r="X33" s="404">
        <f>SUM(Caledonia!W32,'New Albany'!W32,Wheatland!W32,Wilton!W32,Brownsville!W32,Gleason!W32)</f>
        <v>4701370.9769194787</v>
      </c>
      <c r="Y33" s="404">
        <f>W33-X33</f>
        <v>0</v>
      </c>
    </row>
    <row r="34" spans="1:25">
      <c r="A34" s="1"/>
      <c r="B34" s="375"/>
      <c r="C34" s="375"/>
      <c r="D34" s="375"/>
      <c r="E34" s="375"/>
      <c r="F34" s="375"/>
      <c r="G34" s="375"/>
      <c r="H34" s="375"/>
      <c r="I34" s="375"/>
      <c r="J34" s="375"/>
      <c r="K34" s="375"/>
      <c r="L34" s="375"/>
      <c r="M34" s="375"/>
      <c r="N34" s="375"/>
      <c r="O34" s="375"/>
      <c r="P34" s="375"/>
      <c r="Q34" s="375"/>
      <c r="R34" s="375"/>
      <c r="S34" s="375"/>
      <c r="T34" s="375"/>
      <c r="U34" s="375"/>
      <c r="W34" s="450"/>
      <c r="X34" s="44"/>
      <c r="Y34" s="44"/>
    </row>
    <row r="35" spans="1:25">
      <c r="A35" s="3" t="s">
        <v>64</v>
      </c>
      <c r="B35" s="122">
        <f>Depreciation!C58</f>
        <v>37127.99419986608</v>
      </c>
      <c r="C35" s="122">
        <f>Depreciation!D58</f>
        <v>37127.99419986608</v>
      </c>
      <c r="D35" s="122">
        <f>Depreciation!E58</f>
        <v>37127.99419986608</v>
      </c>
      <c r="E35" s="122">
        <f>Depreciation!F58</f>
        <v>37127.99419986608</v>
      </c>
      <c r="F35" s="122">
        <f>Depreciation!G58</f>
        <v>37127.99419986608</v>
      </c>
      <c r="G35" s="122">
        <f>Depreciation!H58</f>
        <v>37127.99419986608</v>
      </c>
      <c r="H35" s="122">
        <f>Depreciation!I58</f>
        <v>37127.99419986608</v>
      </c>
      <c r="I35" s="122">
        <f>Depreciation!J58</f>
        <v>37127.99419986608</v>
      </c>
      <c r="J35" s="122">
        <f>Depreciation!K58</f>
        <v>37127.99419986608</v>
      </c>
      <c r="K35" s="122">
        <f>Depreciation!L58</f>
        <v>37127.99419986608</v>
      </c>
      <c r="L35" s="122">
        <f>Depreciation!M58</f>
        <v>37127.99419986608</v>
      </c>
      <c r="M35" s="122">
        <f>Depreciation!N58</f>
        <v>37127.99419986608</v>
      </c>
      <c r="N35" s="122">
        <f>Depreciation!O58</f>
        <v>37127.99419986608</v>
      </c>
      <c r="O35" s="122">
        <f>Depreciation!P58</f>
        <v>37127.99419986608</v>
      </c>
      <c r="P35" s="122">
        <f>Depreciation!Q58</f>
        <v>37127.99419986608</v>
      </c>
      <c r="Q35" s="122">
        <f>Depreciation!R58</f>
        <v>37127.99419986608</v>
      </c>
      <c r="R35" s="122">
        <f>Depreciation!S58</f>
        <v>37127.99419986608</v>
      </c>
      <c r="S35" s="122">
        <f>Depreciation!T58</f>
        <v>37127.99419986608</v>
      </c>
      <c r="T35" s="122">
        <f>Depreciation!U58</f>
        <v>37127.99419986608</v>
      </c>
      <c r="U35" s="122">
        <f>Depreciation!V58</f>
        <v>37127.99419986608</v>
      </c>
      <c r="W35" s="450">
        <f>SUM(B35:U35)</f>
        <v>742559.88399732159</v>
      </c>
      <c r="X35" s="404">
        <f>SUM(Caledonia!W34,'New Albany'!W34,Wheatland!W34,Wilton!W34,Brownsville!W34,Gleason!W34)</f>
        <v>742559.88399732159</v>
      </c>
      <c r="Y35" s="404">
        <f>W35-X35</f>
        <v>0</v>
      </c>
    </row>
    <row r="36" spans="1:25">
      <c r="A36" s="3"/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W36" s="450"/>
      <c r="X36" s="44"/>
      <c r="Y36" s="44"/>
    </row>
    <row r="37" spans="1:25">
      <c r="A37" s="1" t="s">
        <v>65</v>
      </c>
      <c r="B37" s="197">
        <f t="shared" ref="B37:U37" si="8">B33-B35</f>
        <v>140591.19588590384</v>
      </c>
      <c r="C37" s="197">
        <f t="shared" si="8"/>
        <v>140007.59342131851</v>
      </c>
      <c r="D37" s="197">
        <f t="shared" si="8"/>
        <v>139498.50678119846</v>
      </c>
      <c r="E37" s="197">
        <f t="shared" si="8"/>
        <v>171810.04960810122</v>
      </c>
      <c r="F37" s="197">
        <f t="shared" si="8"/>
        <v>182747.44734294459</v>
      </c>
      <c r="G37" s="197">
        <f t="shared" si="8"/>
        <v>185926.46692960846</v>
      </c>
      <c r="H37" s="197">
        <f t="shared" si="8"/>
        <v>189207.84656471646</v>
      </c>
      <c r="I37" s="197">
        <f t="shared" si="8"/>
        <v>192599.59212575806</v>
      </c>
      <c r="J37" s="197">
        <f t="shared" si="8"/>
        <v>196166.51405375867</v>
      </c>
      <c r="K37" s="197">
        <f t="shared" si="8"/>
        <v>198885.12796505616</v>
      </c>
      <c r="L37" s="197">
        <f t="shared" si="8"/>
        <v>203305.33791673067</v>
      </c>
      <c r="M37" s="197">
        <f t="shared" si="8"/>
        <v>207989.26337773743</v>
      </c>
      <c r="N37" s="197">
        <f t="shared" si="8"/>
        <v>212242.94683836837</v>
      </c>
      <c r="O37" s="197">
        <f t="shared" si="8"/>
        <v>216663.03858781452</v>
      </c>
      <c r="P37" s="197">
        <f t="shared" si="8"/>
        <v>220661.18105710382</v>
      </c>
      <c r="Q37" s="197">
        <f t="shared" si="8"/>
        <v>224815.96952459239</v>
      </c>
      <c r="R37" s="197">
        <f t="shared" si="8"/>
        <v>228415.87708699959</v>
      </c>
      <c r="S37" s="197">
        <f t="shared" si="8"/>
        <v>232057.69895868562</v>
      </c>
      <c r="T37" s="197">
        <f t="shared" si="8"/>
        <v>235741.74507486593</v>
      </c>
      <c r="U37" s="197">
        <f t="shared" si="8"/>
        <v>239477.69382089522</v>
      </c>
      <c r="W37" s="450">
        <f>SUM(B37:U37)</f>
        <v>3958811.0929221585</v>
      </c>
      <c r="X37" s="404">
        <f>SUM(Caledonia!W36,'New Albany'!W36,Wheatland!W36,Wilton!W36,Brownsville!W36,Gleason!W36)</f>
        <v>3958811.0929221576</v>
      </c>
      <c r="Y37" s="404">
        <f>W37-X37</f>
        <v>0</v>
      </c>
    </row>
    <row r="38" spans="1:25">
      <c r="A38" s="1"/>
      <c r="B38" s="197"/>
      <c r="C38" s="197"/>
      <c r="D38" s="197"/>
      <c r="E38" s="197"/>
      <c r="F38" s="197"/>
      <c r="G38" s="197"/>
      <c r="H38" s="197"/>
      <c r="I38" s="197"/>
      <c r="J38" s="197"/>
      <c r="K38" s="197"/>
      <c r="L38" s="197"/>
      <c r="M38" s="197"/>
      <c r="N38" s="197"/>
      <c r="O38" s="197"/>
      <c r="P38" s="197"/>
      <c r="Q38" s="197"/>
      <c r="R38" s="197"/>
      <c r="S38" s="197"/>
      <c r="T38" s="197"/>
      <c r="U38" s="197"/>
      <c r="W38" s="450"/>
      <c r="X38" s="44"/>
      <c r="Y38" s="44"/>
    </row>
    <row r="39" spans="1:25">
      <c r="A39" s="3" t="s">
        <v>66</v>
      </c>
      <c r="B39" s="122">
        <f>Debt!B91</f>
        <v>80195.063655030797</v>
      </c>
      <c r="C39" s="122">
        <f>Debt!C91</f>
        <v>78991.765229294993</v>
      </c>
      <c r="D39" s="122">
        <f>Debt!D91</f>
        <v>77294.472108145099</v>
      </c>
      <c r="E39" s="122">
        <f>Debt!E91</f>
        <v>75962.102669404514</v>
      </c>
      <c r="F39" s="122">
        <f>Debt!F91</f>
        <v>73604.857221081445</v>
      </c>
      <c r="G39" s="122">
        <f>Debt!G91</f>
        <v>70810.911430527034</v>
      </c>
      <c r="H39" s="122">
        <f>Debt!H91</f>
        <v>67670.892539356602</v>
      </c>
      <c r="I39" s="122">
        <f>Debt!I91</f>
        <v>64385.85626283368</v>
      </c>
      <c r="J39" s="122">
        <f>Debt!J91</f>
        <v>60305.328678986989</v>
      </c>
      <c r="K39" s="122">
        <f>Debt!K91</f>
        <v>55783.800136892532</v>
      </c>
      <c r="L39" s="122">
        <f>Debt!L91</f>
        <v>51026.119096509239</v>
      </c>
      <c r="M39" s="122">
        <f>Debt!M91</f>
        <v>45838.663928815877</v>
      </c>
      <c r="N39" s="122">
        <f>Debt!N91</f>
        <v>40393.401779603009</v>
      </c>
      <c r="O39" s="122">
        <f>Debt!O91</f>
        <v>35077.043121149894</v>
      </c>
      <c r="P39" s="122">
        <f>Debt!P91</f>
        <v>29693.683778234088</v>
      </c>
      <c r="Q39" s="122">
        <f>Debt!Q91</f>
        <v>24114.420260095823</v>
      </c>
      <c r="R39" s="122">
        <f>Debt!R91</f>
        <v>18196.511978097195</v>
      </c>
      <c r="S39" s="122">
        <f>Debt!S91</f>
        <v>12616.520191649557</v>
      </c>
      <c r="T39" s="122">
        <f>Debt!T91</f>
        <v>7831.7973990417522</v>
      </c>
      <c r="U39" s="122">
        <f>Debt!U91</f>
        <v>3058.7268993839834</v>
      </c>
      <c r="W39" s="450">
        <f>SUM(B39:U39)</f>
        <v>972851.93836413382</v>
      </c>
      <c r="X39" s="404">
        <f>SUM(Caledonia!W38,'New Albany'!W38,Wheatland!W38,Wilton!W38,Brownsville!W38,Gleason!W38)</f>
        <v>972851.93836413394</v>
      </c>
      <c r="Y39" s="404">
        <f>W39-X39</f>
        <v>0</v>
      </c>
    </row>
    <row r="40" spans="1:25">
      <c r="A40" s="6"/>
      <c r="B40" s="122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W40" s="450"/>
      <c r="X40" s="44"/>
      <c r="Y40" s="44"/>
    </row>
    <row r="41" spans="1:25">
      <c r="A41" s="1" t="s">
        <v>67</v>
      </c>
      <c r="B41" s="197">
        <f t="shared" ref="B41:U41" si="9">B37-B39</f>
        <v>60396.132230873045</v>
      </c>
      <c r="C41" s="197">
        <f t="shared" si="9"/>
        <v>61015.828192023517</v>
      </c>
      <c r="D41" s="197">
        <f t="shared" si="9"/>
        <v>62204.034673053364</v>
      </c>
      <c r="E41" s="197">
        <f t="shared" si="9"/>
        <v>95847.94693869671</v>
      </c>
      <c r="F41" s="197">
        <f t="shared" si="9"/>
        <v>109142.59012186315</v>
      </c>
      <c r="G41" s="197">
        <f t="shared" si="9"/>
        <v>115115.55549908143</v>
      </c>
      <c r="H41" s="197">
        <f t="shared" si="9"/>
        <v>121536.95402535985</v>
      </c>
      <c r="I41" s="197">
        <f t="shared" si="9"/>
        <v>128213.73586292438</v>
      </c>
      <c r="J41" s="197">
        <f t="shared" si="9"/>
        <v>135861.18537477168</v>
      </c>
      <c r="K41" s="197">
        <f t="shared" si="9"/>
        <v>143101.32782816363</v>
      </c>
      <c r="L41" s="197">
        <f t="shared" si="9"/>
        <v>152279.21882022143</v>
      </c>
      <c r="M41" s="197">
        <f t="shared" si="9"/>
        <v>162150.59944892157</v>
      </c>
      <c r="N41" s="197">
        <f t="shared" si="9"/>
        <v>171849.54505876536</v>
      </c>
      <c r="O41" s="197">
        <f t="shared" si="9"/>
        <v>181585.99546666461</v>
      </c>
      <c r="P41" s="197">
        <f t="shared" si="9"/>
        <v>190967.49727886973</v>
      </c>
      <c r="Q41" s="197">
        <f t="shared" si="9"/>
        <v>200701.54926449657</v>
      </c>
      <c r="R41" s="197">
        <f t="shared" si="9"/>
        <v>210219.36510890239</v>
      </c>
      <c r="S41" s="197">
        <f t="shared" si="9"/>
        <v>219441.17876703606</v>
      </c>
      <c r="T41" s="197">
        <f t="shared" si="9"/>
        <v>227909.94767582417</v>
      </c>
      <c r="U41" s="197">
        <f t="shared" si="9"/>
        <v>236418.96692151122</v>
      </c>
      <c r="W41" s="450">
        <f>SUM(B41:U41)</f>
        <v>2985959.1545580244</v>
      </c>
      <c r="X41" s="404">
        <f>SUM(Caledonia!W40,'New Albany'!W40,Wheatland!W40,Wilton!W40,Brownsville!W40,Gleason!W40)</f>
        <v>2985959.1545580234</v>
      </c>
      <c r="Y41" s="404">
        <f>W41-X41</f>
        <v>0</v>
      </c>
    </row>
    <row r="42" spans="1:25">
      <c r="A42" s="1"/>
      <c r="B42" s="197"/>
      <c r="C42" s="197"/>
      <c r="D42" s="197"/>
      <c r="E42" s="197"/>
      <c r="F42" s="197"/>
      <c r="G42" s="197"/>
      <c r="H42" s="197"/>
      <c r="I42" s="197"/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W42" s="450"/>
      <c r="X42" s="44"/>
      <c r="Y42" s="44"/>
    </row>
    <row r="43" spans="1:25">
      <c r="A43" s="3" t="s">
        <v>68</v>
      </c>
      <c r="B43" s="122">
        <f>Wheatland!B42+'New Albany'!B42+Wilton!B42+Caledonia!B42+Brownsville!B42+Gleason!B42</f>
        <v>-3444.5152090753222</v>
      </c>
      <c r="C43" s="122">
        <f>Wheatland!C42+'New Albany'!C42+Wilton!C42+Caledonia!C42+Brownsville!C42+Gleason!C42</f>
        <v>-3482.2003407170409</v>
      </c>
      <c r="D43" s="122">
        <f>Wheatland!D42+'New Albany'!D42+Wilton!D42+Caledonia!D42+Brownsville!D42+Gleason!D42</f>
        <v>-3551.5370751622941</v>
      </c>
      <c r="E43" s="122">
        <f>Wheatland!E42+'New Albany'!E42+Wilton!E42+Caledonia!E42+Brownsville!E42+Gleason!E42</f>
        <v>-5472.2641015289819</v>
      </c>
      <c r="F43" s="122">
        <f>Wheatland!F42+'New Albany'!F42+Wilton!F42+Caledonia!F42+Brownsville!F42+Gleason!F42</f>
        <v>-6229.5873449199753</v>
      </c>
      <c r="G43" s="122">
        <f>Wheatland!G42+'New Albany'!G42+Wilton!G42+Caledonia!G42+Brownsville!G42+Gleason!G42</f>
        <v>-6574.4254242625984</v>
      </c>
      <c r="H43" s="122">
        <f>Wheatland!H42+'New Albany'!H42+Wilton!H42+Caledonia!H42+Brownsville!H42+Gleason!H42</f>
        <v>-6946.0434218591336</v>
      </c>
      <c r="I43" s="122">
        <f>Wheatland!I42+'New Albany'!I42+Wilton!I42+Caledonia!I42+Brownsville!I42+Gleason!I42</f>
        <v>-7331.6126504215745</v>
      </c>
      <c r="J43" s="122">
        <f>Wheatland!J42+'New Albany'!J42+Wilton!J42+Caledonia!J42+Brownsville!J42+Gleason!J42</f>
        <v>-7771.4516028511862</v>
      </c>
      <c r="K43" s="122">
        <f>Wheatland!K42+'New Albany'!K42+Wilton!K42+Caledonia!K42+Brownsville!K42+Gleason!K42</f>
        <v>-8194.1915282976006</v>
      </c>
      <c r="L43" s="122">
        <f>Wheatland!L42+'New Albany'!L42+Wilton!L42+Caledonia!L42+Brownsville!L42+Gleason!L42</f>
        <v>-8723.3313592760205</v>
      </c>
      <c r="M43" s="122">
        <f>Wheatland!M42+'New Albany'!M42+Wilton!M42+Caledonia!M42+Brownsville!M42+Gleason!M42</f>
        <v>-9290.1491477239433</v>
      </c>
      <c r="N43" s="122">
        <f>Wheatland!N42+'New Albany'!N42+Wilton!N42+Caledonia!N42+Brownsville!N42+Gleason!N42</f>
        <v>-9847.3574744304569</v>
      </c>
      <c r="O43" s="122">
        <f>Wheatland!O42+'New Albany'!O42+Wilton!O42+Caledonia!O42+Brownsville!O42+Gleason!O42</f>
        <v>-10409.707302624176</v>
      </c>
      <c r="P43" s="122">
        <f>Wheatland!P42+'New Albany'!P42+Wilton!P42+Caledonia!P42+Brownsville!P42+Gleason!P42</f>
        <v>-10950.536660183257</v>
      </c>
      <c r="Q43" s="122">
        <f>Wheatland!Q42+'New Albany'!Q42+Wilton!Q42+Caledonia!Q42+Brownsville!Q42+Gleason!Q42</f>
        <v>-11510.947025327097</v>
      </c>
      <c r="R43" s="122">
        <f>Wheatland!R42+'New Albany'!R42+Wilton!R42+Caledonia!R42+Brownsville!R42+Gleason!R42</f>
        <v>-12057.496966541967</v>
      </c>
      <c r="S43" s="122">
        <f>Wheatland!S42+'New Albany'!S42+Wilton!S42+Caledonia!S42+Brownsville!S42+Gleason!S42</f>
        <v>-12587.125210699487</v>
      </c>
      <c r="T43" s="122">
        <f>Wheatland!T42+'New Albany'!T42+Wilton!T42+Caledonia!T42+Brownsville!T42+Gleason!T42</f>
        <v>-13073.643734861667</v>
      </c>
      <c r="U43" s="122">
        <f>Wheatland!U42+'New Albany'!U42+Wilton!U42+Caledonia!U42+Brownsville!U42+Gleason!U42</f>
        <v>-13562.535901786179</v>
      </c>
      <c r="W43" s="450">
        <f>SUM(B43:U43)</f>
        <v>-171010.65948254996</v>
      </c>
      <c r="X43" s="404">
        <f>SUM(Caledonia!W42,'New Albany'!W42,Wheatland!W42,Wilton!W42,Brownsville!W42,Gleason!W42)</f>
        <v>-171010.65948254996</v>
      </c>
      <c r="Y43" s="404">
        <f>W43-X43</f>
        <v>0</v>
      </c>
    </row>
    <row r="44" spans="1:25">
      <c r="A44" s="3" t="s">
        <v>69</v>
      </c>
      <c r="B44" s="122">
        <f>Wheatland!B43+'New Albany'!B43+Wilton!B43+Caledonia!B43+Brownsville!B43+Gleason!B43</f>
        <v>-19933.065957629195</v>
      </c>
      <c r="C44" s="122">
        <f>Wheatland!C43+'New Albany'!C43+Wilton!C43+Caledonia!C43+Brownsville!C43+Gleason!C43</f>
        <v>-20136.769747957256</v>
      </c>
      <c r="D44" s="122">
        <f>Wheatland!D43+'New Albany'!D43+Wilton!D43+Caledonia!D43+Brownsville!D43+Gleason!D43</f>
        <v>-20528.374159261857</v>
      </c>
      <c r="E44" s="122">
        <f>Wheatland!E43+'New Albany'!E43+Wilton!E43+Caledonia!E43+Brownsville!E43+Gleason!E43</f>
        <v>-31631.488993008694</v>
      </c>
      <c r="F44" s="122">
        <f>Wheatland!F43+'New Albany'!F43+Wilton!F43+Caledonia!F43+Brownsville!F43+Gleason!F43</f>
        <v>-36019.550971930104</v>
      </c>
      <c r="G44" s="122">
        <f>Wheatland!G43+'New Albany'!G43+Wilton!G43+Caledonia!G43+Brownsville!G43+Gleason!G43</f>
        <v>-37989.395526186592</v>
      </c>
      <c r="H44" s="122">
        <f>Wheatland!H43+'New Albany'!H43+Wilton!H43+Caledonia!H43+Brownsville!H43+Gleason!H43</f>
        <v>-40106.818711225249</v>
      </c>
      <c r="I44" s="122">
        <f>Wheatland!I43+'New Albany'!I43+Wilton!I43+Caledonia!I43+Brownsville!I43+Gleason!I43</f>
        <v>-42308.743124375971</v>
      </c>
      <c r="J44" s="122">
        <f>Wheatland!J43+'New Albany'!J43+Wilton!J43+Caledonia!J43+Brownsville!J43+Gleason!J43</f>
        <v>-44831.406820172189</v>
      </c>
      <c r="K44" s="122">
        <f>Wheatland!K43+'New Albany'!K43+Wilton!K43+Caledonia!K43+Brownsville!K43+Gleason!K43</f>
        <v>-47217.497704953093</v>
      </c>
      <c r="L44" s="122">
        <f>Wheatland!L43+'New Albany'!L43+Wilton!L43+Caledonia!L43+Brownsville!L43+Gleason!L43</f>
        <v>-50244.560611330875</v>
      </c>
      <c r="M44" s="122">
        <f>Wheatland!M43+'New Albany'!M43+Wilton!M43+Caledonia!M43+Brownsville!M43+Gleason!M43</f>
        <v>-53501.157605419168</v>
      </c>
      <c r="N44" s="122">
        <f>Wheatland!N43+'New Albany'!N43+Wilton!N43+Caledonia!N43+Brownsville!N43+Gleason!N43</f>
        <v>-56700.765654517207</v>
      </c>
      <c r="O44" s="122">
        <f>Wheatland!O43+'New Albany'!O43+Wilton!O43+Caledonia!O43+Brownsville!O43+Gleason!O43</f>
        <v>-59911.700857414151</v>
      </c>
      <c r="P44" s="122">
        <f>Wheatland!P43+'New Albany'!P43+Wilton!P43+Caledonia!P43+Brownsville!P43+Gleason!P43</f>
        <v>-63005.936216540242</v>
      </c>
      <c r="Q44" s="122">
        <f>Wheatland!Q43+'New Albany'!Q43+Wilton!Q43+Caledonia!Q43+Brownsville!Q43+Gleason!Q43</f>
        <v>-66216.710783709292</v>
      </c>
      <c r="R44" s="122">
        <f>Wheatland!R43+'New Albany'!R43+Wilton!R43+Caledonia!R43+Brownsville!R43+Gleason!R43</f>
        <v>-69356.653849826136</v>
      </c>
      <c r="S44" s="122">
        <f>Wheatland!S43+'New Albany'!S43+Wilton!S43+Caledonia!S43+Brownsville!S43+Gleason!S43</f>
        <v>-72398.918744717783</v>
      </c>
      <c r="T44" s="122">
        <f>Wheatland!T43+'New Albany'!T43+Wilton!T43+Caledonia!T43+Brownsville!T43+Gleason!T43</f>
        <v>-75192.706379336872</v>
      </c>
      <c r="U44" s="122">
        <f>Wheatland!U43+'New Albany'!U43+Wilton!U43+Caledonia!U43+Brownsville!U43+Gleason!U43</f>
        <v>-77999.750856903745</v>
      </c>
      <c r="W44" s="450">
        <f>SUM(B44:U44)</f>
        <v>-985231.97327641561</v>
      </c>
      <c r="X44" s="404">
        <f>SUM(Caledonia!W43,'New Albany'!W43,Wheatland!W43,Wilton!W43,Brownsville!W43,Gleason!W43)</f>
        <v>-985231.97327641561</v>
      </c>
      <c r="Y44" s="404">
        <f>W44-X44</f>
        <v>0</v>
      </c>
    </row>
    <row r="45" spans="1:25">
      <c r="A45" s="6"/>
      <c r="B45" s="122"/>
      <c r="C45" s="122"/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W45" s="450"/>
      <c r="X45" s="44"/>
      <c r="Y45" s="44"/>
    </row>
    <row r="46" spans="1:25" ht="15.75">
      <c r="A46" s="45" t="s">
        <v>70</v>
      </c>
      <c r="B46" s="377">
        <f>B41+B43+B44</f>
        <v>37018.551064168525</v>
      </c>
      <c r="C46" s="377">
        <f>C41+C43+C44</f>
        <v>37396.858103349223</v>
      </c>
      <c r="D46" s="377">
        <f t="shared" ref="D46:U46" si="10">D41+D43+D44</f>
        <v>38124.123438629205</v>
      </c>
      <c r="E46" s="377">
        <f t="shared" si="10"/>
        <v>58744.193844159032</v>
      </c>
      <c r="F46" s="377">
        <f t="shared" si="10"/>
        <v>66893.451805013072</v>
      </c>
      <c r="G46" s="377">
        <f t="shared" si="10"/>
        <v>70551.73454863223</v>
      </c>
      <c r="H46" s="377">
        <f t="shared" si="10"/>
        <v>74484.091892275464</v>
      </c>
      <c r="I46" s="377">
        <f t="shared" si="10"/>
        <v>78573.38008812684</v>
      </c>
      <c r="J46" s="377">
        <f t="shared" si="10"/>
        <v>83258.326951748313</v>
      </c>
      <c r="K46" s="377">
        <f t="shared" si="10"/>
        <v>87689.638594912918</v>
      </c>
      <c r="L46" s="377">
        <f t="shared" si="10"/>
        <v>93311.326849614532</v>
      </c>
      <c r="M46" s="377">
        <f t="shared" si="10"/>
        <v>99359.292695778451</v>
      </c>
      <c r="N46" s="377">
        <f t="shared" si="10"/>
        <v>105301.42192981769</v>
      </c>
      <c r="O46" s="377">
        <f t="shared" si="10"/>
        <v>111264.58730662627</v>
      </c>
      <c r="P46" s="377">
        <f t="shared" si="10"/>
        <v>117011.02440214624</v>
      </c>
      <c r="Q46" s="377">
        <f t="shared" si="10"/>
        <v>122973.89145546018</v>
      </c>
      <c r="R46" s="377">
        <f t="shared" si="10"/>
        <v>128805.21429253428</v>
      </c>
      <c r="S46" s="377">
        <f t="shared" si="10"/>
        <v>134455.1348116188</v>
      </c>
      <c r="T46" s="377">
        <f t="shared" si="10"/>
        <v>139643.59756162565</v>
      </c>
      <c r="U46" s="377">
        <f t="shared" si="10"/>
        <v>144856.68016282131</v>
      </c>
      <c r="W46" s="450">
        <f>SUM(B46:U46)</f>
        <v>1829716.5217990587</v>
      </c>
      <c r="X46" s="404">
        <f>SUM(Caledonia!W45,'New Albany'!W45,Wheatland!W45,Wilton!W45,Brownsville!W45,Gleason!W45)</f>
        <v>1829716.521799058</v>
      </c>
      <c r="Y46" s="404">
        <f>W46-X46</f>
        <v>0</v>
      </c>
    </row>
    <row r="48" spans="1:25">
      <c r="B48" s="122"/>
      <c r="C48" s="122"/>
      <c r="D48" s="122"/>
      <c r="E48" s="122"/>
      <c r="F48" s="122"/>
      <c r="G48" s="122"/>
      <c r="H48" s="122"/>
      <c r="I48" s="122"/>
      <c r="J48" s="122"/>
      <c r="K48" s="122"/>
      <c r="L48" s="122"/>
      <c r="M48" s="122"/>
      <c r="N48" s="122"/>
      <c r="O48" s="122"/>
      <c r="P48" s="122"/>
      <c r="Q48" s="122"/>
      <c r="R48" s="122"/>
      <c r="S48" s="122"/>
      <c r="T48" s="122"/>
      <c r="U48" s="122"/>
    </row>
    <row r="49" spans="1:21">
      <c r="B49" s="122"/>
      <c r="C49" s="122"/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</row>
    <row r="50" spans="1:21">
      <c r="A50" s="534">
        <v>1075431</v>
      </c>
    </row>
    <row r="52" spans="1:21" ht="15">
      <c r="B52" s="591" t="s">
        <v>289</v>
      </c>
      <c r="C52" s="591"/>
      <c r="D52" s="591"/>
      <c r="E52" s="591"/>
      <c r="F52" s="591"/>
      <c r="G52" s="591"/>
      <c r="H52" s="591"/>
    </row>
    <row r="53" spans="1:21">
      <c r="A53" s="565"/>
      <c r="B53" s="566">
        <f>PE!D6</f>
        <v>410</v>
      </c>
      <c r="C53" s="566">
        <f>PE!E6</f>
        <v>400</v>
      </c>
      <c r="D53" s="566">
        <f>PE!F6</f>
        <v>390</v>
      </c>
      <c r="E53" s="566">
        <f>PE!G6</f>
        <v>380</v>
      </c>
      <c r="F53" s="566">
        <f>PE!H6</f>
        <v>370</v>
      </c>
      <c r="G53" s="566">
        <f>PE!I6</f>
        <v>360</v>
      </c>
      <c r="H53" s="567">
        <f>PE!J6</f>
        <v>350</v>
      </c>
    </row>
    <row r="54" spans="1:21">
      <c r="A54" s="562" t="s">
        <v>288</v>
      </c>
      <c r="B54" s="563">
        <f>PE!D9</f>
        <v>1106371.193337797</v>
      </c>
      <c r="C54" s="563">
        <f>PE!E9</f>
        <v>1075431.193337797</v>
      </c>
      <c r="D54" s="563">
        <f>PE!F9</f>
        <v>1044491.193337797</v>
      </c>
      <c r="E54" s="563">
        <f>PE!G9</f>
        <v>1013551.193337797</v>
      </c>
      <c r="F54" s="563">
        <f>PE!H9</f>
        <v>982611.19333779695</v>
      </c>
      <c r="G54" s="563">
        <f>PE!I9</f>
        <v>951671.19333779695</v>
      </c>
      <c r="H54" s="564">
        <f>PE!J9</f>
        <v>920731.19333779695</v>
      </c>
      <c r="J54" s="19"/>
    </row>
    <row r="55" spans="1:21">
      <c r="A55" s="568">
        <f>B37</f>
        <v>140591.19588590384</v>
      </c>
      <c r="B55" s="569">
        <f t="dataTable" ref="B55:H55" dt2D="0" dtr="1" r1="A50"/>
        <v>139662.99008576994</v>
      </c>
      <c r="C55" s="569">
        <v>140591.19008576992</v>
      </c>
      <c r="D55" s="569">
        <v>141519.39008576993</v>
      </c>
      <c r="E55" s="569">
        <v>142447.59008576992</v>
      </c>
      <c r="F55" s="569">
        <v>143375.79008576993</v>
      </c>
      <c r="G55" s="569">
        <v>144303.99008576991</v>
      </c>
      <c r="H55" s="570">
        <v>145232.19008576992</v>
      </c>
    </row>
  </sheetData>
  <mergeCells count="1">
    <mergeCell ref="B52:H52"/>
  </mergeCells>
  <pageMargins left="0.75" right="0.75" top="1" bottom="1" header="0.5" footer="0.5"/>
  <pageSetup scale="43" orientation="landscape" r:id="rId1"/>
  <headerFooter alignWithMargins="0">
    <oddHeader>&amp;L&amp;12Enron's Generation&amp;RCONFIDENTIAL</oddHeader>
    <oddFooter>&amp;L&amp;D&amp;C&amp;F&amp;RPage &amp;P</oddFooter>
  </headerFooter>
  <colBreaks count="1" manualBreakCount="1">
    <brk id="11" min="1" max="49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8"/>
  <sheetViews>
    <sheetView tabSelected="1" topLeftCell="B8" workbookViewId="0">
      <selection activeCell="D35" sqref="D35"/>
    </sheetView>
  </sheetViews>
  <sheetFormatPr defaultRowHeight="12.75"/>
  <cols>
    <col min="1" max="1" width="1.7109375" customWidth="1"/>
    <col min="2" max="2" width="17.28515625" customWidth="1"/>
    <col min="3" max="3" width="10.42578125" customWidth="1"/>
    <col min="4" max="10" width="11.28515625" customWidth="1"/>
  </cols>
  <sheetData>
    <row r="2" spans="2:10" ht="19.5">
      <c r="B2" s="537" t="s">
        <v>293</v>
      </c>
    </row>
    <row r="3" spans="2:10" s="539" customFormat="1"/>
    <row r="4" spans="2:10" s="539" customFormat="1">
      <c r="B4" s="571" t="s">
        <v>283</v>
      </c>
      <c r="C4" s="572">
        <v>3094</v>
      </c>
    </row>
    <row r="5" spans="2:10" s="539" customFormat="1">
      <c r="B5" s="536"/>
      <c r="C5" s="536"/>
      <c r="D5" s="538"/>
      <c r="E5" s="538"/>
      <c r="F5" s="538"/>
      <c r="G5" s="538"/>
      <c r="H5" s="538"/>
      <c r="I5" s="538"/>
      <c r="J5" s="538"/>
    </row>
    <row r="6" spans="2:10" s="539" customFormat="1">
      <c r="B6" s="603" t="s">
        <v>287</v>
      </c>
      <c r="C6" s="604"/>
      <c r="D6" s="540">
        <v>410</v>
      </c>
      <c r="E6" s="540">
        <f t="shared" ref="E6:J6" si="0">D6-10</f>
        <v>400</v>
      </c>
      <c r="F6" s="540">
        <f t="shared" si="0"/>
        <v>390</v>
      </c>
      <c r="G6" s="540">
        <f t="shared" si="0"/>
        <v>380</v>
      </c>
      <c r="H6" s="540">
        <f t="shared" si="0"/>
        <v>370</v>
      </c>
      <c r="I6" s="540">
        <f t="shared" si="0"/>
        <v>360</v>
      </c>
      <c r="J6" s="541">
        <f t="shared" si="0"/>
        <v>350</v>
      </c>
    </row>
    <row r="7" spans="2:10" s="539" customFormat="1">
      <c r="B7" s="605" t="s">
        <v>285</v>
      </c>
      <c r="C7" s="606"/>
      <c r="D7" s="542">
        <f t="shared" ref="D7:J7" si="1">$C$4*D6</f>
        <v>1268540</v>
      </c>
      <c r="E7" s="542">
        <f t="shared" si="1"/>
        <v>1237600</v>
      </c>
      <c r="F7" s="542">
        <f t="shared" si="1"/>
        <v>1206660</v>
      </c>
      <c r="G7" s="542">
        <f t="shared" si="1"/>
        <v>1175720</v>
      </c>
      <c r="H7" s="542">
        <f t="shared" si="1"/>
        <v>1144780</v>
      </c>
      <c r="I7" s="542">
        <f t="shared" si="1"/>
        <v>1113840</v>
      </c>
      <c r="J7" s="543">
        <f t="shared" si="1"/>
        <v>1082900</v>
      </c>
    </row>
    <row r="8" spans="2:10" s="539" customFormat="1">
      <c r="B8" s="605" t="s">
        <v>286</v>
      </c>
      <c r="C8" s="606"/>
      <c r="D8" s="542">
        <f>'Summary Output'!C12</f>
        <v>162168.80666220299</v>
      </c>
      <c r="E8" s="542">
        <f t="shared" ref="E8:J8" si="2">D8</f>
        <v>162168.80666220299</v>
      </c>
      <c r="F8" s="542">
        <f t="shared" si="2"/>
        <v>162168.80666220299</v>
      </c>
      <c r="G8" s="542">
        <f t="shared" si="2"/>
        <v>162168.80666220299</v>
      </c>
      <c r="H8" s="542">
        <f t="shared" si="2"/>
        <v>162168.80666220299</v>
      </c>
      <c r="I8" s="542">
        <f t="shared" si="2"/>
        <v>162168.80666220299</v>
      </c>
      <c r="J8" s="543">
        <f t="shared" si="2"/>
        <v>162168.80666220299</v>
      </c>
    </row>
    <row r="9" spans="2:10" s="539" customFormat="1">
      <c r="B9" s="603" t="s">
        <v>288</v>
      </c>
      <c r="C9" s="604"/>
      <c r="D9" s="544">
        <f>D7-D8</f>
        <v>1106371.193337797</v>
      </c>
      <c r="E9" s="544">
        <f t="shared" ref="E9:J9" si="3">E7-E8</f>
        <v>1075431.193337797</v>
      </c>
      <c r="F9" s="544">
        <f t="shared" si="3"/>
        <v>1044491.193337797</v>
      </c>
      <c r="G9" s="544">
        <f t="shared" si="3"/>
        <v>1013551.193337797</v>
      </c>
      <c r="H9" s="544">
        <f t="shared" si="3"/>
        <v>982611.19333779695</v>
      </c>
      <c r="I9" s="544">
        <f t="shared" si="3"/>
        <v>951671.19333779695</v>
      </c>
      <c r="J9" s="545">
        <f t="shared" si="3"/>
        <v>920731.19333779695</v>
      </c>
    </row>
    <row r="10" spans="2:10" s="539" customFormat="1">
      <c r="B10" s="573" t="s">
        <v>294</v>
      </c>
      <c r="C10" s="574">
        <v>0.7</v>
      </c>
      <c r="D10" s="546">
        <f t="shared" ref="D10:J10" si="4">$C$10*D9</f>
        <v>774459.83533645782</v>
      </c>
      <c r="E10" s="546">
        <f t="shared" si="4"/>
        <v>752801.83533645782</v>
      </c>
      <c r="F10" s="546">
        <f t="shared" si="4"/>
        <v>731143.83533645782</v>
      </c>
      <c r="G10" s="546">
        <f t="shared" si="4"/>
        <v>709485.83533645782</v>
      </c>
      <c r="H10" s="546">
        <f t="shared" si="4"/>
        <v>687827.83533645782</v>
      </c>
      <c r="I10" s="546">
        <f t="shared" si="4"/>
        <v>666169.83533645782</v>
      </c>
      <c r="J10" s="547">
        <f t="shared" si="4"/>
        <v>644511.83533645782</v>
      </c>
    </row>
    <row r="11" spans="2:10" s="539" customFormat="1">
      <c r="B11" s="575" t="s">
        <v>295</v>
      </c>
      <c r="C11" s="576">
        <f>1-C10</f>
        <v>0.30000000000000004</v>
      </c>
      <c r="D11" s="548">
        <f t="shared" ref="D11:J11" si="5">$C$11*D9</f>
        <v>331911.35800133913</v>
      </c>
      <c r="E11" s="548">
        <f t="shared" si="5"/>
        <v>322629.35800133913</v>
      </c>
      <c r="F11" s="548">
        <f t="shared" si="5"/>
        <v>313347.35800133913</v>
      </c>
      <c r="G11" s="548">
        <f t="shared" si="5"/>
        <v>304065.35800133913</v>
      </c>
      <c r="H11" s="548">
        <f t="shared" si="5"/>
        <v>294783.35800133913</v>
      </c>
      <c r="I11" s="548">
        <f t="shared" si="5"/>
        <v>285501.35800133913</v>
      </c>
      <c r="J11" s="549">
        <f t="shared" si="5"/>
        <v>276219.35800133913</v>
      </c>
    </row>
    <row r="12" spans="2:10" s="539" customFormat="1">
      <c r="B12" s="536"/>
      <c r="C12" s="536"/>
    </row>
    <row r="13" spans="2:10" s="539" customFormat="1">
      <c r="B13" s="597" t="s">
        <v>65</v>
      </c>
      <c r="C13" s="595"/>
      <c r="D13" s="550">
        <f>IS!B55</f>
        <v>139662.99008576994</v>
      </c>
      <c r="E13" s="550">
        <f>IS!C55</f>
        <v>140591.19008576992</v>
      </c>
      <c r="F13" s="550">
        <f>IS!D55</f>
        <v>141519.39008576993</v>
      </c>
      <c r="G13" s="550">
        <f>IS!E55</f>
        <v>142447.59008576992</v>
      </c>
      <c r="H13" s="550">
        <f>IS!F55</f>
        <v>143375.79008576993</v>
      </c>
      <c r="I13" s="550">
        <f>IS!G55</f>
        <v>144303.99008576991</v>
      </c>
      <c r="J13" s="551">
        <f>IS!H55</f>
        <v>145232.19008576992</v>
      </c>
    </row>
    <row r="14" spans="2:10" s="539" customFormat="1">
      <c r="B14" s="573" t="s">
        <v>296</v>
      </c>
      <c r="C14" s="577">
        <v>0.11</v>
      </c>
      <c r="D14" s="542">
        <f>$C$14*D10</f>
        <v>85190.581887010354</v>
      </c>
      <c r="E14" s="542">
        <f t="shared" ref="E14:J14" si="6">$C$14*E10</f>
        <v>82808.201887010364</v>
      </c>
      <c r="F14" s="542">
        <f t="shared" si="6"/>
        <v>80425.821887010359</v>
      </c>
      <c r="G14" s="542">
        <f t="shared" si="6"/>
        <v>78043.441887010355</v>
      </c>
      <c r="H14" s="542">
        <f t="shared" si="6"/>
        <v>75661.061887010364</v>
      </c>
      <c r="I14" s="542">
        <f t="shared" si="6"/>
        <v>73278.68188701036</v>
      </c>
      <c r="J14" s="543">
        <f t="shared" si="6"/>
        <v>70896.301887010355</v>
      </c>
    </row>
    <row r="15" spans="2:10" s="539" customFormat="1">
      <c r="B15" s="601" t="s">
        <v>67</v>
      </c>
      <c r="C15" s="602"/>
      <c r="D15" s="548">
        <f>D13-D14</f>
        <v>54472.408198759586</v>
      </c>
      <c r="E15" s="548">
        <f t="shared" ref="E15:J15" si="7">E13-E14</f>
        <v>57782.988198759558</v>
      </c>
      <c r="F15" s="548">
        <f t="shared" si="7"/>
        <v>61093.568198759574</v>
      </c>
      <c r="G15" s="548">
        <f t="shared" si="7"/>
        <v>64404.148198759562</v>
      </c>
      <c r="H15" s="548">
        <f t="shared" si="7"/>
        <v>67714.728198759563</v>
      </c>
      <c r="I15" s="548">
        <f t="shared" si="7"/>
        <v>71025.308198759551</v>
      </c>
      <c r="J15" s="549">
        <f t="shared" si="7"/>
        <v>74335.888198759567</v>
      </c>
    </row>
    <row r="16" spans="2:10" s="539" customFormat="1">
      <c r="B16" s="536"/>
      <c r="C16" s="578"/>
      <c r="D16" s="552"/>
      <c r="E16" s="552"/>
      <c r="F16" s="552"/>
      <c r="G16" s="552"/>
      <c r="H16" s="552"/>
      <c r="I16" s="552"/>
      <c r="J16" s="552"/>
    </row>
    <row r="17" spans="2:10" s="539" customFormat="1">
      <c r="B17" s="598" t="s">
        <v>291</v>
      </c>
      <c r="C17" s="579">
        <v>0.25</v>
      </c>
      <c r="D17" s="553">
        <f>(1-$C17)*D$15</f>
        <v>40854.306149069685</v>
      </c>
      <c r="E17" s="553">
        <f t="shared" ref="E17:J20" si="8">(1-$C17)*E$15</f>
        <v>43337.241149069669</v>
      </c>
      <c r="F17" s="553">
        <f t="shared" si="8"/>
        <v>45820.176149069681</v>
      </c>
      <c r="G17" s="553">
        <f t="shared" si="8"/>
        <v>48303.111149069671</v>
      </c>
      <c r="H17" s="553">
        <f t="shared" si="8"/>
        <v>50786.046149069676</v>
      </c>
      <c r="I17" s="553">
        <f t="shared" si="8"/>
        <v>53268.981149069659</v>
      </c>
      <c r="J17" s="554">
        <f t="shared" si="8"/>
        <v>55751.916149069672</v>
      </c>
    </row>
    <row r="18" spans="2:10" s="539" customFormat="1">
      <c r="B18" s="599"/>
      <c r="C18" s="580">
        <f>C17+5%</f>
        <v>0.3</v>
      </c>
      <c r="D18" s="546">
        <f>(1-$C18)*D$15</f>
        <v>38130.68573913171</v>
      </c>
      <c r="E18" s="546">
        <f t="shared" si="8"/>
        <v>40448.091739131691</v>
      </c>
      <c r="F18" s="546">
        <f t="shared" si="8"/>
        <v>42765.497739131701</v>
      </c>
      <c r="G18" s="546">
        <f t="shared" si="8"/>
        <v>45082.903739131689</v>
      </c>
      <c r="H18" s="546">
        <f t="shared" si="8"/>
        <v>47400.309739131691</v>
      </c>
      <c r="I18" s="546">
        <f t="shared" si="8"/>
        <v>49717.71573913168</v>
      </c>
      <c r="J18" s="547">
        <f t="shared" si="8"/>
        <v>52035.121739131697</v>
      </c>
    </row>
    <row r="19" spans="2:10" s="539" customFormat="1">
      <c r="B19" s="599"/>
      <c r="C19" s="580">
        <f>C18+5%</f>
        <v>0.35</v>
      </c>
      <c r="D19" s="546">
        <f>(1-$C19)*D$15</f>
        <v>35407.065329193734</v>
      </c>
      <c r="E19" s="546">
        <f t="shared" si="8"/>
        <v>37558.942329193713</v>
      </c>
      <c r="F19" s="546">
        <f t="shared" si="8"/>
        <v>39710.819329193728</v>
      </c>
      <c r="G19" s="546">
        <f t="shared" si="8"/>
        <v>41862.696329193714</v>
      </c>
      <c r="H19" s="546">
        <f t="shared" si="8"/>
        <v>44014.573329193721</v>
      </c>
      <c r="I19" s="546">
        <f t="shared" si="8"/>
        <v>46166.450329193707</v>
      </c>
      <c r="J19" s="547">
        <f t="shared" si="8"/>
        <v>48318.327329193722</v>
      </c>
    </row>
    <row r="20" spans="2:10" s="539" customFormat="1">
      <c r="B20" s="600"/>
      <c r="C20" s="581">
        <f>C19+5%</f>
        <v>0.39999999999999997</v>
      </c>
      <c r="D20" s="548">
        <f>(1-$C20)*D$15</f>
        <v>32683.444919255755</v>
      </c>
      <c r="E20" s="548">
        <f t="shared" si="8"/>
        <v>34669.792919255742</v>
      </c>
      <c r="F20" s="548">
        <f t="shared" si="8"/>
        <v>36656.140919255748</v>
      </c>
      <c r="G20" s="548">
        <f t="shared" si="8"/>
        <v>38642.488919255746</v>
      </c>
      <c r="H20" s="548">
        <f t="shared" si="8"/>
        <v>40628.836919255744</v>
      </c>
      <c r="I20" s="548">
        <f t="shared" si="8"/>
        <v>42615.184919255735</v>
      </c>
      <c r="J20" s="549">
        <f t="shared" si="8"/>
        <v>44601.532919255747</v>
      </c>
    </row>
    <row r="21" spans="2:10" s="539" customFormat="1">
      <c r="B21" s="536"/>
      <c r="C21" s="582"/>
      <c r="D21" s="555"/>
      <c r="E21" s="555"/>
      <c r="F21" s="555"/>
      <c r="G21" s="555"/>
      <c r="H21" s="555"/>
      <c r="I21" s="555"/>
      <c r="J21" s="555"/>
    </row>
    <row r="22" spans="2:10" s="539" customFormat="1">
      <c r="B22" s="536"/>
      <c r="C22" s="582"/>
      <c r="D22" s="555"/>
      <c r="E22" s="555"/>
      <c r="F22" s="555"/>
      <c r="G22" s="555"/>
      <c r="H22" s="555"/>
      <c r="I22" s="555"/>
      <c r="J22" s="555"/>
    </row>
    <row r="23" spans="2:10" s="539" customFormat="1" ht="15.75">
      <c r="B23" s="536"/>
      <c r="C23" s="582"/>
      <c r="D23" s="596" t="s">
        <v>290</v>
      </c>
      <c r="E23" s="596"/>
      <c r="F23" s="596"/>
      <c r="G23" s="596"/>
      <c r="H23" s="596"/>
      <c r="I23" s="596"/>
      <c r="J23" s="596"/>
    </row>
    <row r="24" spans="2:10" s="539" customFormat="1">
      <c r="B24" s="583" t="s">
        <v>297</v>
      </c>
      <c r="C24" s="584"/>
      <c r="D24" s="594" t="s">
        <v>284</v>
      </c>
      <c r="E24" s="594"/>
      <c r="F24" s="594"/>
      <c r="G24" s="594"/>
      <c r="H24" s="594"/>
      <c r="I24" s="594"/>
      <c r="J24" s="595"/>
    </row>
    <row r="25" spans="2:10" s="539" customFormat="1">
      <c r="B25" s="585"/>
      <c r="C25" s="586"/>
      <c r="D25" s="556">
        <v>410</v>
      </c>
      <c r="E25" s="556">
        <f t="shared" ref="E25:J25" si="9">D25-10</f>
        <v>400</v>
      </c>
      <c r="F25" s="556">
        <f t="shared" si="9"/>
        <v>390</v>
      </c>
      <c r="G25" s="556">
        <f t="shared" si="9"/>
        <v>380</v>
      </c>
      <c r="H25" s="556">
        <f t="shared" si="9"/>
        <v>370</v>
      </c>
      <c r="I25" s="556">
        <f t="shared" si="9"/>
        <v>360</v>
      </c>
      <c r="J25" s="557">
        <f t="shared" si="9"/>
        <v>350</v>
      </c>
    </row>
    <row r="26" spans="2:10" s="539" customFormat="1">
      <c r="B26" s="592" t="s">
        <v>292</v>
      </c>
      <c r="C26" s="580">
        <v>0.25</v>
      </c>
      <c r="D26" s="558">
        <f>D$11/D17</f>
        <v>8.1242686337703773</v>
      </c>
      <c r="E26" s="558">
        <f t="shared" ref="E26:J26" si="10">E$11/E17</f>
        <v>7.4446215182819753</v>
      </c>
      <c r="F26" s="558">
        <f t="shared" si="10"/>
        <v>6.8386327669694316</v>
      </c>
      <c r="G26" s="558">
        <f t="shared" si="10"/>
        <v>6.2949435505914719</v>
      </c>
      <c r="H26" s="558">
        <f t="shared" si="10"/>
        <v>5.8044163772087449</v>
      </c>
      <c r="I26" s="558">
        <f t="shared" si="10"/>
        <v>5.3596173953915658</v>
      </c>
      <c r="J26" s="559">
        <f t="shared" si="10"/>
        <v>4.9544370324919926</v>
      </c>
    </row>
    <row r="27" spans="2:10" s="539" customFormat="1">
      <c r="B27" s="592"/>
      <c r="C27" s="580">
        <f>C26+5%</f>
        <v>0.3</v>
      </c>
      <c r="D27" s="558">
        <f t="shared" ref="D27:J27" si="11">D$11/D18</f>
        <v>8.7045735361825471</v>
      </c>
      <c r="E27" s="558">
        <f t="shared" si="11"/>
        <v>7.9763801981592595</v>
      </c>
      <c r="F27" s="558">
        <f t="shared" si="11"/>
        <v>7.3271065360386762</v>
      </c>
      <c r="G27" s="558">
        <f t="shared" si="11"/>
        <v>6.74458237563372</v>
      </c>
      <c r="H27" s="558">
        <f t="shared" si="11"/>
        <v>6.2190175470093703</v>
      </c>
      <c r="I27" s="558">
        <f t="shared" si="11"/>
        <v>5.7424472093481063</v>
      </c>
      <c r="J27" s="559">
        <f t="shared" si="11"/>
        <v>5.3083253919557061</v>
      </c>
    </row>
    <row r="28" spans="2:10" s="539" customFormat="1">
      <c r="B28" s="592"/>
      <c r="C28" s="580">
        <f>C27+5%</f>
        <v>0.35</v>
      </c>
      <c r="D28" s="558">
        <f t="shared" ref="D28:J28" si="12">D$11/D19</f>
        <v>9.374156115888896</v>
      </c>
      <c r="E28" s="558">
        <f t="shared" si="12"/>
        <v>8.5899479057099715</v>
      </c>
      <c r="F28" s="558">
        <f t="shared" si="12"/>
        <v>7.890730115733958</v>
      </c>
      <c r="G28" s="558">
        <f t="shared" si="12"/>
        <v>7.2633964045286215</v>
      </c>
      <c r="H28" s="558">
        <f t="shared" si="12"/>
        <v>6.6974035121639357</v>
      </c>
      <c r="I28" s="558">
        <f t="shared" si="12"/>
        <v>6.1841739177594981</v>
      </c>
      <c r="J28" s="559">
        <f t="shared" si="12"/>
        <v>5.7166581144138364</v>
      </c>
    </row>
    <row r="29" spans="2:10" s="539" customFormat="1">
      <c r="B29" s="593"/>
      <c r="C29" s="581">
        <f>C28+5%</f>
        <v>0.39999999999999997</v>
      </c>
      <c r="D29" s="560">
        <f t="shared" ref="D29:J29" si="13">D$11/D20</f>
        <v>10.15533579221297</v>
      </c>
      <c r="E29" s="560">
        <f t="shared" si="13"/>
        <v>9.3057768978524678</v>
      </c>
      <c r="F29" s="560">
        <f t="shared" si="13"/>
        <v>8.5482909587117888</v>
      </c>
      <c r="G29" s="560">
        <f t="shared" si="13"/>
        <v>7.8686794382393375</v>
      </c>
      <c r="H29" s="560">
        <f t="shared" si="13"/>
        <v>7.2555204715109305</v>
      </c>
      <c r="I29" s="560">
        <f t="shared" si="13"/>
        <v>6.6995217442394557</v>
      </c>
      <c r="J29" s="561">
        <f t="shared" si="13"/>
        <v>6.1930462906149888</v>
      </c>
    </row>
    <row r="30" spans="2:10">
      <c r="C30" s="535"/>
    </row>
    <row r="32" spans="2:10" ht="15.75">
      <c r="B32" s="536"/>
      <c r="C32" s="582"/>
      <c r="D32" s="596" t="s">
        <v>290</v>
      </c>
      <c r="E32" s="596"/>
      <c r="F32" s="596"/>
      <c r="G32" s="596"/>
      <c r="H32" s="596"/>
      <c r="I32" s="596"/>
      <c r="J32" s="596"/>
    </row>
    <row r="33" spans="2:10">
      <c r="B33" s="583" t="s">
        <v>298</v>
      </c>
      <c r="C33" s="584"/>
      <c r="D33" s="597" t="s">
        <v>284</v>
      </c>
      <c r="E33" s="594"/>
      <c r="F33" s="594"/>
      <c r="G33" s="594"/>
      <c r="H33" s="594"/>
      <c r="I33" s="594"/>
      <c r="J33" s="595"/>
    </row>
    <row r="34" spans="2:10">
      <c r="B34" s="585"/>
      <c r="C34" s="586"/>
      <c r="D34" s="587">
        <v>410</v>
      </c>
      <c r="E34" s="556">
        <f t="shared" ref="E34:J34" si="14">D34-10</f>
        <v>400</v>
      </c>
      <c r="F34" s="556">
        <f t="shared" si="14"/>
        <v>390</v>
      </c>
      <c r="G34" s="556">
        <f t="shared" si="14"/>
        <v>380</v>
      </c>
      <c r="H34" s="556">
        <f t="shared" si="14"/>
        <v>370</v>
      </c>
      <c r="I34" s="556">
        <f t="shared" si="14"/>
        <v>360</v>
      </c>
      <c r="J34" s="557">
        <f t="shared" si="14"/>
        <v>350</v>
      </c>
    </row>
    <row r="35" spans="2:10">
      <c r="B35" s="592" t="s">
        <v>292</v>
      </c>
      <c r="C35" s="580">
        <v>0.25</v>
      </c>
      <c r="D35" s="588">
        <f t="shared" ref="D35:J35" si="15">(D$11+D$8)/D17</f>
        <v>12.093710828443308</v>
      </c>
      <c r="E35" s="558">
        <f t="shared" si="15"/>
        <v>11.186641138413801</v>
      </c>
      <c r="F35" s="558">
        <f t="shared" si="15"/>
        <v>10.377877272154416</v>
      </c>
      <c r="G35" s="558">
        <f t="shared" si="15"/>
        <v>9.6522595247474428</v>
      </c>
      <c r="H35" s="558">
        <f t="shared" si="15"/>
        <v>8.997592829382187</v>
      </c>
      <c r="I35" s="558">
        <f t="shared" si="15"/>
        <v>8.4039558295805818</v>
      </c>
      <c r="J35" s="559">
        <f t="shared" si="15"/>
        <v>7.8631945759743624</v>
      </c>
    </row>
    <row r="36" spans="2:10">
      <c r="B36" s="592"/>
      <c r="C36" s="580">
        <f>C35+5%</f>
        <v>0.3</v>
      </c>
      <c r="D36" s="588">
        <f t="shared" ref="D36:E38" si="16">(D$11+D$8)/D18</f>
        <v>12.957547316189258</v>
      </c>
      <c r="E36" s="558">
        <f t="shared" si="16"/>
        <v>11.985686934014787</v>
      </c>
      <c r="F36" s="558">
        <f t="shared" ref="F36:J38" si="17">(F$11+F$8)/F18</f>
        <v>11.119154220165447</v>
      </c>
      <c r="G36" s="558">
        <f t="shared" si="17"/>
        <v>10.341706633657974</v>
      </c>
      <c r="H36" s="558">
        <f t="shared" si="17"/>
        <v>9.640278031480916</v>
      </c>
      <c r="I36" s="558">
        <f t="shared" si="17"/>
        <v>9.0042383888363382</v>
      </c>
      <c r="J36" s="559">
        <f t="shared" si="17"/>
        <v>8.4248513314011024</v>
      </c>
    </row>
    <row r="37" spans="2:10">
      <c r="B37" s="592"/>
      <c r="C37" s="580">
        <f>C36+5%</f>
        <v>0.35</v>
      </c>
      <c r="D37" s="588">
        <f t="shared" si="16"/>
        <v>13.954281725126892</v>
      </c>
      <c r="E37" s="558">
        <f t="shared" si="16"/>
        <v>12.907662852015923</v>
      </c>
      <c r="F37" s="558">
        <f t="shared" si="17"/>
        <v>11.974473775562787</v>
      </c>
      <c r="G37" s="558">
        <f t="shared" si="17"/>
        <v>11.137222528554743</v>
      </c>
      <c r="H37" s="558">
        <f t="shared" si="17"/>
        <v>10.381837880056368</v>
      </c>
      <c r="I37" s="558">
        <f t="shared" si="17"/>
        <v>9.6968721110545175</v>
      </c>
      <c r="J37" s="559">
        <f t="shared" si="17"/>
        <v>9.0729168184319562</v>
      </c>
    </row>
    <row r="38" spans="2:10">
      <c r="B38" s="593"/>
      <c r="C38" s="581">
        <f>C37+5%</f>
        <v>0.39999999999999997</v>
      </c>
      <c r="D38" s="589">
        <f t="shared" si="16"/>
        <v>15.117138535554133</v>
      </c>
      <c r="E38" s="560">
        <f t="shared" si="16"/>
        <v>13.983301423017247</v>
      </c>
      <c r="F38" s="560">
        <f t="shared" si="17"/>
        <v>12.97234659019302</v>
      </c>
      <c r="G38" s="560">
        <f t="shared" si="17"/>
        <v>12.0653244059343</v>
      </c>
      <c r="H38" s="560">
        <f t="shared" si="17"/>
        <v>11.246991036727731</v>
      </c>
      <c r="I38" s="560">
        <f t="shared" si="17"/>
        <v>10.504944786975726</v>
      </c>
      <c r="J38" s="561">
        <f t="shared" si="17"/>
        <v>9.8289932199679519</v>
      </c>
    </row>
  </sheetData>
  <mergeCells count="13">
    <mergeCell ref="B13:C13"/>
    <mergeCell ref="B15:C15"/>
    <mergeCell ref="B26:B29"/>
    <mergeCell ref="B6:C6"/>
    <mergeCell ref="B7:C7"/>
    <mergeCell ref="B8:C8"/>
    <mergeCell ref="B9:C9"/>
    <mergeCell ref="B35:B38"/>
    <mergeCell ref="D24:J24"/>
    <mergeCell ref="D23:J23"/>
    <mergeCell ref="D32:J32"/>
    <mergeCell ref="D33:J33"/>
    <mergeCell ref="B17:B20"/>
  </mergeCells>
  <pageMargins left="0.5" right="0.5" top="0.5" bottom="0.5" header="0.5" footer="0.5"/>
  <pageSetup orientation="landscape" horizont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D113"/>
  <sheetViews>
    <sheetView zoomScale="75" zoomScaleNormal="75" workbookViewId="0"/>
  </sheetViews>
  <sheetFormatPr defaultRowHeight="12.75"/>
  <cols>
    <col min="1" max="1" width="36.28515625" style="16" bestFit="1" customWidth="1"/>
    <col min="2" max="24" width="14.5703125" style="16" customWidth="1"/>
    <col min="25" max="29" width="14.42578125" style="16" customWidth="1"/>
    <col min="30" max="16384" width="9.140625" style="16"/>
  </cols>
  <sheetData>
    <row r="1" spans="1:27">
      <c r="A1" s="35"/>
      <c r="C1" s="54"/>
      <c r="D1" s="48"/>
      <c r="E1" s="48"/>
      <c r="F1" s="162"/>
      <c r="G1" s="6"/>
      <c r="H1" s="6"/>
      <c r="I1" s="2"/>
      <c r="J1" s="2"/>
      <c r="K1" s="2"/>
      <c r="L1" s="162"/>
      <c r="M1" s="6"/>
      <c r="N1" s="6"/>
      <c r="O1" s="2"/>
      <c r="P1" s="2"/>
      <c r="Q1" s="2"/>
      <c r="R1" s="162"/>
      <c r="S1" s="6"/>
      <c r="T1" s="6"/>
      <c r="U1" s="6"/>
    </row>
    <row r="2" spans="1:27" ht="18.75">
      <c r="A2" s="52" t="s">
        <v>122</v>
      </c>
      <c r="B2" s="339"/>
      <c r="C2" s="54"/>
      <c r="D2" s="48"/>
      <c r="E2" s="48"/>
      <c r="F2" s="162"/>
      <c r="I2" s="54"/>
      <c r="J2" s="54"/>
      <c r="K2" s="54"/>
      <c r="L2" s="162"/>
      <c r="O2" s="54"/>
      <c r="P2" s="54"/>
      <c r="Q2" s="54"/>
      <c r="R2" s="162"/>
      <c r="AA2" s="19"/>
    </row>
    <row r="3" spans="1:27" s="17" customFormat="1">
      <c r="P3" s="244"/>
      <c r="Q3" s="244"/>
      <c r="R3" s="244"/>
      <c r="S3" s="244"/>
      <c r="T3" s="244"/>
      <c r="U3" s="244"/>
    </row>
    <row r="4" spans="1:27" s="245" customFormat="1" ht="13.5">
      <c r="A4" s="37"/>
      <c r="B4" s="308"/>
      <c r="C4" s="308"/>
      <c r="D4" s="308"/>
      <c r="E4" s="308"/>
      <c r="F4" s="308"/>
      <c r="G4" s="308"/>
      <c r="H4" s="308"/>
      <c r="I4" s="308"/>
      <c r="J4" s="308"/>
      <c r="K4" s="308"/>
      <c r="L4" s="308"/>
      <c r="M4" s="308"/>
      <c r="N4" s="308"/>
      <c r="O4" s="308"/>
      <c r="P4" s="308"/>
      <c r="Q4" s="308"/>
      <c r="R4" s="308"/>
      <c r="S4" s="308"/>
      <c r="T4" s="308"/>
      <c r="U4" s="308"/>
    </row>
    <row r="5" spans="1:27" ht="13.5" thickBot="1">
      <c r="A5" s="194" t="s">
        <v>56</v>
      </c>
      <c r="B5" s="309">
        <v>2001</v>
      </c>
      <c r="C5" s="309">
        <f>B5+1</f>
        <v>2002</v>
      </c>
      <c r="D5" s="309">
        <f t="shared" ref="D5:U5" si="0">C5+1</f>
        <v>2003</v>
      </c>
      <c r="E5" s="309">
        <f t="shared" si="0"/>
        <v>2004</v>
      </c>
      <c r="F5" s="309">
        <f t="shared" si="0"/>
        <v>2005</v>
      </c>
      <c r="G5" s="309">
        <f t="shared" si="0"/>
        <v>2006</v>
      </c>
      <c r="H5" s="309">
        <f t="shared" si="0"/>
        <v>2007</v>
      </c>
      <c r="I5" s="309">
        <f t="shared" si="0"/>
        <v>2008</v>
      </c>
      <c r="J5" s="309">
        <f t="shared" si="0"/>
        <v>2009</v>
      </c>
      <c r="K5" s="309">
        <f t="shared" si="0"/>
        <v>2010</v>
      </c>
      <c r="L5" s="309">
        <f t="shared" si="0"/>
        <v>2011</v>
      </c>
      <c r="M5" s="309">
        <f t="shared" si="0"/>
        <v>2012</v>
      </c>
      <c r="N5" s="309">
        <f t="shared" si="0"/>
        <v>2013</v>
      </c>
      <c r="O5" s="309">
        <f t="shared" si="0"/>
        <v>2014</v>
      </c>
      <c r="P5" s="309">
        <f t="shared" si="0"/>
        <v>2015</v>
      </c>
      <c r="Q5" s="309">
        <f t="shared" si="0"/>
        <v>2016</v>
      </c>
      <c r="R5" s="309">
        <f t="shared" si="0"/>
        <v>2017</v>
      </c>
      <c r="S5" s="309">
        <f t="shared" si="0"/>
        <v>2018</v>
      </c>
      <c r="T5" s="309">
        <f t="shared" si="0"/>
        <v>2019</v>
      </c>
      <c r="U5" s="309">
        <f t="shared" si="0"/>
        <v>2020</v>
      </c>
    </row>
    <row r="6" spans="1:27" s="42" customFormat="1">
      <c r="A6" s="310"/>
      <c r="B6" s="311">
        <v>37256</v>
      </c>
      <c r="C6" s="311">
        <v>37621</v>
      </c>
      <c r="D6" s="311">
        <v>37986</v>
      </c>
      <c r="E6" s="311">
        <v>38352</v>
      </c>
      <c r="F6" s="311">
        <v>38717</v>
      </c>
      <c r="G6" s="311">
        <v>39082</v>
      </c>
      <c r="H6" s="311">
        <v>39447</v>
      </c>
      <c r="I6" s="311">
        <v>39813</v>
      </c>
      <c r="J6" s="311">
        <v>40178</v>
      </c>
      <c r="K6" s="311">
        <v>40543</v>
      </c>
      <c r="L6" s="311">
        <v>40908</v>
      </c>
      <c r="M6" s="311">
        <v>41274</v>
      </c>
      <c r="N6" s="311">
        <v>41639</v>
      </c>
      <c r="O6" s="311">
        <v>42004</v>
      </c>
      <c r="P6" s="311">
        <v>42369</v>
      </c>
      <c r="Q6" s="311">
        <v>42735</v>
      </c>
      <c r="R6" s="311">
        <v>43100</v>
      </c>
      <c r="S6" s="311">
        <v>43465</v>
      </c>
      <c r="T6" s="311">
        <v>43830</v>
      </c>
      <c r="U6" s="311">
        <v>44196</v>
      </c>
    </row>
    <row r="7" spans="1:27">
      <c r="R7" s="17"/>
      <c r="S7" s="17"/>
      <c r="T7" s="17"/>
      <c r="U7" s="17"/>
    </row>
    <row r="8" spans="1:27">
      <c r="A8" s="15" t="s">
        <v>246</v>
      </c>
      <c r="B8" s="122">
        <f>IS!B33-IS!B13</f>
        <v>123662.92119836893</v>
      </c>
      <c r="C8" s="122">
        <f>IS!C33-IS!C13</f>
        <v>123079.3187337836</v>
      </c>
      <c r="D8" s="122">
        <f>IS!D33-IS!D13</f>
        <v>122570.23209366355</v>
      </c>
      <c r="E8" s="122">
        <f>IS!E33</f>
        <v>208938.0438079673</v>
      </c>
      <c r="F8" s="122">
        <f>IS!F33</f>
        <v>219875.44154281067</v>
      </c>
      <c r="G8" s="122">
        <f>IS!G33</f>
        <v>223054.46112947454</v>
      </c>
      <c r="H8" s="122">
        <f>IS!H33</f>
        <v>226335.84076458254</v>
      </c>
      <c r="I8" s="122">
        <f>IS!I33</f>
        <v>229727.58632562414</v>
      </c>
      <c r="J8" s="122">
        <f>IS!J33</f>
        <v>233294.50825362475</v>
      </c>
      <c r="K8" s="122">
        <f>IS!K33</f>
        <v>236013.12216492224</v>
      </c>
      <c r="L8" s="122">
        <f>IS!L33</f>
        <v>240433.33211659675</v>
      </c>
      <c r="M8" s="122">
        <f>IS!M33</f>
        <v>245117.25757760351</v>
      </c>
      <c r="N8" s="122">
        <f>IS!N33</f>
        <v>249370.94103823445</v>
      </c>
      <c r="O8" s="122">
        <f>IS!O33</f>
        <v>253791.0327876806</v>
      </c>
      <c r="P8" s="122">
        <f>IS!P33</f>
        <v>257789.1752569699</v>
      </c>
      <c r="Q8" s="122">
        <f>IS!Q33</f>
        <v>261943.96372445847</v>
      </c>
      <c r="R8" s="122">
        <f>IS!R33</f>
        <v>265543.87128686567</v>
      </c>
      <c r="S8" s="122">
        <f>IS!S33</f>
        <v>269185.6931585517</v>
      </c>
      <c r="T8" s="122">
        <f>IS!T33</f>
        <v>272869.73927473201</v>
      </c>
      <c r="U8" s="122">
        <f>IS!U33</f>
        <v>276605.6880207613</v>
      </c>
    </row>
    <row r="9" spans="1:27">
      <c r="B9" s="6"/>
      <c r="C9" s="332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7">
      <c r="A10" s="39" t="s">
        <v>17</v>
      </c>
      <c r="B10" s="6"/>
      <c r="C10" s="332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7" ht="13.5">
      <c r="B11" s="313">
        <f>'Summary Output'!$B$19</f>
        <v>36892</v>
      </c>
      <c r="C11" s="313">
        <v>37257</v>
      </c>
      <c r="D11" s="313">
        <v>37622</v>
      </c>
      <c r="E11" s="313">
        <v>37987</v>
      </c>
      <c r="F11" s="313">
        <v>38353</v>
      </c>
      <c r="G11" s="313">
        <v>38718</v>
      </c>
      <c r="H11" s="313">
        <v>39083</v>
      </c>
      <c r="I11" s="313">
        <v>39448</v>
      </c>
      <c r="J11" s="313">
        <v>39814</v>
      </c>
      <c r="K11" s="313">
        <v>40179</v>
      </c>
      <c r="L11" s="313">
        <v>40544</v>
      </c>
      <c r="M11" s="313">
        <v>40909</v>
      </c>
      <c r="N11" s="313">
        <v>41275</v>
      </c>
      <c r="O11" s="313">
        <v>41640</v>
      </c>
      <c r="P11" s="313">
        <v>42005</v>
      </c>
      <c r="Q11" s="313">
        <v>42370</v>
      </c>
      <c r="R11" s="313">
        <v>42736</v>
      </c>
      <c r="S11" s="313">
        <v>43101</v>
      </c>
      <c r="T11" s="313">
        <v>43466</v>
      </c>
      <c r="U11" s="313">
        <v>43831</v>
      </c>
      <c r="W11" s="397" t="s">
        <v>162</v>
      </c>
      <c r="X11" s="397" t="s">
        <v>161</v>
      </c>
    </row>
    <row r="12" spans="1:27">
      <c r="A12" s="40" t="s">
        <v>77</v>
      </c>
      <c r="B12" s="56">
        <v>0</v>
      </c>
      <c r="C12" s="56">
        <f t="shared" ref="C12:U12" si="1">B28</f>
        <v>34500</v>
      </c>
      <c r="D12" s="56">
        <f t="shared" si="1"/>
        <v>17875</v>
      </c>
      <c r="E12" s="56">
        <f t="shared" si="1"/>
        <v>0</v>
      </c>
      <c r="F12" s="56">
        <f t="shared" si="1"/>
        <v>0</v>
      </c>
      <c r="G12" s="56">
        <f t="shared" si="1"/>
        <v>0</v>
      </c>
      <c r="H12" s="56">
        <f t="shared" si="1"/>
        <v>0</v>
      </c>
      <c r="I12" s="56">
        <f t="shared" si="1"/>
        <v>0</v>
      </c>
      <c r="J12" s="56">
        <f t="shared" si="1"/>
        <v>0</v>
      </c>
      <c r="K12" s="56">
        <f t="shared" si="1"/>
        <v>0</v>
      </c>
      <c r="L12" s="56">
        <f t="shared" si="1"/>
        <v>0</v>
      </c>
      <c r="M12" s="56">
        <f t="shared" si="1"/>
        <v>0</v>
      </c>
      <c r="N12" s="56">
        <f t="shared" si="1"/>
        <v>0</v>
      </c>
      <c r="O12" s="56">
        <f t="shared" si="1"/>
        <v>0</v>
      </c>
      <c r="P12" s="56">
        <f t="shared" si="1"/>
        <v>0</v>
      </c>
      <c r="Q12" s="56">
        <f t="shared" si="1"/>
        <v>0</v>
      </c>
      <c r="R12" s="56">
        <f t="shared" si="1"/>
        <v>0</v>
      </c>
      <c r="S12" s="56">
        <f t="shared" si="1"/>
        <v>0</v>
      </c>
      <c r="T12" s="56">
        <f t="shared" si="1"/>
        <v>0</v>
      </c>
      <c r="U12" s="56">
        <f t="shared" si="1"/>
        <v>0</v>
      </c>
      <c r="W12" s="398"/>
      <c r="X12" s="398"/>
    </row>
    <row r="13" spans="1:27">
      <c r="A13" s="40" t="s">
        <v>79</v>
      </c>
      <c r="B13" s="345">
        <v>0</v>
      </c>
      <c r="C13" s="152">
        <f t="shared" ref="C13:U13" si="2">C12*$E$97*(C11-B23)/365.25</f>
        <v>8.5482546201232026</v>
      </c>
      <c r="D13" s="152">
        <f t="shared" si="2"/>
        <v>4.4289869952087608</v>
      </c>
      <c r="E13" s="152">
        <f t="shared" si="2"/>
        <v>0</v>
      </c>
      <c r="F13" s="152">
        <f t="shared" si="2"/>
        <v>0</v>
      </c>
      <c r="G13" s="152">
        <f t="shared" si="2"/>
        <v>0</v>
      </c>
      <c r="H13" s="152">
        <f t="shared" si="2"/>
        <v>0</v>
      </c>
      <c r="I13" s="152">
        <f t="shared" si="2"/>
        <v>0</v>
      </c>
      <c r="J13" s="152">
        <f t="shared" si="2"/>
        <v>0</v>
      </c>
      <c r="K13" s="152">
        <f t="shared" si="2"/>
        <v>0</v>
      </c>
      <c r="L13" s="152">
        <f t="shared" si="2"/>
        <v>0</v>
      </c>
      <c r="M13" s="152">
        <f t="shared" si="2"/>
        <v>0</v>
      </c>
      <c r="N13" s="152">
        <f t="shared" si="2"/>
        <v>0</v>
      </c>
      <c r="O13" s="152">
        <f t="shared" si="2"/>
        <v>0</v>
      </c>
      <c r="P13" s="152">
        <f t="shared" si="2"/>
        <v>0</v>
      </c>
      <c r="Q13" s="152">
        <f t="shared" si="2"/>
        <v>0</v>
      </c>
      <c r="R13" s="152">
        <f t="shared" si="2"/>
        <v>0</v>
      </c>
      <c r="S13" s="152">
        <f t="shared" si="2"/>
        <v>0</v>
      </c>
      <c r="T13" s="152">
        <f t="shared" si="2"/>
        <v>0</v>
      </c>
      <c r="U13" s="152">
        <f t="shared" si="2"/>
        <v>0</v>
      </c>
      <c r="W13" s="398"/>
      <c r="X13" s="398"/>
    </row>
    <row r="14" spans="1:27" ht="13.5">
      <c r="A14" s="40" t="s">
        <v>80</v>
      </c>
      <c r="B14" s="120">
        <f>'Summary Output'!B20</f>
        <v>50000</v>
      </c>
      <c r="C14" s="59">
        <f>C12</f>
        <v>34500</v>
      </c>
      <c r="D14" s="59">
        <f>D12</f>
        <v>17875</v>
      </c>
      <c r="E14" s="59">
        <f>E12</f>
        <v>0</v>
      </c>
      <c r="F14" s="59">
        <f>F12</f>
        <v>0</v>
      </c>
      <c r="G14" s="59">
        <f>G12</f>
        <v>0</v>
      </c>
      <c r="H14" s="59">
        <f t="shared" ref="H14:U14" si="3">H12</f>
        <v>0</v>
      </c>
      <c r="I14" s="59">
        <f t="shared" si="3"/>
        <v>0</v>
      </c>
      <c r="J14" s="59">
        <f t="shared" si="3"/>
        <v>0</v>
      </c>
      <c r="K14" s="59">
        <f t="shared" si="3"/>
        <v>0</v>
      </c>
      <c r="L14" s="59">
        <f t="shared" si="3"/>
        <v>0</v>
      </c>
      <c r="M14" s="59">
        <f t="shared" si="3"/>
        <v>0</v>
      </c>
      <c r="N14" s="59">
        <f t="shared" si="3"/>
        <v>0</v>
      </c>
      <c r="O14" s="59">
        <f t="shared" si="3"/>
        <v>0</v>
      </c>
      <c r="P14" s="59">
        <f t="shared" si="3"/>
        <v>0</v>
      </c>
      <c r="Q14" s="59">
        <f t="shared" si="3"/>
        <v>0</v>
      </c>
      <c r="R14" s="59">
        <f t="shared" si="3"/>
        <v>0</v>
      </c>
      <c r="S14" s="59">
        <f t="shared" si="3"/>
        <v>0</v>
      </c>
      <c r="T14" s="59">
        <f t="shared" si="3"/>
        <v>0</v>
      </c>
      <c r="U14" s="59">
        <f t="shared" si="3"/>
        <v>0</v>
      </c>
      <c r="W14" s="399">
        <f>SUM(B19:U19,B26:U26)</f>
        <v>50000</v>
      </c>
      <c r="X14" s="400">
        <f>B14-W14</f>
        <v>0</v>
      </c>
    </row>
    <row r="15" spans="1:27">
      <c r="B15" s="334"/>
      <c r="C15" s="33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W15" s="398"/>
      <c r="X15" s="398"/>
    </row>
    <row r="16" spans="1:27">
      <c r="A16" s="44"/>
      <c r="B16" s="313">
        <v>37072</v>
      </c>
      <c r="C16" s="313">
        <v>37437</v>
      </c>
      <c r="D16" s="313">
        <v>37802</v>
      </c>
      <c r="E16" s="313">
        <v>38168</v>
      </c>
      <c r="F16" s="313">
        <v>38533</v>
      </c>
      <c r="G16" s="313">
        <v>38898</v>
      </c>
      <c r="H16" s="313">
        <v>39263</v>
      </c>
      <c r="I16" s="313">
        <v>39629</v>
      </c>
      <c r="J16" s="313">
        <v>39994</v>
      </c>
      <c r="K16" s="313">
        <v>40359</v>
      </c>
      <c r="L16" s="313">
        <v>40724</v>
      </c>
      <c r="M16" s="313">
        <v>41090</v>
      </c>
      <c r="N16" s="313">
        <v>41455</v>
      </c>
      <c r="O16" s="313">
        <v>41820</v>
      </c>
      <c r="P16" s="313">
        <v>42185</v>
      </c>
      <c r="Q16" s="313">
        <v>42551</v>
      </c>
      <c r="R16" s="313">
        <v>42916</v>
      </c>
      <c r="S16" s="313">
        <v>43281</v>
      </c>
      <c r="T16" s="313">
        <v>43646</v>
      </c>
      <c r="U16" s="313">
        <v>44012</v>
      </c>
      <c r="W16" s="398"/>
      <c r="X16" s="398"/>
    </row>
    <row r="17" spans="1:25">
      <c r="A17" s="40" t="s">
        <v>77</v>
      </c>
      <c r="B17" s="56">
        <f t="shared" ref="B17:G17" si="4">B14</f>
        <v>50000</v>
      </c>
      <c r="C17" s="56">
        <f t="shared" si="4"/>
        <v>34500</v>
      </c>
      <c r="D17" s="56">
        <f t="shared" si="4"/>
        <v>17875</v>
      </c>
      <c r="E17" s="56">
        <f t="shared" si="4"/>
        <v>0</v>
      </c>
      <c r="F17" s="56">
        <f t="shared" si="4"/>
        <v>0</v>
      </c>
      <c r="G17" s="56">
        <f t="shared" si="4"/>
        <v>0</v>
      </c>
      <c r="H17" s="56">
        <f t="shared" ref="H17:U17" si="5">H14</f>
        <v>0</v>
      </c>
      <c r="I17" s="56">
        <f t="shared" si="5"/>
        <v>0</v>
      </c>
      <c r="J17" s="56">
        <f t="shared" si="5"/>
        <v>0</v>
      </c>
      <c r="K17" s="56">
        <f t="shared" si="5"/>
        <v>0</v>
      </c>
      <c r="L17" s="56">
        <f t="shared" si="5"/>
        <v>0</v>
      </c>
      <c r="M17" s="56">
        <f t="shared" si="5"/>
        <v>0</v>
      </c>
      <c r="N17" s="56">
        <f t="shared" si="5"/>
        <v>0</v>
      </c>
      <c r="O17" s="56">
        <f t="shared" si="5"/>
        <v>0</v>
      </c>
      <c r="P17" s="56">
        <f t="shared" si="5"/>
        <v>0</v>
      </c>
      <c r="Q17" s="56">
        <f t="shared" si="5"/>
        <v>0</v>
      </c>
      <c r="R17" s="56">
        <f t="shared" si="5"/>
        <v>0</v>
      </c>
      <c r="S17" s="56">
        <f t="shared" si="5"/>
        <v>0</v>
      </c>
      <c r="T17" s="56">
        <f t="shared" si="5"/>
        <v>0</v>
      </c>
      <c r="U17" s="56">
        <f t="shared" si="5"/>
        <v>0</v>
      </c>
      <c r="W17" s="398"/>
      <c r="X17" s="398"/>
    </row>
    <row r="18" spans="1:25">
      <c r="A18" s="40" t="s">
        <v>236</v>
      </c>
      <c r="B18" s="493">
        <v>0.155</v>
      </c>
      <c r="C18" s="493">
        <v>0.16500000000000001</v>
      </c>
      <c r="D18" s="493">
        <v>0.25</v>
      </c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W18" s="398"/>
      <c r="X18" s="398"/>
    </row>
    <row r="19" spans="1:25">
      <c r="A19" s="40" t="s">
        <v>78</v>
      </c>
      <c r="B19" s="56">
        <f>$B$14*B18</f>
        <v>7750</v>
      </c>
      <c r="C19" s="56">
        <f>$B$14*C18</f>
        <v>8250</v>
      </c>
      <c r="D19" s="56">
        <f>$B$14*D18</f>
        <v>12500</v>
      </c>
      <c r="E19" s="56">
        <f t="shared" ref="E19:U19" si="6">$B$14*E18</f>
        <v>0</v>
      </c>
      <c r="F19" s="56">
        <f t="shared" si="6"/>
        <v>0</v>
      </c>
      <c r="G19" s="56">
        <f t="shared" si="6"/>
        <v>0</v>
      </c>
      <c r="H19" s="56">
        <f t="shared" si="6"/>
        <v>0</v>
      </c>
      <c r="I19" s="56">
        <f t="shared" si="6"/>
        <v>0</v>
      </c>
      <c r="J19" s="56">
        <f t="shared" si="6"/>
        <v>0</v>
      </c>
      <c r="K19" s="56">
        <f t="shared" si="6"/>
        <v>0</v>
      </c>
      <c r="L19" s="56">
        <f t="shared" si="6"/>
        <v>0</v>
      </c>
      <c r="M19" s="56">
        <f t="shared" si="6"/>
        <v>0</v>
      </c>
      <c r="N19" s="56">
        <f t="shared" si="6"/>
        <v>0</v>
      </c>
      <c r="O19" s="56">
        <f t="shared" si="6"/>
        <v>0</v>
      </c>
      <c r="P19" s="56">
        <f t="shared" si="6"/>
        <v>0</v>
      </c>
      <c r="Q19" s="56">
        <f t="shared" si="6"/>
        <v>0</v>
      </c>
      <c r="R19" s="56">
        <f t="shared" si="6"/>
        <v>0</v>
      </c>
      <c r="S19" s="56">
        <f t="shared" si="6"/>
        <v>0</v>
      </c>
      <c r="T19" s="56">
        <f t="shared" si="6"/>
        <v>0</v>
      </c>
      <c r="U19" s="56">
        <f t="shared" si="6"/>
        <v>0</v>
      </c>
      <c r="V19" s="6"/>
      <c r="W19" s="401"/>
      <c r="X19" s="401"/>
      <c r="Y19" s="6"/>
    </row>
    <row r="20" spans="1:25">
      <c r="A20" s="40" t="s">
        <v>79</v>
      </c>
      <c r="B20" s="152">
        <f t="shared" ref="B20:G20" si="7">B17*$E$97*(B16-B11)/365.25</f>
        <v>2229.9794661190963</v>
      </c>
      <c r="C20" s="152">
        <f t="shared" si="7"/>
        <v>1538.6858316221767</v>
      </c>
      <c r="D20" s="152">
        <f t="shared" si="7"/>
        <v>797.21765913757702</v>
      </c>
      <c r="E20" s="152">
        <f t="shared" si="7"/>
        <v>0</v>
      </c>
      <c r="F20" s="152">
        <f t="shared" si="7"/>
        <v>0</v>
      </c>
      <c r="G20" s="152">
        <f t="shared" si="7"/>
        <v>0</v>
      </c>
      <c r="H20" s="152">
        <f t="shared" ref="H20:U20" si="8">H17*$E$97*(H16-H11)/365.25</f>
        <v>0</v>
      </c>
      <c r="I20" s="152">
        <f t="shared" si="8"/>
        <v>0</v>
      </c>
      <c r="J20" s="152">
        <f t="shared" si="8"/>
        <v>0</v>
      </c>
      <c r="K20" s="152">
        <f t="shared" si="8"/>
        <v>0</v>
      </c>
      <c r="L20" s="152">
        <f t="shared" si="8"/>
        <v>0</v>
      </c>
      <c r="M20" s="152">
        <f t="shared" si="8"/>
        <v>0</v>
      </c>
      <c r="N20" s="152">
        <f t="shared" si="8"/>
        <v>0</v>
      </c>
      <c r="O20" s="152">
        <f t="shared" si="8"/>
        <v>0</v>
      </c>
      <c r="P20" s="152">
        <f t="shared" si="8"/>
        <v>0</v>
      </c>
      <c r="Q20" s="152">
        <f t="shared" si="8"/>
        <v>0</v>
      </c>
      <c r="R20" s="152">
        <f t="shared" si="8"/>
        <v>0</v>
      </c>
      <c r="S20" s="152">
        <f t="shared" si="8"/>
        <v>0</v>
      </c>
      <c r="T20" s="152">
        <f t="shared" si="8"/>
        <v>0</v>
      </c>
      <c r="U20" s="152">
        <f t="shared" si="8"/>
        <v>0</v>
      </c>
      <c r="V20" s="6"/>
      <c r="W20" s="401"/>
      <c r="X20" s="401"/>
      <c r="Y20" s="6"/>
    </row>
    <row r="21" spans="1:25">
      <c r="A21" s="40" t="s">
        <v>80</v>
      </c>
      <c r="B21" s="59">
        <f>B17-B19</f>
        <v>42250</v>
      </c>
      <c r="C21" s="59">
        <f t="shared" ref="C21:U21" si="9">C17-C19</f>
        <v>26250</v>
      </c>
      <c r="D21" s="59">
        <f t="shared" si="9"/>
        <v>5375</v>
      </c>
      <c r="E21" s="59">
        <f t="shared" si="9"/>
        <v>0</v>
      </c>
      <c r="F21" s="59">
        <f t="shared" si="9"/>
        <v>0</v>
      </c>
      <c r="G21" s="59">
        <f t="shared" si="9"/>
        <v>0</v>
      </c>
      <c r="H21" s="59">
        <f t="shared" si="9"/>
        <v>0</v>
      </c>
      <c r="I21" s="59">
        <f t="shared" si="9"/>
        <v>0</v>
      </c>
      <c r="J21" s="59">
        <f t="shared" si="9"/>
        <v>0</v>
      </c>
      <c r="K21" s="59">
        <f t="shared" si="9"/>
        <v>0</v>
      </c>
      <c r="L21" s="59">
        <f t="shared" si="9"/>
        <v>0</v>
      </c>
      <c r="M21" s="59">
        <f t="shared" si="9"/>
        <v>0</v>
      </c>
      <c r="N21" s="59">
        <f t="shared" si="9"/>
        <v>0</v>
      </c>
      <c r="O21" s="59">
        <f t="shared" si="9"/>
        <v>0</v>
      </c>
      <c r="P21" s="59">
        <f t="shared" si="9"/>
        <v>0</v>
      </c>
      <c r="Q21" s="59">
        <f t="shared" si="9"/>
        <v>0</v>
      </c>
      <c r="R21" s="59">
        <f t="shared" si="9"/>
        <v>0</v>
      </c>
      <c r="S21" s="59">
        <f t="shared" si="9"/>
        <v>0</v>
      </c>
      <c r="T21" s="59">
        <f t="shared" si="9"/>
        <v>0</v>
      </c>
      <c r="U21" s="59">
        <f t="shared" si="9"/>
        <v>0</v>
      </c>
      <c r="V21" s="6"/>
      <c r="W21" s="401"/>
      <c r="X21" s="401"/>
      <c r="Y21" s="6"/>
    </row>
    <row r="22" spans="1:25">
      <c r="A22" s="40"/>
      <c r="B22" s="153"/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/>
      <c r="T22" s="153"/>
      <c r="U22" s="153"/>
      <c r="V22" s="6"/>
      <c r="W22" s="401"/>
      <c r="X22" s="401"/>
      <c r="Y22" s="6"/>
    </row>
    <row r="23" spans="1:25">
      <c r="A23" s="44"/>
      <c r="B23" s="313">
        <v>37256</v>
      </c>
      <c r="C23" s="313">
        <v>37621</v>
      </c>
      <c r="D23" s="313">
        <v>37986</v>
      </c>
      <c r="E23" s="313">
        <v>38352</v>
      </c>
      <c r="F23" s="313">
        <v>38717</v>
      </c>
      <c r="G23" s="313">
        <v>39082</v>
      </c>
      <c r="H23" s="313">
        <v>39447</v>
      </c>
      <c r="I23" s="313">
        <v>39813</v>
      </c>
      <c r="J23" s="313">
        <v>40178</v>
      </c>
      <c r="K23" s="313">
        <v>40543</v>
      </c>
      <c r="L23" s="313">
        <v>40908</v>
      </c>
      <c r="M23" s="313">
        <v>41274</v>
      </c>
      <c r="N23" s="313">
        <v>41639</v>
      </c>
      <c r="O23" s="313">
        <v>42004</v>
      </c>
      <c r="P23" s="313">
        <v>42369</v>
      </c>
      <c r="Q23" s="313">
        <v>42735</v>
      </c>
      <c r="R23" s="313">
        <v>43100</v>
      </c>
      <c r="S23" s="313">
        <v>43465</v>
      </c>
      <c r="T23" s="313">
        <v>43830</v>
      </c>
      <c r="U23" s="313">
        <v>44196</v>
      </c>
      <c r="V23" s="6"/>
      <c r="W23" s="401"/>
      <c r="X23" s="401"/>
      <c r="Y23" s="6"/>
    </row>
    <row r="24" spans="1:25">
      <c r="A24" s="40" t="s">
        <v>77</v>
      </c>
      <c r="B24" s="56">
        <f t="shared" ref="B24:G24" si="10">B21</f>
        <v>42250</v>
      </c>
      <c r="C24" s="56">
        <f t="shared" si="10"/>
        <v>26250</v>
      </c>
      <c r="D24" s="56">
        <f t="shared" si="10"/>
        <v>5375</v>
      </c>
      <c r="E24" s="56">
        <f t="shared" si="10"/>
        <v>0</v>
      </c>
      <c r="F24" s="56">
        <f t="shared" si="10"/>
        <v>0</v>
      </c>
      <c r="G24" s="56">
        <f t="shared" si="10"/>
        <v>0</v>
      </c>
      <c r="H24" s="56">
        <f t="shared" ref="H24:U24" si="11">H21</f>
        <v>0</v>
      </c>
      <c r="I24" s="56">
        <f t="shared" si="11"/>
        <v>0</v>
      </c>
      <c r="J24" s="56">
        <f t="shared" si="11"/>
        <v>0</v>
      </c>
      <c r="K24" s="56">
        <f t="shared" si="11"/>
        <v>0</v>
      </c>
      <c r="L24" s="56">
        <f t="shared" si="11"/>
        <v>0</v>
      </c>
      <c r="M24" s="56">
        <f t="shared" si="11"/>
        <v>0</v>
      </c>
      <c r="N24" s="56">
        <f t="shared" si="11"/>
        <v>0</v>
      </c>
      <c r="O24" s="56">
        <f t="shared" si="11"/>
        <v>0</v>
      </c>
      <c r="P24" s="56">
        <f t="shared" si="11"/>
        <v>0</v>
      </c>
      <c r="Q24" s="56">
        <f t="shared" si="11"/>
        <v>0</v>
      </c>
      <c r="R24" s="56">
        <f t="shared" si="11"/>
        <v>0</v>
      </c>
      <c r="S24" s="56">
        <f t="shared" si="11"/>
        <v>0</v>
      </c>
      <c r="T24" s="56">
        <f t="shared" si="11"/>
        <v>0</v>
      </c>
      <c r="U24" s="56">
        <f t="shared" si="11"/>
        <v>0</v>
      </c>
      <c r="V24" s="6"/>
      <c r="W24" s="401"/>
      <c r="X24" s="401"/>
      <c r="Y24" s="6"/>
    </row>
    <row r="25" spans="1:25">
      <c r="A25" s="40" t="s">
        <v>236</v>
      </c>
      <c r="B25" s="493">
        <v>0.155</v>
      </c>
      <c r="C25" s="493">
        <v>0.16750000000000001</v>
      </c>
      <c r="D25" s="493">
        <v>0.1075</v>
      </c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6"/>
      <c r="W25" s="401"/>
      <c r="X25" s="401"/>
      <c r="Y25" s="6"/>
    </row>
    <row r="26" spans="1:25">
      <c r="A26" s="40" t="s">
        <v>78</v>
      </c>
      <c r="B26" s="56">
        <f>B25*$B$14</f>
        <v>7750</v>
      </c>
      <c r="C26" s="56">
        <f t="shared" ref="C26:U26" si="12">C25*$B$14</f>
        <v>8375</v>
      </c>
      <c r="D26" s="56">
        <f t="shared" si="12"/>
        <v>5375</v>
      </c>
      <c r="E26" s="56">
        <f t="shared" si="12"/>
        <v>0</v>
      </c>
      <c r="F26" s="56">
        <f t="shared" si="12"/>
        <v>0</v>
      </c>
      <c r="G26" s="56">
        <f t="shared" si="12"/>
        <v>0</v>
      </c>
      <c r="H26" s="56">
        <f t="shared" si="12"/>
        <v>0</v>
      </c>
      <c r="I26" s="56">
        <f t="shared" si="12"/>
        <v>0</v>
      </c>
      <c r="J26" s="56">
        <f t="shared" si="12"/>
        <v>0</v>
      </c>
      <c r="K26" s="56">
        <f t="shared" si="12"/>
        <v>0</v>
      </c>
      <c r="L26" s="56">
        <f t="shared" si="12"/>
        <v>0</v>
      </c>
      <c r="M26" s="56">
        <f t="shared" si="12"/>
        <v>0</v>
      </c>
      <c r="N26" s="56">
        <f t="shared" si="12"/>
        <v>0</v>
      </c>
      <c r="O26" s="56">
        <f t="shared" si="12"/>
        <v>0</v>
      </c>
      <c r="P26" s="56">
        <f t="shared" si="12"/>
        <v>0</v>
      </c>
      <c r="Q26" s="56">
        <f t="shared" si="12"/>
        <v>0</v>
      </c>
      <c r="R26" s="56">
        <f t="shared" si="12"/>
        <v>0</v>
      </c>
      <c r="S26" s="56">
        <f t="shared" si="12"/>
        <v>0</v>
      </c>
      <c r="T26" s="56">
        <f t="shared" si="12"/>
        <v>0</v>
      </c>
      <c r="U26" s="56">
        <f t="shared" si="12"/>
        <v>0</v>
      </c>
      <c r="V26" s="6"/>
      <c r="W26" s="401"/>
      <c r="X26" s="401"/>
      <c r="Y26" s="6"/>
    </row>
    <row r="27" spans="1:25">
      <c r="A27" s="40" t="s">
        <v>79</v>
      </c>
      <c r="B27" s="152">
        <f t="shared" ref="B27:G27" si="13">B24*$E$97*(B23-B16)/365.25</f>
        <v>1926.2067077344284</v>
      </c>
      <c r="C27" s="152">
        <f t="shared" si="13"/>
        <v>1196.7556468172484</v>
      </c>
      <c r="D27" s="152">
        <f t="shared" si="13"/>
        <v>245.04996577686515</v>
      </c>
      <c r="E27" s="152">
        <f t="shared" si="13"/>
        <v>0</v>
      </c>
      <c r="F27" s="152">
        <f t="shared" si="13"/>
        <v>0</v>
      </c>
      <c r="G27" s="152">
        <f t="shared" si="13"/>
        <v>0</v>
      </c>
      <c r="H27" s="152">
        <f t="shared" ref="H27:U27" si="14">H24*$E$97*(H23-H16)/365.25</f>
        <v>0</v>
      </c>
      <c r="I27" s="152">
        <f t="shared" si="14"/>
        <v>0</v>
      </c>
      <c r="J27" s="152">
        <f t="shared" si="14"/>
        <v>0</v>
      </c>
      <c r="K27" s="152">
        <f t="shared" si="14"/>
        <v>0</v>
      </c>
      <c r="L27" s="152">
        <f t="shared" si="14"/>
        <v>0</v>
      </c>
      <c r="M27" s="152">
        <f t="shared" si="14"/>
        <v>0</v>
      </c>
      <c r="N27" s="152">
        <f t="shared" si="14"/>
        <v>0</v>
      </c>
      <c r="O27" s="152">
        <f t="shared" si="14"/>
        <v>0</v>
      </c>
      <c r="P27" s="152">
        <f t="shared" si="14"/>
        <v>0</v>
      </c>
      <c r="Q27" s="152">
        <f t="shared" si="14"/>
        <v>0</v>
      </c>
      <c r="R27" s="152">
        <f t="shared" si="14"/>
        <v>0</v>
      </c>
      <c r="S27" s="152">
        <f t="shared" si="14"/>
        <v>0</v>
      </c>
      <c r="T27" s="152">
        <f t="shared" si="14"/>
        <v>0</v>
      </c>
      <c r="U27" s="152">
        <f t="shared" si="14"/>
        <v>0</v>
      </c>
      <c r="V27" s="6"/>
      <c r="W27" s="401"/>
      <c r="X27" s="401"/>
      <c r="Y27" s="6"/>
    </row>
    <row r="28" spans="1:25">
      <c r="A28" s="40" t="s">
        <v>80</v>
      </c>
      <c r="B28" s="59">
        <f>B24-B26</f>
        <v>34500</v>
      </c>
      <c r="C28" s="59">
        <f t="shared" ref="C28:U28" si="15">C24-C26</f>
        <v>17875</v>
      </c>
      <c r="D28" s="59">
        <f t="shared" si="15"/>
        <v>0</v>
      </c>
      <c r="E28" s="59">
        <f t="shared" si="15"/>
        <v>0</v>
      </c>
      <c r="F28" s="59">
        <f t="shared" si="15"/>
        <v>0</v>
      </c>
      <c r="G28" s="59">
        <f t="shared" si="15"/>
        <v>0</v>
      </c>
      <c r="H28" s="59">
        <f t="shared" si="15"/>
        <v>0</v>
      </c>
      <c r="I28" s="59">
        <f t="shared" si="15"/>
        <v>0</v>
      </c>
      <c r="J28" s="59">
        <f t="shared" si="15"/>
        <v>0</v>
      </c>
      <c r="K28" s="59">
        <f t="shared" si="15"/>
        <v>0</v>
      </c>
      <c r="L28" s="59">
        <f t="shared" si="15"/>
        <v>0</v>
      </c>
      <c r="M28" s="59">
        <f t="shared" si="15"/>
        <v>0</v>
      </c>
      <c r="N28" s="59">
        <f t="shared" si="15"/>
        <v>0</v>
      </c>
      <c r="O28" s="59">
        <f t="shared" si="15"/>
        <v>0</v>
      </c>
      <c r="P28" s="59">
        <f t="shared" si="15"/>
        <v>0</v>
      </c>
      <c r="Q28" s="59">
        <f t="shared" si="15"/>
        <v>0</v>
      </c>
      <c r="R28" s="59">
        <f t="shared" si="15"/>
        <v>0</v>
      </c>
      <c r="S28" s="59">
        <f t="shared" si="15"/>
        <v>0</v>
      </c>
      <c r="T28" s="59">
        <f t="shared" si="15"/>
        <v>0</v>
      </c>
      <c r="U28" s="59">
        <f t="shared" si="15"/>
        <v>0</v>
      </c>
      <c r="W28" s="398"/>
      <c r="X28" s="398"/>
    </row>
    <row r="29" spans="1:25">
      <c r="A29" s="40"/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W29" s="398"/>
      <c r="X29" s="398"/>
    </row>
    <row r="30" spans="1:25">
      <c r="A30" s="39" t="s">
        <v>18</v>
      </c>
      <c r="B30" s="6"/>
      <c r="C30" s="332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W30" s="398"/>
      <c r="X30" s="398"/>
    </row>
    <row r="31" spans="1:25">
      <c r="B31" s="313">
        <f>'Summary Output'!$B$19</f>
        <v>36892</v>
      </c>
      <c r="C31" s="313">
        <v>37257</v>
      </c>
      <c r="D31" s="313">
        <v>37622</v>
      </c>
      <c r="E31" s="313">
        <v>37987</v>
      </c>
      <c r="F31" s="313">
        <v>38353</v>
      </c>
      <c r="G31" s="313">
        <v>38718</v>
      </c>
      <c r="H31" s="313">
        <v>39083</v>
      </c>
      <c r="I31" s="313">
        <v>39448</v>
      </c>
      <c r="J31" s="313">
        <v>39814</v>
      </c>
      <c r="K31" s="313">
        <v>40179</v>
      </c>
      <c r="L31" s="313">
        <v>40544</v>
      </c>
      <c r="M31" s="313">
        <v>40909</v>
      </c>
      <c r="N31" s="313">
        <v>41275</v>
      </c>
      <c r="O31" s="313">
        <v>41640</v>
      </c>
      <c r="P31" s="313">
        <v>42005</v>
      </c>
      <c r="Q31" s="313">
        <v>42370</v>
      </c>
      <c r="R31" s="313">
        <v>42736</v>
      </c>
      <c r="S31" s="313">
        <v>43101</v>
      </c>
      <c r="T31" s="313">
        <v>43466</v>
      </c>
      <c r="U31" s="313">
        <v>43831</v>
      </c>
      <c r="W31" s="398"/>
      <c r="X31" s="398"/>
    </row>
    <row r="32" spans="1:25">
      <c r="A32" s="40" t="s">
        <v>77</v>
      </c>
      <c r="B32" s="56">
        <v>0</v>
      </c>
      <c r="C32" s="56">
        <f t="shared" ref="C32:U32" si="16">B48</f>
        <v>210000</v>
      </c>
      <c r="D32" s="56">
        <f t="shared" si="16"/>
        <v>210000</v>
      </c>
      <c r="E32" s="56">
        <f t="shared" si="16"/>
        <v>210000</v>
      </c>
      <c r="F32" s="56">
        <f t="shared" si="16"/>
        <v>192150</v>
      </c>
      <c r="G32" s="56">
        <f t="shared" si="16"/>
        <v>167580</v>
      </c>
      <c r="H32" s="56">
        <f t="shared" si="16"/>
        <v>139650</v>
      </c>
      <c r="I32" s="56">
        <f t="shared" si="16"/>
        <v>109200</v>
      </c>
      <c r="J32" s="56">
        <f t="shared" si="16"/>
        <v>74550</v>
      </c>
      <c r="K32" s="56">
        <f t="shared" si="16"/>
        <v>36540</v>
      </c>
      <c r="L32" s="56">
        <f t="shared" si="16"/>
        <v>0</v>
      </c>
      <c r="M32" s="56">
        <f t="shared" si="16"/>
        <v>0</v>
      </c>
      <c r="N32" s="56">
        <f t="shared" si="16"/>
        <v>0</v>
      </c>
      <c r="O32" s="56">
        <f t="shared" si="16"/>
        <v>0</v>
      </c>
      <c r="P32" s="56">
        <f t="shared" si="16"/>
        <v>0</v>
      </c>
      <c r="Q32" s="56">
        <f t="shared" si="16"/>
        <v>0</v>
      </c>
      <c r="R32" s="56">
        <f t="shared" si="16"/>
        <v>0</v>
      </c>
      <c r="S32" s="56">
        <f t="shared" si="16"/>
        <v>0</v>
      </c>
      <c r="T32" s="56">
        <f t="shared" si="16"/>
        <v>0</v>
      </c>
      <c r="U32" s="56">
        <f t="shared" si="16"/>
        <v>0</v>
      </c>
      <c r="W32" s="398"/>
      <c r="X32" s="398"/>
    </row>
    <row r="33" spans="1:25">
      <c r="A33" s="40" t="s">
        <v>79</v>
      </c>
      <c r="B33" s="345">
        <v>0</v>
      </c>
      <c r="C33" s="152">
        <f t="shared" ref="C33:K33" si="17">C32*$J$97*(C31-B43)/365.25</f>
        <v>63.244353182751539</v>
      </c>
      <c r="D33" s="152">
        <f t="shared" si="17"/>
        <v>63.244353182751539</v>
      </c>
      <c r="E33" s="152">
        <f t="shared" si="17"/>
        <v>63.244353182751539</v>
      </c>
      <c r="F33" s="152">
        <f t="shared" si="17"/>
        <v>57.868583162217661</v>
      </c>
      <c r="G33" s="152">
        <f t="shared" si="17"/>
        <v>50.468993839835726</v>
      </c>
      <c r="H33" s="152">
        <f t="shared" si="17"/>
        <v>42.057494866529773</v>
      </c>
      <c r="I33" s="152">
        <f t="shared" si="17"/>
        <v>32.887063655030801</v>
      </c>
      <c r="J33" s="152">
        <f t="shared" si="17"/>
        <v>22.451745379876797</v>
      </c>
      <c r="K33" s="152">
        <f t="shared" si="17"/>
        <v>11.004517453798767</v>
      </c>
      <c r="L33" s="152">
        <f t="shared" ref="L33:U33" si="18">L32*$J$97*(L31-K43)/365.25</f>
        <v>0</v>
      </c>
      <c r="M33" s="152">
        <f t="shared" si="18"/>
        <v>0</v>
      </c>
      <c r="N33" s="152">
        <f t="shared" si="18"/>
        <v>0</v>
      </c>
      <c r="O33" s="152">
        <f t="shared" si="18"/>
        <v>0</v>
      </c>
      <c r="P33" s="152">
        <f t="shared" si="18"/>
        <v>0</v>
      </c>
      <c r="Q33" s="152">
        <f t="shared" si="18"/>
        <v>0</v>
      </c>
      <c r="R33" s="152">
        <f t="shared" si="18"/>
        <v>0</v>
      </c>
      <c r="S33" s="152">
        <f t="shared" si="18"/>
        <v>0</v>
      </c>
      <c r="T33" s="152">
        <f t="shared" si="18"/>
        <v>0</v>
      </c>
      <c r="U33" s="152">
        <f t="shared" si="18"/>
        <v>0</v>
      </c>
      <c r="V33" s="6"/>
      <c r="W33" s="401"/>
      <c r="X33" s="401"/>
      <c r="Y33" s="6"/>
    </row>
    <row r="34" spans="1:25" ht="13.5">
      <c r="A34" s="40" t="s">
        <v>80</v>
      </c>
      <c r="B34" s="120">
        <f>'Summary Output'!C20</f>
        <v>210000</v>
      </c>
      <c r="C34" s="59">
        <f t="shared" ref="C34:K34" si="19">C32</f>
        <v>210000</v>
      </c>
      <c r="D34" s="59">
        <f t="shared" si="19"/>
        <v>210000</v>
      </c>
      <c r="E34" s="59">
        <f t="shared" si="19"/>
        <v>210000</v>
      </c>
      <c r="F34" s="59">
        <f t="shared" si="19"/>
        <v>192150</v>
      </c>
      <c r="G34" s="59">
        <f t="shared" si="19"/>
        <v>167580</v>
      </c>
      <c r="H34" s="59">
        <f t="shared" si="19"/>
        <v>139650</v>
      </c>
      <c r="I34" s="59">
        <f t="shared" si="19"/>
        <v>109200</v>
      </c>
      <c r="J34" s="59">
        <f t="shared" si="19"/>
        <v>74550</v>
      </c>
      <c r="K34" s="59">
        <f t="shared" si="19"/>
        <v>36540</v>
      </c>
      <c r="L34" s="59">
        <f t="shared" ref="L34:U34" si="20">L32</f>
        <v>0</v>
      </c>
      <c r="M34" s="59">
        <f t="shared" si="20"/>
        <v>0</v>
      </c>
      <c r="N34" s="59">
        <f t="shared" si="20"/>
        <v>0</v>
      </c>
      <c r="O34" s="59">
        <f t="shared" si="20"/>
        <v>0</v>
      </c>
      <c r="P34" s="59">
        <f t="shared" si="20"/>
        <v>0</v>
      </c>
      <c r="Q34" s="59">
        <f t="shared" si="20"/>
        <v>0</v>
      </c>
      <c r="R34" s="59">
        <f t="shared" si="20"/>
        <v>0</v>
      </c>
      <c r="S34" s="59">
        <f t="shared" si="20"/>
        <v>0</v>
      </c>
      <c r="T34" s="59">
        <f t="shared" si="20"/>
        <v>0</v>
      </c>
      <c r="U34" s="59">
        <f t="shared" si="20"/>
        <v>0</v>
      </c>
      <c r="V34" s="6"/>
      <c r="W34" s="399">
        <f>SUM(B39:U39,B46:U46)</f>
        <v>210000</v>
      </c>
      <c r="X34" s="400">
        <f>B34-W34</f>
        <v>0</v>
      </c>
      <c r="Y34" s="6"/>
    </row>
    <row r="35" spans="1:25">
      <c r="B35" s="334"/>
      <c r="C35" s="332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401"/>
      <c r="X35" s="401"/>
      <c r="Y35" s="6"/>
    </row>
    <row r="36" spans="1:25">
      <c r="A36" s="44"/>
      <c r="B36" s="313">
        <v>37072</v>
      </c>
      <c r="C36" s="313">
        <v>37437</v>
      </c>
      <c r="D36" s="313">
        <v>37802</v>
      </c>
      <c r="E36" s="313">
        <v>38168</v>
      </c>
      <c r="F36" s="313">
        <v>38533</v>
      </c>
      <c r="G36" s="313">
        <v>38898</v>
      </c>
      <c r="H36" s="313">
        <v>39263</v>
      </c>
      <c r="I36" s="313">
        <v>39629</v>
      </c>
      <c r="J36" s="313">
        <v>39994</v>
      </c>
      <c r="K36" s="313">
        <v>40359</v>
      </c>
      <c r="L36" s="313">
        <v>40724</v>
      </c>
      <c r="M36" s="313">
        <v>41090</v>
      </c>
      <c r="N36" s="313">
        <v>41455</v>
      </c>
      <c r="O36" s="313">
        <v>41820</v>
      </c>
      <c r="P36" s="313">
        <v>42185</v>
      </c>
      <c r="Q36" s="313">
        <v>42551</v>
      </c>
      <c r="R36" s="313">
        <v>42916</v>
      </c>
      <c r="S36" s="313">
        <v>43281</v>
      </c>
      <c r="T36" s="313">
        <v>43646</v>
      </c>
      <c r="U36" s="313">
        <v>44012</v>
      </c>
      <c r="V36" s="6"/>
      <c r="W36" s="401"/>
      <c r="X36" s="401"/>
      <c r="Y36" s="6"/>
    </row>
    <row r="37" spans="1:25">
      <c r="A37" s="40" t="s">
        <v>77</v>
      </c>
      <c r="B37" s="56">
        <f t="shared" ref="B37:K37" si="21">B34</f>
        <v>210000</v>
      </c>
      <c r="C37" s="56">
        <f t="shared" si="21"/>
        <v>210000</v>
      </c>
      <c r="D37" s="56">
        <f t="shared" si="21"/>
        <v>210000</v>
      </c>
      <c r="E37" s="56">
        <f t="shared" si="21"/>
        <v>210000</v>
      </c>
      <c r="F37" s="56">
        <f t="shared" si="21"/>
        <v>192150</v>
      </c>
      <c r="G37" s="56">
        <f t="shared" si="21"/>
        <v>167580</v>
      </c>
      <c r="H37" s="56">
        <f t="shared" si="21"/>
        <v>139650</v>
      </c>
      <c r="I37" s="56">
        <f t="shared" si="21"/>
        <v>109200</v>
      </c>
      <c r="J37" s="56">
        <f t="shared" si="21"/>
        <v>74550</v>
      </c>
      <c r="K37" s="56">
        <f t="shared" si="21"/>
        <v>36540</v>
      </c>
      <c r="L37" s="56">
        <f t="shared" ref="L37:U37" si="22">L34</f>
        <v>0</v>
      </c>
      <c r="M37" s="56">
        <f t="shared" si="22"/>
        <v>0</v>
      </c>
      <c r="N37" s="56">
        <f t="shared" si="22"/>
        <v>0</v>
      </c>
      <c r="O37" s="56">
        <f t="shared" si="22"/>
        <v>0</v>
      </c>
      <c r="P37" s="56">
        <f t="shared" si="22"/>
        <v>0</v>
      </c>
      <c r="Q37" s="56">
        <f t="shared" si="22"/>
        <v>0</v>
      </c>
      <c r="R37" s="56">
        <f t="shared" si="22"/>
        <v>0</v>
      </c>
      <c r="S37" s="56">
        <f t="shared" si="22"/>
        <v>0</v>
      </c>
      <c r="T37" s="56">
        <f t="shared" si="22"/>
        <v>0</v>
      </c>
      <c r="U37" s="56">
        <f t="shared" si="22"/>
        <v>0</v>
      </c>
      <c r="V37" s="6"/>
      <c r="W37" s="401"/>
      <c r="X37" s="401"/>
      <c r="Y37" s="6"/>
    </row>
    <row r="38" spans="1:25">
      <c r="A38" s="40" t="s">
        <v>236</v>
      </c>
      <c r="B38" s="493">
        <v>0</v>
      </c>
      <c r="C38" s="493">
        <v>0</v>
      </c>
      <c r="D38" s="493">
        <v>0</v>
      </c>
      <c r="E38" s="493">
        <v>4.2500000000000003E-2</v>
      </c>
      <c r="F38" s="493">
        <v>5.8500000000000003E-2</v>
      </c>
      <c r="G38" s="493">
        <v>6.6500000000000004E-2</v>
      </c>
      <c r="H38" s="493">
        <v>7.2499999999999995E-2</v>
      </c>
      <c r="I38" s="493">
        <v>8.2500000000000004E-2</v>
      </c>
      <c r="J38" s="493">
        <v>9.0499999999999997E-2</v>
      </c>
      <c r="K38" s="493">
        <v>0.12</v>
      </c>
      <c r="L38" s="56"/>
      <c r="M38" s="56"/>
      <c r="N38" s="56"/>
      <c r="O38" s="56"/>
      <c r="P38" s="56"/>
      <c r="Q38" s="56"/>
      <c r="R38" s="56"/>
      <c r="S38" s="56"/>
      <c r="T38" s="56"/>
      <c r="U38" s="56"/>
      <c r="W38" s="398"/>
      <c r="X38" s="398"/>
    </row>
    <row r="39" spans="1:25">
      <c r="A39" s="40" t="s">
        <v>78</v>
      </c>
      <c r="B39" s="56">
        <f>B38*$B$34</f>
        <v>0</v>
      </c>
      <c r="C39" s="56">
        <f t="shared" ref="C39:U39" si="23">C38*$B$34</f>
        <v>0</v>
      </c>
      <c r="D39" s="56">
        <f t="shared" si="23"/>
        <v>0</v>
      </c>
      <c r="E39" s="56">
        <f t="shared" si="23"/>
        <v>8925</v>
      </c>
      <c r="F39" s="56">
        <f t="shared" si="23"/>
        <v>12285</v>
      </c>
      <c r="G39" s="56">
        <f t="shared" si="23"/>
        <v>13965</v>
      </c>
      <c r="H39" s="56">
        <f t="shared" si="23"/>
        <v>15224.999999999998</v>
      </c>
      <c r="I39" s="56">
        <f t="shared" si="23"/>
        <v>17325</v>
      </c>
      <c r="J39" s="56">
        <f t="shared" si="23"/>
        <v>19005</v>
      </c>
      <c r="K39" s="56">
        <f t="shared" si="23"/>
        <v>25200</v>
      </c>
      <c r="L39" s="56">
        <f t="shared" si="23"/>
        <v>0</v>
      </c>
      <c r="M39" s="56">
        <f t="shared" si="23"/>
        <v>0</v>
      </c>
      <c r="N39" s="56">
        <f t="shared" si="23"/>
        <v>0</v>
      </c>
      <c r="O39" s="56">
        <f t="shared" si="23"/>
        <v>0</v>
      </c>
      <c r="P39" s="56">
        <f t="shared" si="23"/>
        <v>0</v>
      </c>
      <c r="Q39" s="56">
        <f t="shared" si="23"/>
        <v>0</v>
      </c>
      <c r="R39" s="56">
        <f t="shared" si="23"/>
        <v>0</v>
      </c>
      <c r="S39" s="56">
        <f t="shared" si="23"/>
        <v>0</v>
      </c>
      <c r="T39" s="56">
        <f t="shared" si="23"/>
        <v>0</v>
      </c>
      <c r="U39" s="56">
        <f t="shared" si="23"/>
        <v>0</v>
      </c>
      <c r="V39" s="6"/>
      <c r="W39" s="401"/>
      <c r="X39" s="401"/>
      <c r="Y39" s="6"/>
    </row>
    <row r="40" spans="1:25">
      <c r="A40" s="40" t="s">
        <v>79</v>
      </c>
      <c r="B40" s="152">
        <f t="shared" ref="B40:K40" si="24">B37*$J$97*(B36-B31)/365.25</f>
        <v>11383.983572895277</v>
      </c>
      <c r="C40" s="152">
        <f t="shared" si="24"/>
        <v>11383.983572895277</v>
      </c>
      <c r="D40" s="152">
        <f t="shared" si="24"/>
        <v>11383.983572895277</v>
      </c>
      <c r="E40" s="152">
        <f t="shared" si="24"/>
        <v>11447.227926078029</v>
      </c>
      <c r="F40" s="152">
        <f t="shared" si="24"/>
        <v>10416.344969199179</v>
      </c>
      <c r="G40" s="152">
        <f t="shared" si="24"/>
        <v>9084.4188911704314</v>
      </c>
      <c r="H40" s="152">
        <f t="shared" si="24"/>
        <v>7570.3490759753595</v>
      </c>
      <c r="I40" s="152">
        <f t="shared" si="24"/>
        <v>5952.5585215605752</v>
      </c>
      <c r="J40" s="152">
        <f t="shared" si="24"/>
        <v>4041.3141683778235</v>
      </c>
      <c r="K40" s="152">
        <f t="shared" si="24"/>
        <v>1980.8131416837782</v>
      </c>
      <c r="L40" s="152">
        <f t="shared" ref="L40:U40" si="25">L37*$J$97*(L36-L31)/365.25</f>
        <v>0</v>
      </c>
      <c r="M40" s="152">
        <f t="shared" si="25"/>
        <v>0</v>
      </c>
      <c r="N40" s="152">
        <f t="shared" si="25"/>
        <v>0</v>
      </c>
      <c r="O40" s="152">
        <f t="shared" si="25"/>
        <v>0</v>
      </c>
      <c r="P40" s="152">
        <f t="shared" si="25"/>
        <v>0</v>
      </c>
      <c r="Q40" s="152">
        <f t="shared" si="25"/>
        <v>0</v>
      </c>
      <c r="R40" s="152">
        <f t="shared" si="25"/>
        <v>0</v>
      </c>
      <c r="S40" s="152">
        <f t="shared" si="25"/>
        <v>0</v>
      </c>
      <c r="T40" s="152">
        <f t="shared" si="25"/>
        <v>0</v>
      </c>
      <c r="U40" s="152">
        <f t="shared" si="25"/>
        <v>0</v>
      </c>
      <c r="V40" s="6"/>
      <c r="W40" s="401"/>
      <c r="X40" s="401"/>
      <c r="Y40" s="6"/>
    </row>
    <row r="41" spans="1:25">
      <c r="A41" s="40" t="s">
        <v>80</v>
      </c>
      <c r="B41" s="59">
        <f>B37-B39</f>
        <v>210000</v>
      </c>
      <c r="C41" s="59">
        <f t="shared" ref="C41:U41" si="26">C37-C39</f>
        <v>210000</v>
      </c>
      <c r="D41" s="59">
        <f t="shared" si="26"/>
        <v>210000</v>
      </c>
      <c r="E41" s="59">
        <f t="shared" si="26"/>
        <v>201075</v>
      </c>
      <c r="F41" s="59">
        <f t="shared" si="26"/>
        <v>179865</v>
      </c>
      <c r="G41" s="59">
        <f t="shared" si="26"/>
        <v>153615</v>
      </c>
      <c r="H41" s="59">
        <f t="shared" si="26"/>
        <v>124425</v>
      </c>
      <c r="I41" s="59">
        <f t="shared" si="26"/>
        <v>91875</v>
      </c>
      <c r="J41" s="59">
        <f t="shared" si="26"/>
        <v>55545</v>
      </c>
      <c r="K41" s="59">
        <f t="shared" si="26"/>
        <v>11340</v>
      </c>
      <c r="L41" s="59">
        <f t="shared" si="26"/>
        <v>0</v>
      </c>
      <c r="M41" s="59">
        <f t="shared" si="26"/>
        <v>0</v>
      </c>
      <c r="N41" s="59">
        <f t="shared" si="26"/>
        <v>0</v>
      </c>
      <c r="O41" s="59">
        <f t="shared" si="26"/>
        <v>0</v>
      </c>
      <c r="P41" s="59">
        <f t="shared" si="26"/>
        <v>0</v>
      </c>
      <c r="Q41" s="59">
        <f t="shared" si="26"/>
        <v>0</v>
      </c>
      <c r="R41" s="59">
        <f t="shared" si="26"/>
        <v>0</v>
      </c>
      <c r="S41" s="59">
        <f t="shared" si="26"/>
        <v>0</v>
      </c>
      <c r="T41" s="59">
        <f t="shared" si="26"/>
        <v>0</v>
      </c>
      <c r="U41" s="59">
        <f t="shared" si="26"/>
        <v>0</v>
      </c>
      <c r="V41" s="6"/>
      <c r="W41" s="401"/>
      <c r="X41" s="401"/>
      <c r="Y41" s="6"/>
    </row>
    <row r="42" spans="1:25">
      <c r="A42" s="40"/>
      <c r="B42" s="153"/>
      <c r="C42" s="153"/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W42" s="398"/>
      <c r="X42" s="398"/>
    </row>
    <row r="43" spans="1:25">
      <c r="A43" s="44"/>
      <c r="B43" s="313">
        <v>37256</v>
      </c>
      <c r="C43" s="313">
        <v>37621</v>
      </c>
      <c r="D43" s="313">
        <v>37986</v>
      </c>
      <c r="E43" s="313">
        <v>38352</v>
      </c>
      <c r="F43" s="313">
        <v>38717</v>
      </c>
      <c r="G43" s="313">
        <v>39082</v>
      </c>
      <c r="H43" s="313">
        <v>39447</v>
      </c>
      <c r="I43" s="313">
        <v>39813</v>
      </c>
      <c r="J43" s="313">
        <v>40178</v>
      </c>
      <c r="K43" s="313">
        <v>40543</v>
      </c>
      <c r="L43" s="313">
        <v>40908</v>
      </c>
      <c r="M43" s="313">
        <v>41274</v>
      </c>
      <c r="N43" s="313">
        <v>41639</v>
      </c>
      <c r="O43" s="313">
        <v>42004</v>
      </c>
      <c r="P43" s="313">
        <v>42369</v>
      </c>
      <c r="Q43" s="313">
        <v>42735</v>
      </c>
      <c r="R43" s="313">
        <v>43100</v>
      </c>
      <c r="S43" s="313">
        <v>43465</v>
      </c>
      <c r="T43" s="313">
        <v>43830</v>
      </c>
      <c r="U43" s="313">
        <v>44196</v>
      </c>
      <c r="W43" s="398"/>
      <c r="X43" s="398"/>
    </row>
    <row r="44" spans="1:25">
      <c r="A44" s="40" t="s">
        <v>77</v>
      </c>
      <c r="B44" s="56">
        <f>B41</f>
        <v>210000</v>
      </c>
      <c r="C44" s="56">
        <f t="shared" ref="C44:K44" si="27">C41</f>
        <v>210000</v>
      </c>
      <c r="D44" s="56">
        <f t="shared" si="27"/>
        <v>210000</v>
      </c>
      <c r="E44" s="56">
        <f t="shared" si="27"/>
        <v>201075</v>
      </c>
      <c r="F44" s="56">
        <f t="shared" si="27"/>
        <v>179865</v>
      </c>
      <c r="G44" s="56">
        <f t="shared" si="27"/>
        <v>153615</v>
      </c>
      <c r="H44" s="56">
        <f t="shared" si="27"/>
        <v>124425</v>
      </c>
      <c r="I44" s="56">
        <f t="shared" si="27"/>
        <v>91875</v>
      </c>
      <c r="J44" s="56">
        <f t="shared" si="27"/>
        <v>55545</v>
      </c>
      <c r="K44" s="56">
        <f t="shared" si="27"/>
        <v>11340</v>
      </c>
      <c r="L44" s="56">
        <f t="shared" ref="L44:U44" si="28">L41</f>
        <v>0</v>
      </c>
      <c r="M44" s="56">
        <f t="shared" si="28"/>
        <v>0</v>
      </c>
      <c r="N44" s="56">
        <f t="shared" si="28"/>
        <v>0</v>
      </c>
      <c r="O44" s="56">
        <f t="shared" si="28"/>
        <v>0</v>
      </c>
      <c r="P44" s="56">
        <f t="shared" si="28"/>
        <v>0</v>
      </c>
      <c r="Q44" s="56">
        <f t="shared" si="28"/>
        <v>0</v>
      </c>
      <c r="R44" s="56">
        <f t="shared" si="28"/>
        <v>0</v>
      </c>
      <c r="S44" s="56">
        <f t="shared" si="28"/>
        <v>0</v>
      </c>
      <c r="T44" s="56">
        <f t="shared" si="28"/>
        <v>0</v>
      </c>
      <c r="U44" s="56">
        <f t="shared" si="28"/>
        <v>0</v>
      </c>
      <c r="W44" s="398"/>
      <c r="X44" s="398"/>
    </row>
    <row r="45" spans="1:25">
      <c r="A45" s="40" t="s">
        <v>236</v>
      </c>
      <c r="B45" s="493">
        <v>0</v>
      </c>
      <c r="C45" s="493">
        <v>0</v>
      </c>
      <c r="D45" s="493">
        <v>0</v>
      </c>
      <c r="E45" s="493">
        <v>4.2500000000000003E-2</v>
      </c>
      <c r="F45" s="493">
        <v>5.8500000000000003E-2</v>
      </c>
      <c r="G45" s="493">
        <v>6.6500000000000004E-2</v>
      </c>
      <c r="H45" s="493">
        <v>7.2499999999999995E-2</v>
      </c>
      <c r="I45" s="493">
        <v>8.2500000000000004E-2</v>
      </c>
      <c r="J45" s="493">
        <v>9.0499999999999997E-2</v>
      </c>
      <c r="K45" s="493">
        <v>5.3999999999999937E-2</v>
      </c>
      <c r="L45" s="56"/>
      <c r="M45" s="56"/>
      <c r="N45" s="56"/>
      <c r="O45" s="56"/>
      <c r="P45" s="56"/>
      <c r="Q45" s="56"/>
      <c r="R45" s="56"/>
      <c r="S45" s="56"/>
      <c r="T45" s="56"/>
      <c r="U45" s="56"/>
      <c r="W45" s="398"/>
      <c r="X45" s="398"/>
    </row>
    <row r="46" spans="1:25">
      <c r="A46" s="40" t="s">
        <v>78</v>
      </c>
      <c r="B46" s="56">
        <f t="shared" ref="B46:U46" si="29">B45*$B$34</f>
        <v>0</v>
      </c>
      <c r="C46" s="56">
        <f t="shared" si="29"/>
        <v>0</v>
      </c>
      <c r="D46" s="56">
        <f t="shared" si="29"/>
        <v>0</v>
      </c>
      <c r="E46" s="56">
        <f t="shared" si="29"/>
        <v>8925</v>
      </c>
      <c r="F46" s="56">
        <f t="shared" si="29"/>
        <v>12285</v>
      </c>
      <c r="G46" s="56">
        <f t="shared" si="29"/>
        <v>13965</v>
      </c>
      <c r="H46" s="56">
        <f t="shared" si="29"/>
        <v>15224.999999999998</v>
      </c>
      <c r="I46" s="56">
        <f t="shared" si="29"/>
        <v>17325</v>
      </c>
      <c r="J46" s="56">
        <f t="shared" si="29"/>
        <v>19005</v>
      </c>
      <c r="K46" s="56">
        <f t="shared" si="29"/>
        <v>11339.999999999987</v>
      </c>
      <c r="L46" s="56">
        <f t="shared" si="29"/>
        <v>0</v>
      </c>
      <c r="M46" s="56">
        <f t="shared" si="29"/>
        <v>0</v>
      </c>
      <c r="N46" s="56">
        <f t="shared" si="29"/>
        <v>0</v>
      </c>
      <c r="O46" s="56">
        <f t="shared" si="29"/>
        <v>0</v>
      </c>
      <c r="P46" s="56">
        <f t="shared" si="29"/>
        <v>0</v>
      </c>
      <c r="Q46" s="56">
        <f t="shared" si="29"/>
        <v>0</v>
      </c>
      <c r="R46" s="56">
        <f t="shared" si="29"/>
        <v>0</v>
      </c>
      <c r="S46" s="56">
        <f t="shared" si="29"/>
        <v>0</v>
      </c>
      <c r="T46" s="56">
        <f t="shared" si="29"/>
        <v>0</v>
      </c>
      <c r="U46" s="56">
        <f t="shared" si="29"/>
        <v>0</v>
      </c>
      <c r="W46" s="398"/>
      <c r="X46" s="398"/>
    </row>
    <row r="47" spans="1:25">
      <c r="A47" s="40" t="s">
        <v>79</v>
      </c>
      <c r="B47" s="152">
        <f>B44*$J$97*(B43-B36)/365.25</f>
        <v>11636.960985626283</v>
      </c>
      <c r="C47" s="152">
        <f t="shared" ref="C47:K47" si="30">C44*$J$97*(C43-C36)/365.25</f>
        <v>11636.960985626283</v>
      </c>
      <c r="D47" s="152">
        <f t="shared" si="30"/>
        <v>11636.960985626283</v>
      </c>
      <c r="E47" s="152">
        <f t="shared" si="30"/>
        <v>11142.390143737166</v>
      </c>
      <c r="F47" s="152">
        <f t="shared" si="30"/>
        <v>9967.0570841889112</v>
      </c>
      <c r="G47" s="152">
        <f t="shared" si="30"/>
        <v>8512.4369609856258</v>
      </c>
      <c r="H47" s="152">
        <f t="shared" si="30"/>
        <v>6894.899383983573</v>
      </c>
      <c r="I47" s="152">
        <f t="shared" si="30"/>
        <v>5091.1704312114989</v>
      </c>
      <c r="J47" s="152">
        <f t="shared" si="30"/>
        <v>3077.9761806981519</v>
      </c>
      <c r="K47" s="152">
        <f t="shared" si="30"/>
        <v>628.39589322381937</v>
      </c>
      <c r="L47" s="152">
        <f t="shared" ref="L47:U47" si="31">L44*$J$97*(L43-L36)/365.25</f>
        <v>0</v>
      </c>
      <c r="M47" s="152">
        <f t="shared" si="31"/>
        <v>0</v>
      </c>
      <c r="N47" s="152">
        <f t="shared" si="31"/>
        <v>0</v>
      </c>
      <c r="O47" s="152">
        <f t="shared" si="31"/>
        <v>0</v>
      </c>
      <c r="P47" s="152">
        <f t="shared" si="31"/>
        <v>0</v>
      </c>
      <c r="Q47" s="152">
        <f t="shared" si="31"/>
        <v>0</v>
      </c>
      <c r="R47" s="152">
        <f t="shared" si="31"/>
        <v>0</v>
      </c>
      <c r="S47" s="152">
        <f t="shared" si="31"/>
        <v>0</v>
      </c>
      <c r="T47" s="152">
        <f t="shared" si="31"/>
        <v>0</v>
      </c>
      <c r="U47" s="152">
        <f t="shared" si="31"/>
        <v>0</v>
      </c>
      <c r="W47" s="398"/>
      <c r="X47" s="398"/>
    </row>
    <row r="48" spans="1:25">
      <c r="A48" s="40" t="s">
        <v>80</v>
      </c>
      <c r="B48" s="59">
        <f>B44-B46</f>
        <v>210000</v>
      </c>
      <c r="C48" s="59">
        <f t="shared" ref="C48:U48" si="32">C44-C46</f>
        <v>210000</v>
      </c>
      <c r="D48" s="59">
        <f t="shared" si="32"/>
        <v>210000</v>
      </c>
      <c r="E48" s="59">
        <f t="shared" si="32"/>
        <v>192150</v>
      </c>
      <c r="F48" s="59">
        <f t="shared" si="32"/>
        <v>167580</v>
      </c>
      <c r="G48" s="59">
        <f t="shared" si="32"/>
        <v>139650</v>
      </c>
      <c r="H48" s="59">
        <f t="shared" si="32"/>
        <v>109200</v>
      </c>
      <c r="I48" s="59">
        <f t="shared" si="32"/>
        <v>74550</v>
      </c>
      <c r="J48" s="59">
        <f t="shared" si="32"/>
        <v>36540</v>
      </c>
      <c r="K48" s="59">
        <f t="shared" si="32"/>
        <v>0</v>
      </c>
      <c r="L48" s="59">
        <f t="shared" si="32"/>
        <v>0</v>
      </c>
      <c r="M48" s="59">
        <f t="shared" si="32"/>
        <v>0</v>
      </c>
      <c r="N48" s="59">
        <f t="shared" si="32"/>
        <v>0</v>
      </c>
      <c r="O48" s="59">
        <f t="shared" si="32"/>
        <v>0</v>
      </c>
      <c r="P48" s="59">
        <f t="shared" si="32"/>
        <v>0</v>
      </c>
      <c r="Q48" s="59">
        <f t="shared" si="32"/>
        <v>0</v>
      </c>
      <c r="R48" s="59">
        <f t="shared" si="32"/>
        <v>0</v>
      </c>
      <c r="S48" s="59">
        <f t="shared" si="32"/>
        <v>0</v>
      </c>
      <c r="T48" s="59">
        <f t="shared" si="32"/>
        <v>0</v>
      </c>
      <c r="U48" s="59">
        <f t="shared" si="32"/>
        <v>0</v>
      </c>
      <c r="W48" s="398"/>
      <c r="X48" s="398"/>
    </row>
    <row r="49" spans="1:24">
      <c r="A49" s="40"/>
      <c r="B49" s="334"/>
      <c r="C49" s="334"/>
      <c r="D49" s="334"/>
      <c r="E49" s="334"/>
      <c r="F49" s="334"/>
      <c r="G49" s="334"/>
      <c r="H49" s="334"/>
      <c r="I49" s="334"/>
      <c r="J49" s="334"/>
      <c r="K49" s="334"/>
      <c r="L49" s="334"/>
      <c r="M49" s="334"/>
      <c r="N49" s="334"/>
      <c r="O49" s="334"/>
      <c r="P49" s="334"/>
      <c r="Q49" s="334"/>
      <c r="R49" s="334"/>
      <c r="S49" s="334"/>
      <c r="T49" s="334"/>
      <c r="U49" s="334"/>
      <c r="W49" s="398"/>
      <c r="X49" s="398"/>
    </row>
    <row r="50" spans="1:24">
      <c r="A50" s="39" t="s">
        <v>19</v>
      </c>
      <c r="B50" s="6"/>
      <c r="C50" s="332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W50" s="398"/>
      <c r="X50" s="398"/>
    </row>
    <row r="51" spans="1:24">
      <c r="B51" s="313">
        <f>'Summary Output'!$B$19</f>
        <v>36892</v>
      </c>
      <c r="C51" s="313">
        <v>37257</v>
      </c>
      <c r="D51" s="313">
        <v>37622</v>
      </c>
      <c r="E51" s="313">
        <v>37987</v>
      </c>
      <c r="F51" s="313">
        <v>38353</v>
      </c>
      <c r="G51" s="313">
        <v>38718</v>
      </c>
      <c r="H51" s="313">
        <v>39083</v>
      </c>
      <c r="I51" s="313">
        <v>39448</v>
      </c>
      <c r="J51" s="313">
        <v>39814</v>
      </c>
      <c r="K51" s="313">
        <v>40179</v>
      </c>
      <c r="L51" s="313">
        <v>40544</v>
      </c>
      <c r="M51" s="313">
        <v>40909</v>
      </c>
      <c r="N51" s="313">
        <v>41275</v>
      </c>
      <c r="O51" s="313">
        <v>41640</v>
      </c>
      <c r="P51" s="313">
        <v>42005</v>
      </c>
      <c r="Q51" s="313">
        <v>42370</v>
      </c>
      <c r="R51" s="313">
        <v>42736</v>
      </c>
      <c r="S51" s="313">
        <v>43101</v>
      </c>
      <c r="T51" s="313">
        <v>43466</v>
      </c>
      <c r="U51" s="313">
        <v>43831</v>
      </c>
      <c r="W51" s="398"/>
      <c r="X51" s="398"/>
    </row>
    <row r="52" spans="1:24">
      <c r="A52" s="40" t="s">
        <v>77</v>
      </c>
      <c r="B52" s="56">
        <v>0</v>
      </c>
      <c r="C52" s="56">
        <f>B68</f>
        <v>475000</v>
      </c>
      <c r="D52" s="56">
        <f t="shared" ref="D52:U52" si="33">C68</f>
        <v>475000</v>
      </c>
      <c r="E52" s="56">
        <f t="shared" si="33"/>
        <v>475000</v>
      </c>
      <c r="F52" s="56">
        <f t="shared" si="33"/>
        <v>475000</v>
      </c>
      <c r="G52" s="56">
        <f t="shared" si="33"/>
        <v>475000</v>
      </c>
      <c r="H52" s="56">
        <f t="shared" si="33"/>
        <v>475000</v>
      </c>
      <c r="I52" s="56">
        <f t="shared" si="33"/>
        <v>475000</v>
      </c>
      <c r="J52" s="56">
        <f t="shared" si="33"/>
        <v>475000</v>
      </c>
      <c r="K52" s="56">
        <f t="shared" si="33"/>
        <v>475000</v>
      </c>
      <c r="L52" s="56">
        <f t="shared" si="33"/>
        <v>467875</v>
      </c>
      <c r="M52" s="56">
        <f t="shared" si="33"/>
        <v>420375</v>
      </c>
      <c r="N52" s="56">
        <f t="shared" si="33"/>
        <v>372875</v>
      </c>
      <c r="O52" s="56">
        <f t="shared" si="33"/>
        <v>325375</v>
      </c>
      <c r="P52" s="56">
        <f t="shared" si="33"/>
        <v>277875</v>
      </c>
      <c r="Q52" s="56">
        <f t="shared" si="33"/>
        <v>228000</v>
      </c>
      <c r="R52" s="56">
        <f t="shared" si="33"/>
        <v>175750</v>
      </c>
      <c r="S52" s="56">
        <f t="shared" si="33"/>
        <v>123500</v>
      </c>
      <c r="T52" s="56">
        <f t="shared" si="33"/>
        <v>80750</v>
      </c>
      <c r="U52" s="56">
        <f t="shared" si="33"/>
        <v>38000</v>
      </c>
      <c r="W52" s="398"/>
      <c r="X52" s="398"/>
    </row>
    <row r="53" spans="1:24">
      <c r="A53" s="267" t="s">
        <v>79</v>
      </c>
      <c r="B53" s="345">
        <v>0</v>
      </c>
      <c r="C53" s="152">
        <f t="shared" ref="C53:U53" si="34">C52*$O$97*(C51-B63)/365.25</f>
        <v>145.65366187542779</v>
      </c>
      <c r="D53" s="152">
        <f t="shared" si="34"/>
        <v>145.65366187542779</v>
      </c>
      <c r="E53" s="152">
        <f t="shared" si="34"/>
        <v>145.65366187542779</v>
      </c>
      <c r="F53" s="152">
        <f t="shared" si="34"/>
        <v>145.65366187542779</v>
      </c>
      <c r="G53" s="152">
        <f t="shared" si="34"/>
        <v>145.65366187542779</v>
      </c>
      <c r="H53" s="152">
        <f t="shared" si="34"/>
        <v>145.65366187542779</v>
      </c>
      <c r="I53" s="152">
        <f t="shared" si="34"/>
        <v>145.65366187542779</v>
      </c>
      <c r="J53" s="152">
        <f t="shared" si="34"/>
        <v>145.65366187542779</v>
      </c>
      <c r="K53" s="152">
        <f t="shared" si="34"/>
        <v>145.65366187542779</v>
      </c>
      <c r="L53" s="152">
        <f t="shared" si="34"/>
        <v>143.46885694729636</v>
      </c>
      <c r="M53" s="152">
        <f t="shared" si="34"/>
        <v>128.90349075975359</v>
      </c>
      <c r="N53" s="152">
        <f t="shared" si="34"/>
        <v>114.33812457221082</v>
      </c>
      <c r="O53" s="152">
        <f t="shared" si="34"/>
        <v>99.772758384668037</v>
      </c>
      <c r="P53" s="152">
        <f t="shared" si="34"/>
        <v>85.207392197125259</v>
      </c>
      <c r="Q53" s="152">
        <f t="shared" si="34"/>
        <v>69.913757700205338</v>
      </c>
      <c r="R53" s="152">
        <f t="shared" si="34"/>
        <v>53.891854893908281</v>
      </c>
      <c r="S53" s="152">
        <f t="shared" si="34"/>
        <v>37.869952087611225</v>
      </c>
      <c r="T53" s="152">
        <f t="shared" si="34"/>
        <v>24.761122518822724</v>
      </c>
      <c r="U53" s="152">
        <f t="shared" si="34"/>
        <v>11.652292950034223</v>
      </c>
      <c r="W53" s="398"/>
      <c r="X53" s="398"/>
    </row>
    <row r="54" spans="1:24" ht="13.5">
      <c r="A54" s="267" t="s">
        <v>80</v>
      </c>
      <c r="B54" s="120">
        <f>'Summary Output'!D20</f>
        <v>475000</v>
      </c>
      <c r="C54" s="59">
        <f>C52</f>
        <v>475000</v>
      </c>
      <c r="D54" s="59">
        <f t="shared" ref="D54:U54" si="35">D52</f>
        <v>475000</v>
      </c>
      <c r="E54" s="59">
        <f t="shared" si="35"/>
        <v>475000</v>
      </c>
      <c r="F54" s="59">
        <f t="shared" si="35"/>
        <v>475000</v>
      </c>
      <c r="G54" s="59">
        <f t="shared" si="35"/>
        <v>475000</v>
      </c>
      <c r="H54" s="59">
        <f t="shared" si="35"/>
        <v>475000</v>
      </c>
      <c r="I54" s="59">
        <f t="shared" si="35"/>
        <v>475000</v>
      </c>
      <c r="J54" s="59">
        <f t="shared" si="35"/>
        <v>475000</v>
      </c>
      <c r="K54" s="59">
        <f t="shared" si="35"/>
        <v>475000</v>
      </c>
      <c r="L54" s="59">
        <f t="shared" si="35"/>
        <v>467875</v>
      </c>
      <c r="M54" s="59">
        <f t="shared" si="35"/>
        <v>420375</v>
      </c>
      <c r="N54" s="59">
        <f t="shared" si="35"/>
        <v>372875</v>
      </c>
      <c r="O54" s="59">
        <f t="shared" si="35"/>
        <v>325375</v>
      </c>
      <c r="P54" s="59">
        <f t="shared" si="35"/>
        <v>277875</v>
      </c>
      <c r="Q54" s="59">
        <f t="shared" si="35"/>
        <v>228000</v>
      </c>
      <c r="R54" s="59">
        <f t="shared" si="35"/>
        <v>175750</v>
      </c>
      <c r="S54" s="59">
        <f t="shared" si="35"/>
        <v>123500</v>
      </c>
      <c r="T54" s="59">
        <f t="shared" si="35"/>
        <v>80750</v>
      </c>
      <c r="U54" s="59">
        <f t="shared" si="35"/>
        <v>38000</v>
      </c>
      <c r="W54" s="399">
        <f>SUM(B59:U59,B66:U66)</f>
        <v>475000.00000000006</v>
      </c>
      <c r="X54" s="400">
        <f>B54-W54</f>
        <v>0</v>
      </c>
    </row>
    <row r="55" spans="1:24">
      <c r="B55" s="334"/>
      <c r="C55" s="332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W55" s="398"/>
      <c r="X55" s="398"/>
    </row>
    <row r="56" spans="1:24">
      <c r="A56" s="332"/>
      <c r="B56" s="313">
        <v>37072</v>
      </c>
      <c r="C56" s="313">
        <v>37437</v>
      </c>
      <c r="D56" s="313">
        <v>37802</v>
      </c>
      <c r="E56" s="313">
        <v>38168</v>
      </c>
      <c r="F56" s="313">
        <v>38533</v>
      </c>
      <c r="G56" s="313">
        <v>38898</v>
      </c>
      <c r="H56" s="313">
        <v>39263</v>
      </c>
      <c r="I56" s="313">
        <v>39629</v>
      </c>
      <c r="J56" s="313">
        <v>39994</v>
      </c>
      <c r="K56" s="313">
        <v>40359</v>
      </c>
      <c r="L56" s="313">
        <v>40724</v>
      </c>
      <c r="M56" s="313">
        <v>41090</v>
      </c>
      <c r="N56" s="313">
        <v>41455</v>
      </c>
      <c r="O56" s="313">
        <v>41820</v>
      </c>
      <c r="P56" s="313">
        <v>42185</v>
      </c>
      <c r="Q56" s="313">
        <v>42551</v>
      </c>
      <c r="R56" s="313">
        <v>42916</v>
      </c>
      <c r="S56" s="313">
        <v>43281</v>
      </c>
      <c r="T56" s="313">
        <v>43646</v>
      </c>
      <c r="U56" s="313">
        <v>44012</v>
      </c>
      <c r="W56" s="398"/>
      <c r="X56" s="398"/>
    </row>
    <row r="57" spans="1:24">
      <c r="A57" s="267" t="s">
        <v>77</v>
      </c>
      <c r="B57" s="56">
        <f>B54</f>
        <v>475000</v>
      </c>
      <c r="C57" s="56">
        <f>C54</f>
        <v>475000</v>
      </c>
      <c r="D57" s="56">
        <f t="shared" ref="D57:U57" si="36">D54</f>
        <v>475000</v>
      </c>
      <c r="E57" s="56">
        <f t="shared" si="36"/>
        <v>475000</v>
      </c>
      <c r="F57" s="56">
        <f t="shared" si="36"/>
        <v>475000</v>
      </c>
      <c r="G57" s="56">
        <f t="shared" si="36"/>
        <v>475000</v>
      </c>
      <c r="H57" s="56">
        <f t="shared" si="36"/>
        <v>475000</v>
      </c>
      <c r="I57" s="56">
        <f t="shared" si="36"/>
        <v>475000</v>
      </c>
      <c r="J57" s="56">
        <f t="shared" si="36"/>
        <v>475000</v>
      </c>
      <c r="K57" s="56">
        <f t="shared" si="36"/>
        <v>475000</v>
      </c>
      <c r="L57" s="56">
        <f t="shared" si="36"/>
        <v>467875</v>
      </c>
      <c r="M57" s="56">
        <f t="shared" si="36"/>
        <v>420375</v>
      </c>
      <c r="N57" s="56">
        <f t="shared" si="36"/>
        <v>372875</v>
      </c>
      <c r="O57" s="56">
        <f t="shared" si="36"/>
        <v>325375</v>
      </c>
      <c r="P57" s="56">
        <f t="shared" si="36"/>
        <v>277875</v>
      </c>
      <c r="Q57" s="56">
        <f t="shared" si="36"/>
        <v>228000</v>
      </c>
      <c r="R57" s="56">
        <f t="shared" si="36"/>
        <v>175750</v>
      </c>
      <c r="S57" s="56">
        <f t="shared" si="36"/>
        <v>123500</v>
      </c>
      <c r="T57" s="56">
        <f t="shared" si="36"/>
        <v>80750</v>
      </c>
      <c r="U57" s="56">
        <f t="shared" si="36"/>
        <v>38000</v>
      </c>
      <c r="W57" s="398"/>
      <c r="X57" s="398"/>
    </row>
    <row r="58" spans="1:24">
      <c r="A58" s="40" t="s">
        <v>236</v>
      </c>
      <c r="B58" s="493">
        <v>0</v>
      </c>
      <c r="C58" s="493">
        <v>0</v>
      </c>
      <c r="D58" s="493">
        <v>0</v>
      </c>
      <c r="E58" s="493">
        <v>0</v>
      </c>
      <c r="F58" s="493">
        <v>0</v>
      </c>
      <c r="G58" s="493">
        <v>0</v>
      </c>
      <c r="H58" s="493">
        <v>0</v>
      </c>
      <c r="I58" s="493">
        <v>0</v>
      </c>
      <c r="J58" s="493">
        <v>0</v>
      </c>
      <c r="K58" s="493">
        <v>0</v>
      </c>
      <c r="L58" s="493">
        <v>0.05</v>
      </c>
      <c r="M58" s="493">
        <v>0.05</v>
      </c>
      <c r="N58" s="493">
        <v>0.05</v>
      </c>
      <c r="O58" s="493">
        <v>0.05</v>
      </c>
      <c r="P58" s="493">
        <v>5.2499999999999998E-2</v>
      </c>
      <c r="Q58" s="493">
        <v>5.5E-2</v>
      </c>
      <c r="R58" s="493">
        <v>5.5E-2</v>
      </c>
      <c r="S58" s="493">
        <v>4.4999999999999998E-2</v>
      </c>
      <c r="T58" s="493">
        <v>4.4999999999999998E-2</v>
      </c>
      <c r="U58" s="493">
        <v>4.4999999999999998E-2</v>
      </c>
      <c r="W58" s="398"/>
      <c r="X58" s="398"/>
    </row>
    <row r="59" spans="1:24">
      <c r="A59" s="267" t="s">
        <v>78</v>
      </c>
      <c r="B59" s="56">
        <f>$B$54*B58</f>
        <v>0</v>
      </c>
      <c r="C59" s="56">
        <f t="shared" ref="C59:U59" si="37">$B$54*C58</f>
        <v>0</v>
      </c>
      <c r="D59" s="56">
        <f t="shared" si="37"/>
        <v>0</v>
      </c>
      <c r="E59" s="56">
        <f t="shared" si="37"/>
        <v>0</v>
      </c>
      <c r="F59" s="56">
        <f t="shared" si="37"/>
        <v>0</v>
      </c>
      <c r="G59" s="56">
        <f t="shared" si="37"/>
        <v>0</v>
      </c>
      <c r="H59" s="56">
        <f t="shared" si="37"/>
        <v>0</v>
      </c>
      <c r="I59" s="56">
        <f t="shared" si="37"/>
        <v>0</v>
      </c>
      <c r="J59" s="56">
        <f t="shared" si="37"/>
        <v>0</v>
      </c>
      <c r="K59" s="56">
        <f t="shared" si="37"/>
        <v>0</v>
      </c>
      <c r="L59" s="56">
        <f t="shared" si="37"/>
        <v>23750</v>
      </c>
      <c r="M59" s="56">
        <f t="shared" si="37"/>
        <v>23750</v>
      </c>
      <c r="N59" s="56">
        <f t="shared" si="37"/>
        <v>23750</v>
      </c>
      <c r="O59" s="56">
        <f t="shared" si="37"/>
        <v>23750</v>
      </c>
      <c r="P59" s="56">
        <f t="shared" si="37"/>
        <v>24937.5</v>
      </c>
      <c r="Q59" s="56">
        <f t="shared" si="37"/>
        <v>26125</v>
      </c>
      <c r="R59" s="56">
        <f t="shared" si="37"/>
        <v>26125</v>
      </c>
      <c r="S59" s="56">
        <f t="shared" si="37"/>
        <v>21375</v>
      </c>
      <c r="T59" s="56">
        <f t="shared" si="37"/>
        <v>21375</v>
      </c>
      <c r="U59" s="56">
        <f t="shared" si="37"/>
        <v>21375</v>
      </c>
      <c r="W59" s="38"/>
      <c r="X59" s="38"/>
    </row>
    <row r="60" spans="1:24">
      <c r="A60" s="40" t="s">
        <v>79</v>
      </c>
      <c r="B60" s="152">
        <f t="shared" ref="B60:U60" si="38">B57*$O$97*(B56-B51)/365.25</f>
        <v>26217.659137577</v>
      </c>
      <c r="C60" s="152">
        <f t="shared" si="38"/>
        <v>26217.659137577</v>
      </c>
      <c r="D60" s="152">
        <f t="shared" si="38"/>
        <v>26217.659137577</v>
      </c>
      <c r="E60" s="152">
        <f t="shared" si="38"/>
        <v>26363.312799452429</v>
      </c>
      <c r="F60" s="152">
        <f t="shared" si="38"/>
        <v>26217.659137577</v>
      </c>
      <c r="G60" s="152">
        <f t="shared" si="38"/>
        <v>26217.659137577</v>
      </c>
      <c r="H60" s="152">
        <f t="shared" si="38"/>
        <v>26217.659137577</v>
      </c>
      <c r="I60" s="152">
        <f t="shared" si="38"/>
        <v>26363.312799452429</v>
      </c>
      <c r="J60" s="152">
        <f t="shared" si="38"/>
        <v>26217.659137577</v>
      </c>
      <c r="K60" s="152">
        <f t="shared" si="38"/>
        <v>26217.659137577</v>
      </c>
      <c r="L60" s="152">
        <f t="shared" si="38"/>
        <v>25824.394250513345</v>
      </c>
      <c r="M60" s="152">
        <f t="shared" si="38"/>
        <v>23331.531827515399</v>
      </c>
      <c r="N60" s="152">
        <f t="shared" si="38"/>
        <v>20580.862422997947</v>
      </c>
      <c r="O60" s="152">
        <f t="shared" si="38"/>
        <v>17959.096509240248</v>
      </c>
      <c r="P60" s="152">
        <f t="shared" si="38"/>
        <v>15337.330595482546</v>
      </c>
      <c r="Q60" s="152">
        <f t="shared" si="38"/>
        <v>12654.390143737166</v>
      </c>
      <c r="R60" s="152">
        <f t="shared" si="38"/>
        <v>9700.5338809034911</v>
      </c>
      <c r="S60" s="152">
        <f t="shared" si="38"/>
        <v>6816.5913757700209</v>
      </c>
      <c r="T60" s="152">
        <f t="shared" si="38"/>
        <v>4457.0020533880906</v>
      </c>
      <c r="U60" s="152">
        <f t="shared" si="38"/>
        <v>2109.0650239561942</v>
      </c>
      <c r="W60" s="38"/>
      <c r="X60" s="38"/>
    </row>
    <row r="61" spans="1:24">
      <c r="A61" s="40" t="s">
        <v>80</v>
      </c>
      <c r="B61" s="59">
        <f>B57-B59</f>
        <v>475000</v>
      </c>
      <c r="C61" s="59">
        <f t="shared" ref="C61:U61" si="39">C57-C59</f>
        <v>475000</v>
      </c>
      <c r="D61" s="59">
        <f t="shared" si="39"/>
        <v>475000</v>
      </c>
      <c r="E61" s="59">
        <f t="shared" si="39"/>
        <v>475000</v>
      </c>
      <c r="F61" s="59">
        <f t="shared" si="39"/>
        <v>475000</v>
      </c>
      <c r="G61" s="59">
        <f t="shared" si="39"/>
        <v>475000</v>
      </c>
      <c r="H61" s="59">
        <f t="shared" si="39"/>
        <v>475000</v>
      </c>
      <c r="I61" s="59">
        <f t="shared" si="39"/>
        <v>475000</v>
      </c>
      <c r="J61" s="59">
        <f t="shared" si="39"/>
        <v>475000</v>
      </c>
      <c r="K61" s="59">
        <f t="shared" si="39"/>
        <v>475000</v>
      </c>
      <c r="L61" s="59">
        <f t="shared" si="39"/>
        <v>444125</v>
      </c>
      <c r="M61" s="59">
        <f t="shared" si="39"/>
        <v>396625</v>
      </c>
      <c r="N61" s="59">
        <f t="shared" si="39"/>
        <v>349125</v>
      </c>
      <c r="O61" s="59">
        <f t="shared" si="39"/>
        <v>301625</v>
      </c>
      <c r="P61" s="59">
        <f t="shared" si="39"/>
        <v>252937.5</v>
      </c>
      <c r="Q61" s="59">
        <f t="shared" si="39"/>
        <v>201875</v>
      </c>
      <c r="R61" s="59">
        <f t="shared" si="39"/>
        <v>149625</v>
      </c>
      <c r="S61" s="59">
        <f t="shared" si="39"/>
        <v>102125</v>
      </c>
      <c r="T61" s="59">
        <f t="shared" si="39"/>
        <v>59375</v>
      </c>
      <c r="U61" s="59">
        <f t="shared" si="39"/>
        <v>16625</v>
      </c>
      <c r="W61" s="38"/>
      <c r="X61" s="38"/>
    </row>
    <row r="62" spans="1:24">
      <c r="A62" s="40"/>
      <c r="B62" s="153"/>
      <c r="C62" s="153"/>
      <c r="D62" s="153"/>
      <c r="E62" s="153"/>
      <c r="F62" s="153"/>
      <c r="G62" s="153"/>
      <c r="H62" s="153"/>
      <c r="I62" s="153"/>
      <c r="J62" s="153"/>
      <c r="K62" s="153"/>
      <c r="L62" s="153"/>
      <c r="M62" s="153"/>
      <c r="N62" s="153"/>
      <c r="O62" s="153"/>
      <c r="P62" s="153"/>
      <c r="Q62" s="153"/>
      <c r="R62" s="153"/>
      <c r="S62" s="153"/>
      <c r="T62" s="153"/>
      <c r="U62" s="153"/>
      <c r="W62" s="38"/>
      <c r="X62" s="38"/>
    </row>
    <row r="63" spans="1:24">
      <c r="A63" s="44"/>
      <c r="B63" s="313">
        <v>37256</v>
      </c>
      <c r="C63" s="313">
        <v>37621</v>
      </c>
      <c r="D63" s="313">
        <v>37986</v>
      </c>
      <c r="E63" s="313">
        <v>38352</v>
      </c>
      <c r="F63" s="313">
        <v>38717</v>
      </c>
      <c r="G63" s="313">
        <v>39082</v>
      </c>
      <c r="H63" s="313">
        <v>39447</v>
      </c>
      <c r="I63" s="313">
        <v>39813</v>
      </c>
      <c r="J63" s="313">
        <v>40178</v>
      </c>
      <c r="K63" s="313">
        <v>40543</v>
      </c>
      <c r="L63" s="313">
        <v>40908</v>
      </c>
      <c r="M63" s="313">
        <v>41274</v>
      </c>
      <c r="N63" s="313">
        <v>41639</v>
      </c>
      <c r="O63" s="313">
        <v>42004</v>
      </c>
      <c r="P63" s="313">
        <v>42369</v>
      </c>
      <c r="Q63" s="313">
        <v>42735</v>
      </c>
      <c r="R63" s="313">
        <v>43100</v>
      </c>
      <c r="S63" s="313">
        <v>43465</v>
      </c>
      <c r="T63" s="313">
        <v>43830</v>
      </c>
      <c r="U63" s="313">
        <v>44196</v>
      </c>
      <c r="W63" s="38"/>
      <c r="X63" s="38"/>
    </row>
    <row r="64" spans="1:24">
      <c r="A64" s="40" t="s">
        <v>77</v>
      </c>
      <c r="B64" s="56">
        <f>B61</f>
        <v>475000</v>
      </c>
      <c r="C64" s="56">
        <f t="shared" ref="C64:U64" si="40">C61</f>
        <v>475000</v>
      </c>
      <c r="D64" s="56">
        <f t="shared" si="40"/>
        <v>475000</v>
      </c>
      <c r="E64" s="56">
        <f t="shared" si="40"/>
        <v>475000</v>
      </c>
      <c r="F64" s="56">
        <f t="shared" si="40"/>
        <v>475000</v>
      </c>
      <c r="G64" s="56">
        <f t="shared" si="40"/>
        <v>475000</v>
      </c>
      <c r="H64" s="56">
        <f t="shared" si="40"/>
        <v>475000</v>
      </c>
      <c r="I64" s="56">
        <f t="shared" si="40"/>
        <v>475000</v>
      </c>
      <c r="J64" s="56">
        <f t="shared" si="40"/>
        <v>475000</v>
      </c>
      <c r="K64" s="56">
        <f t="shared" si="40"/>
        <v>475000</v>
      </c>
      <c r="L64" s="56">
        <f t="shared" si="40"/>
        <v>444125</v>
      </c>
      <c r="M64" s="56">
        <f t="shared" si="40"/>
        <v>396625</v>
      </c>
      <c r="N64" s="56">
        <f t="shared" si="40"/>
        <v>349125</v>
      </c>
      <c r="O64" s="56">
        <f t="shared" si="40"/>
        <v>301625</v>
      </c>
      <c r="P64" s="56">
        <f t="shared" si="40"/>
        <v>252937.5</v>
      </c>
      <c r="Q64" s="56">
        <f t="shared" si="40"/>
        <v>201875</v>
      </c>
      <c r="R64" s="56">
        <f t="shared" si="40"/>
        <v>149625</v>
      </c>
      <c r="S64" s="56">
        <f t="shared" si="40"/>
        <v>102125</v>
      </c>
      <c r="T64" s="56">
        <f t="shared" si="40"/>
        <v>59375</v>
      </c>
      <c r="U64" s="56">
        <f t="shared" si="40"/>
        <v>16625</v>
      </c>
      <c r="W64" s="38"/>
      <c r="X64" s="38"/>
    </row>
    <row r="65" spans="1:26">
      <c r="A65" s="40" t="s">
        <v>236</v>
      </c>
      <c r="B65" s="493">
        <v>0</v>
      </c>
      <c r="C65" s="493">
        <v>0</v>
      </c>
      <c r="D65" s="493">
        <v>0</v>
      </c>
      <c r="E65" s="493">
        <v>0</v>
      </c>
      <c r="F65" s="493">
        <v>0</v>
      </c>
      <c r="G65" s="493">
        <v>0</v>
      </c>
      <c r="H65" s="493">
        <v>0</v>
      </c>
      <c r="I65" s="493">
        <v>0</v>
      </c>
      <c r="J65" s="493">
        <v>0</v>
      </c>
      <c r="K65" s="493">
        <v>1.4999999999999999E-2</v>
      </c>
      <c r="L65" s="493">
        <v>0.05</v>
      </c>
      <c r="M65" s="493">
        <v>0.05</v>
      </c>
      <c r="N65" s="493">
        <v>0.05</v>
      </c>
      <c r="O65" s="493">
        <v>0.05</v>
      </c>
      <c r="P65" s="493">
        <v>5.2499999999999998E-2</v>
      </c>
      <c r="Q65" s="493">
        <v>5.5E-2</v>
      </c>
      <c r="R65" s="493">
        <v>5.5E-2</v>
      </c>
      <c r="S65" s="493">
        <v>4.4999999999999998E-2</v>
      </c>
      <c r="T65" s="493">
        <v>4.4999999999999998E-2</v>
      </c>
      <c r="U65" s="493">
        <v>3.5000000000000087E-2</v>
      </c>
      <c r="W65" s="398"/>
      <c r="X65" s="398"/>
    </row>
    <row r="66" spans="1:26">
      <c r="A66" s="267" t="s">
        <v>78</v>
      </c>
      <c r="B66" s="56">
        <f>B65*$B$54</f>
        <v>0</v>
      </c>
      <c r="C66" s="56">
        <f t="shared" ref="C66:U66" si="41">C65*$B$54</f>
        <v>0</v>
      </c>
      <c r="D66" s="56">
        <f t="shared" si="41"/>
        <v>0</v>
      </c>
      <c r="E66" s="56">
        <f t="shared" si="41"/>
        <v>0</v>
      </c>
      <c r="F66" s="56">
        <f t="shared" si="41"/>
        <v>0</v>
      </c>
      <c r="G66" s="56">
        <f t="shared" si="41"/>
        <v>0</v>
      </c>
      <c r="H66" s="56">
        <f t="shared" si="41"/>
        <v>0</v>
      </c>
      <c r="I66" s="56">
        <f t="shared" si="41"/>
        <v>0</v>
      </c>
      <c r="J66" s="56">
        <f t="shared" si="41"/>
        <v>0</v>
      </c>
      <c r="K66" s="56">
        <f t="shared" si="41"/>
        <v>7125</v>
      </c>
      <c r="L66" s="56">
        <f t="shared" si="41"/>
        <v>23750</v>
      </c>
      <c r="M66" s="56">
        <f t="shared" si="41"/>
        <v>23750</v>
      </c>
      <c r="N66" s="56">
        <f t="shared" si="41"/>
        <v>23750</v>
      </c>
      <c r="O66" s="56">
        <f t="shared" si="41"/>
        <v>23750</v>
      </c>
      <c r="P66" s="56">
        <f t="shared" si="41"/>
        <v>24937.5</v>
      </c>
      <c r="Q66" s="56">
        <f t="shared" si="41"/>
        <v>26125</v>
      </c>
      <c r="R66" s="56">
        <f t="shared" si="41"/>
        <v>26125</v>
      </c>
      <c r="S66" s="56">
        <f t="shared" si="41"/>
        <v>21375</v>
      </c>
      <c r="T66" s="56">
        <f t="shared" si="41"/>
        <v>21375</v>
      </c>
      <c r="U66" s="56">
        <f t="shared" si="41"/>
        <v>16625.00000000004</v>
      </c>
      <c r="W66" s="38"/>
      <c r="X66" s="38"/>
    </row>
    <row r="67" spans="1:26">
      <c r="A67" s="40" t="s">
        <v>79</v>
      </c>
      <c r="B67" s="152">
        <f>B64*$O$97*(B63-B56)/365.25</f>
        <v>26800.273785078713</v>
      </c>
      <c r="C67" s="152">
        <f t="shared" ref="C67:U67" si="42">C64*$O$97*(C63-C56)/365.25</f>
        <v>26800.273785078713</v>
      </c>
      <c r="D67" s="152">
        <f t="shared" si="42"/>
        <v>26800.273785078713</v>
      </c>
      <c r="E67" s="152">
        <f t="shared" si="42"/>
        <v>26800.273785078713</v>
      </c>
      <c r="F67" s="152">
        <f t="shared" si="42"/>
        <v>26800.273785078713</v>
      </c>
      <c r="G67" s="152">
        <f t="shared" si="42"/>
        <v>26800.273785078713</v>
      </c>
      <c r="H67" s="152">
        <f t="shared" si="42"/>
        <v>26800.273785078713</v>
      </c>
      <c r="I67" s="152">
        <f t="shared" si="42"/>
        <v>26800.273785078713</v>
      </c>
      <c r="J67" s="152">
        <f t="shared" si="42"/>
        <v>26800.273785078713</v>
      </c>
      <c r="K67" s="152">
        <f t="shared" si="42"/>
        <v>26800.273785078713</v>
      </c>
      <c r="L67" s="152">
        <f t="shared" si="42"/>
        <v>25058.255989048597</v>
      </c>
      <c r="M67" s="152">
        <f t="shared" si="42"/>
        <v>22378.228610540726</v>
      </c>
      <c r="N67" s="152">
        <f t="shared" si="42"/>
        <v>19698.201232032854</v>
      </c>
      <c r="O67" s="152">
        <f t="shared" si="42"/>
        <v>17018.173853524982</v>
      </c>
      <c r="P67" s="152">
        <f t="shared" si="42"/>
        <v>14271.145790554414</v>
      </c>
      <c r="Q67" s="152">
        <f t="shared" si="42"/>
        <v>11390.116358658453</v>
      </c>
      <c r="R67" s="152">
        <f t="shared" si="42"/>
        <v>8442.0862422997943</v>
      </c>
      <c r="S67" s="152">
        <f t="shared" si="42"/>
        <v>5762.0588637919236</v>
      </c>
      <c r="T67" s="152">
        <f t="shared" si="42"/>
        <v>3350.0342231348391</v>
      </c>
      <c r="U67" s="152">
        <f t="shared" si="42"/>
        <v>938.00958247775498</v>
      </c>
      <c r="W67" s="38"/>
      <c r="X67" s="38"/>
    </row>
    <row r="68" spans="1:26">
      <c r="A68" s="40" t="s">
        <v>80</v>
      </c>
      <c r="B68" s="59">
        <f>B64-B66</f>
        <v>475000</v>
      </c>
      <c r="C68" s="59">
        <f t="shared" ref="C68:U68" si="43">C64-C66</f>
        <v>475000</v>
      </c>
      <c r="D68" s="59">
        <f t="shared" si="43"/>
        <v>475000</v>
      </c>
      <c r="E68" s="59">
        <f t="shared" si="43"/>
        <v>475000</v>
      </c>
      <c r="F68" s="59">
        <f t="shared" si="43"/>
        <v>475000</v>
      </c>
      <c r="G68" s="59">
        <f t="shared" si="43"/>
        <v>475000</v>
      </c>
      <c r="H68" s="59">
        <f t="shared" si="43"/>
        <v>475000</v>
      </c>
      <c r="I68" s="59">
        <f t="shared" si="43"/>
        <v>475000</v>
      </c>
      <c r="J68" s="59">
        <f t="shared" si="43"/>
        <v>475000</v>
      </c>
      <c r="K68" s="59">
        <f t="shared" si="43"/>
        <v>467875</v>
      </c>
      <c r="L68" s="59">
        <f t="shared" si="43"/>
        <v>420375</v>
      </c>
      <c r="M68" s="59">
        <f t="shared" si="43"/>
        <v>372875</v>
      </c>
      <c r="N68" s="59">
        <f t="shared" si="43"/>
        <v>325375</v>
      </c>
      <c r="O68" s="59">
        <f t="shared" si="43"/>
        <v>277875</v>
      </c>
      <c r="P68" s="59">
        <f t="shared" si="43"/>
        <v>228000</v>
      </c>
      <c r="Q68" s="59">
        <f t="shared" si="43"/>
        <v>175750</v>
      </c>
      <c r="R68" s="59">
        <f t="shared" si="43"/>
        <v>123500</v>
      </c>
      <c r="S68" s="59">
        <f t="shared" si="43"/>
        <v>80750</v>
      </c>
      <c r="T68" s="59">
        <f t="shared" si="43"/>
        <v>38000</v>
      </c>
      <c r="U68" s="59">
        <f t="shared" si="43"/>
        <v>-4.0017766878008842E-11</v>
      </c>
      <c r="W68" s="38"/>
      <c r="X68" s="38"/>
    </row>
    <row r="69" spans="1:26">
      <c r="A69" s="40"/>
      <c r="B69" s="153"/>
      <c r="C69" s="153"/>
      <c r="D69" s="153"/>
      <c r="E69" s="153"/>
      <c r="F69" s="153"/>
      <c r="G69" s="153"/>
      <c r="H69" s="153"/>
      <c r="I69" s="153"/>
      <c r="J69" s="153"/>
      <c r="K69" s="153"/>
      <c r="L69" s="153"/>
      <c r="M69" s="153"/>
      <c r="N69" s="153"/>
      <c r="O69" s="153"/>
      <c r="P69" s="153"/>
      <c r="Q69" s="153"/>
      <c r="R69" s="153"/>
      <c r="S69" s="153"/>
      <c r="T69" s="153"/>
      <c r="U69" s="153"/>
    </row>
    <row r="70" spans="1:26">
      <c r="A70" s="336" t="s">
        <v>218</v>
      </c>
      <c r="B70" s="334"/>
      <c r="C70" s="334"/>
      <c r="D70" s="334"/>
      <c r="E70" s="334"/>
      <c r="F70" s="334"/>
      <c r="G70" s="334"/>
      <c r="H70" s="334"/>
      <c r="I70" s="334"/>
      <c r="J70" s="334"/>
      <c r="K70" s="334"/>
      <c r="L70" s="334"/>
      <c r="M70" s="334"/>
      <c r="N70" s="334"/>
      <c r="O70" s="334"/>
      <c r="P70" s="334"/>
      <c r="Q70" s="334"/>
      <c r="R70" s="334"/>
      <c r="S70" s="334"/>
      <c r="T70" s="334"/>
      <c r="U70" s="334"/>
      <c r="V70" s="41"/>
      <c r="W70" s="41"/>
      <c r="X70" s="41"/>
      <c r="Y70" s="41"/>
      <c r="Z70" s="41"/>
    </row>
    <row r="71" spans="1:26">
      <c r="A71" s="336"/>
      <c r="B71" s="334"/>
      <c r="C71" s="334"/>
      <c r="D71" s="334"/>
      <c r="E71" s="334"/>
      <c r="F71" s="334"/>
      <c r="G71" s="334"/>
      <c r="H71" s="334"/>
      <c r="I71" s="334"/>
      <c r="J71" s="334"/>
      <c r="K71" s="334"/>
      <c r="L71" s="334"/>
      <c r="M71" s="334"/>
      <c r="N71" s="334"/>
      <c r="O71" s="334"/>
      <c r="P71" s="334"/>
      <c r="Q71" s="334"/>
      <c r="R71" s="334"/>
      <c r="S71" s="334"/>
      <c r="T71" s="334"/>
      <c r="U71" s="334"/>
      <c r="V71" s="41"/>
      <c r="W71" s="41"/>
      <c r="X71" s="41"/>
      <c r="Y71" s="41"/>
      <c r="Z71" s="41"/>
    </row>
    <row r="72" spans="1:26">
      <c r="A72" s="40" t="s">
        <v>77</v>
      </c>
      <c r="B72" s="153">
        <f>B54+B34+B14</f>
        <v>735000</v>
      </c>
      <c r="C72" s="153">
        <f>C52+C32+C12</f>
        <v>719500</v>
      </c>
      <c r="D72" s="153">
        <f t="shared" ref="D72:U72" si="44">D52+D32+D12</f>
        <v>702875</v>
      </c>
      <c r="E72" s="153">
        <f t="shared" si="44"/>
        <v>685000</v>
      </c>
      <c r="F72" s="153">
        <f t="shared" si="44"/>
        <v>667150</v>
      </c>
      <c r="G72" s="153">
        <f t="shared" si="44"/>
        <v>642580</v>
      </c>
      <c r="H72" s="153">
        <f t="shared" si="44"/>
        <v>614650</v>
      </c>
      <c r="I72" s="153">
        <f t="shared" si="44"/>
        <v>584200</v>
      </c>
      <c r="J72" s="153">
        <f t="shared" si="44"/>
        <v>549550</v>
      </c>
      <c r="K72" s="153">
        <f t="shared" si="44"/>
        <v>511540</v>
      </c>
      <c r="L72" s="153">
        <f t="shared" si="44"/>
        <v>467875</v>
      </c>
      <c r="M72" s="153">
        <f t="shared" si="44"/>
        <v>420375</v>
      </c>
      <c r="N72" s="153">
        <f t="shared" si="44"/>
        <v>372875</v>
      </c>
      <c r="O72" s="153">
        <f t="shared" si="44"/>
        <v>325375</v>
      </c>
      <c r="P72" s="153">
        <f t="shared" si="44"/>
        <v>277875</v>
      </c>
      <c r="Q72" s="153">
        <f t="shared" si="44"/>
        <v>228000</v>
      </c>
      <c r="R72" s="153">
        <f t="shared" si="44"/>
        <v>175750</v>
      </c>
      <c r="S72" s="153">
        <f t="shared" si="44"/>
        <v>123500</v>
      </c>
      <c r="T72" s="153">
        <f t="shared" si="44"/>
        <v>80750</v>
      </c>
      <c r="U72" s="153">
        <f t="shared" si="44"/>
        <v>38000</v>
      </c>
      <c r="V72" s="41"/>
      <c r="W72" s="41"/>
      <c r="X72" s="41"/>
      <c r="Y72" s="41"/>
      <c r="Z72" s="41"/>
    </row>
    <row r="73" spans="1:26">
      <c r="A73" s="40" t="s">
        <v>80</v>
      </c>
      <c r="B73" s="153">
        <f t="shared" ref="B73:U73" si="45">B68+B48+B28</f>
        <v>719500</v>
      </c>
      <c r="C73" s="153">
        <f t="shared" si="45"/>
        <v>702875</v>
      </c>
      <c r="D73" s="153">
        <f t="shared" si="45"/>
        <v>685000</v>
      </c>
      <c r="E73" s="153">
        <f t="shared" si="45"/>
        <v>667150</v>
      </c>
      <c r="F73" s="153">
        <f t="shared" si="45"/>
        <v>642580</v>
      </c>
      <c r="G73" s="153">
        <f t="shared" si="45"/>
        <v>614650</v>
      </c>
      <c r="H73" s="153">
        <f t="shared" si="45"/>
        <v>584200</v>
      </c>
      <c r="I73" s="153">
        <f t="shared" si="45"/>
        <v>549550</v>
      </c>
      <c r="J73" s="153">
        <f t="shared" si="45"/>
        <v>511540</v>
      </c>
      <c r="K73" s="153">
        <f t="shared" si="45"/>
        <v>467875</v>
      </c>
      <c r="L73" s="153">
        <f t="shared" si="45"/>
        <v>420375</v>
      </c>
      <c r="M73" s="153">
        <f t="shared" si="45"/>
        <v>372875</v>
      </c>
      <c r="N73" s="153">
        <f t="shared" si="45"/>
        <v>325375</v>
      </c>
      <c r="O73" s="153">
        <f t="shared" si="45"/>
        <v>277875</v>
      </c>
      <c r="P73" s="153">
        <f t="shared" si="45"/>
        <v>228000</v>
      </c>
      <c r="Q73" s="153">
        <f t="shared" si="45"/>
        <v>175750</v>
      </c>
      <c r="R73" s="153">
        <f t="shared" si="45"/>
        <v>123500</v>
      </c>
      <c r="S73" s="153">
        <f t="shared" si="45"/>
        <v>80750</v>
      </c>
      <c r="T73" s="153">
        <f t="shared" si="45"/>
        <v>38000</v>
      </c>
      <c r="U73" s="153">
        <f t="shared" si="45"/>
        <v>-4.0017766878008842E-11</v>
      </c>
      <c r="V73" s="41"/>
      <c r="W73" s="41"/>
      <c r="X73" s="41"/>
      <c r="Y73" s="41"/>
      <c r="Z73" s="41"/>
    </row>
    <row r="74" spans="1:26">
      <c r="A74" s="40"/>
      <c r="B74" s="334"/>
      <c r="C74" s="334"/>
      <c r="D74" s="334"/>
      <c r="E74" s="334"/>
      <c r="F74" s="334"/>
      <c r="G74" s="334"/>
      <c r="H74" s="334"/>
      <c r="I74" s="334"/>
      <c r="J74" s="334"/>
      <c r="K74" s="334"/>
      <c r="L74" s="334"/>
      <c r="M74" s="334"/>
      <c r="N74" s="334"/>
      <c r="O74" s="334"/>
      <c r="P74" s="334"/>
      <c r="Q74" s="334"/>
      <c r="R74" s="334"/>
      <c r="S74" s="334"/>
      <c r="T74" s="334"/>
      <c r="U74" s="334"/>
      <c r="V74" s="41"/>
      <c r="W74" s="41"/>
      <c r="X74" s="41"/>
      <c r="Y74" s="41"/>
      <c r="Z74" s="41"/>
    </row>
    <row r="75" spans="1:26">
      <c r="A75" s="40" t="s">
        <v>123</v>
      </c>
      <c r="B75" s="153">
        <f t="shared" ref="B75:U75" si="46">SUM(B66,B59,B46,B39,B26,B19)</f>
        <v>15500</v>
      </c>
      <c r="C75" s="153">
        <f t="shared" si="46"/>
        <v>16625</v>
      </c>
      <c r="D75" s="153">
        <f t="shared" si="46"/>
        <v>17875</v>
      </c>
      <c r="E75" s="153">
        <f t="shared" si="46"/>
        <v>17850</v>
      </c>
      <c r="F75" s="153">
        <f t="shared" si="46"/>
        <v>24570</v>
      </c>
      <c r="G75" s="153">
        <f t="shared" si="46"/>
        <v>27930</v>
      </c>
      <c r="H75" s="153">
        <f t="shared" si="46"/>
        <v>30449.999999999996</v>
      </c>
      <c r="I75" s="153">
        <f t="shared" si="46"/>
        <v>34650</v>
      </c>
      <c r="J75" s="153">
        <f t="shared" si="46"/>
        <v>38010</v>
      </c>
      <c r="K75" s="153">
        <f t="shared" si="46"/>
        <v>43664.999999999985</v>
      </c>
      <c r="L75" s="153">
        <f t="shared" si="46"/>
        <v>47500</v>
      </c>
      <c r="M75" s="153">
        <f t="shared" si="46"/>
        <v>47500</v>
      </c>
      <c r="N75" s="153">
        <f t="shared" si="46"/>
        <v>47500</v>
      </c>
      <c r="O75" s="153">
        <f t="shared" si="46"/>
        <v>47500</v>
      </c>
      <c r="P75" s="153">
        <f t="shared" si="46"/>
        <v>49875</v>
      </c>
      <c r="Q75" s="153">
        <f t="shared" si="46"/>
        <v>52250</v>
      </c>
      <c r="R75" s="153">
        <f t="shared" si="46"/>
        <v>52250</v>
      </c>
      <c r="S75" s="153">
        <f t="shared" si="46"/>
        <v>42750</v>
      </c>
      <c r="T75" s="153">
        <f t="shared" si="46"/>
        <v>42750</v>
      </c>
      <c r="U75" s="153">
        <f t="shared" si="46"/>
        <v>38000.000000000044</v>
      </c>
      <c r="V75" s="41"/>
      <c r="W75" s="41"/>
      <c r="X75" s="41"/>
      <c r="Y75" s="41"/>
      <c r="Z75" s="41"/>
    </row>
    <row r="76" spans="1:26">
      <c r="A76" s="314" t="s">
        <v>66</v>
      </c>
      <c r="B76" s="333">
        <f t="shared" ref="B76:U76" si="47">SUM(B13,B20,B33,B40,B53,B60,B67,B47,B27)</f>
        <v>80195.063655030797</v>
      </c>
      <c r="C76" s="333">
        <f t="shared" si="47"/>
        <v>78991.765229295008</v>
      </c>
      <c r="D76" s="333">
        <f t="shared" si="47"/>
        <v>77294.472108145099</v>
      </c>
      <c r="E76" s="333">
        <f t="shared" si="47"/>
        <v>75962.102669404514</v>
      </c>
      <c r="F76" s="333">
        <f t="shared" si="47"/>
        <v>73604.857221081445</v>
      </c>
      <c r="G76" s="333">
        <f t="shared" si="47"/>
        <v>70810.911430527034</v>
      </c>
      <c r="H76" s="333">
        <f t="shared" si="47"/>
        <v>67670.892539356602</v>
      </c>
      <c r="I76" s="333">
        <f t="shared" si="47"/>
        <v>64385.856262833673</v>
      </c>
      <c r="J76" s="333">
        <f t="shared" si="47"/>
        <v>60305.328678986996</v>
      </c>
      <c r="K76" s="333">
        <f t="shared" si="47"/>
        <v>55783.800136892532</v>
      </c>
      <c r="L76" s="333">
        <f t="shared" si="47"/>
        <v>51026.119096509239</v>
      </c>
      <c r="M76" s="333">
        <f t="shared" si="47"/>
        <v>45838.663928815877</v>
      </c>
      <c r="N76" s="333">
        <f t="shared" si="47"/>
        <v>40393.401779603009</v>
      </c>
      <c r="O76" s="333">
        <f t="shared" si="47"/>
        <v>35077.043121149894</v>
      </c>
      <c r="P76" s="333">
        <f t="shared" si="47"/>
        <v>29693.683778234088</v>
      </c>
      <c r="Q76" s="333">
        <f t="shared" si="47"/>
        <v>24114.420260095823</v>
      </c>
      <c r="R76" s="333">
        <f t="shared" si="47"/>
        <v>18196.511978097195</v>
      </c>
      <c r="S76" s="333">
        <f t="shared" si="47"/>
        <v>12616.520191649557</v>
      </c>
      <c r="T76" s="333">
        <f t="shared" si="47"/>
        <v>7831.7973990417522</v>
      </c>
      <c r="U76" s="333">
        <f t="shared" si="47"/>
        <v>3058.7268993839834</v>
      </c>
      <c r="V76" s="41"/>
      <c r="W76" s="41"/>
      <c r="X76" s="41"/>
      <c r="Y76" s="41"/>
      <c r="Z76" s="41"/>
    </row>
    <row r="77" spans="1:26">
      <c r="A77" s="41" t="s">
        <v>81</v>
      </c>
      <c r="B77" s="41">
        <f t="shared" ref="B77:U77" si="48">SUM(B75:B76)</f>
        <v>95695.063655030797</v>
      </c>
      <c r="C77" s="41">
        <f t="shared" si="48"/>
        <v>95616.765229295008</v>
      </c>
      <c r="D77" s="41">
        <f t="shared" si="48"/>
        <v>95169.472108145099</v>
      </c>
      <c r="E77" s="41">
        <f t="shared" si="48"/>
        <v>93812.102669404514</v>
      </c>
      <c r="F77" s="41">
        <f t="shared" si="48"/>
        <v>98174.857221081445</v>
      </c>
      <c r="G77" s="41">
        <f t="shared" si="48"/>
        <v>98740.911430527034</v>
      </c>
      <c r="H77" s="41">
        <f t="shared" si="48"/>
        <v>98120.892539356602</v>
      </c>
      <c r="I77" s="41">
        <f t="shared" si="48"/>
        <v>99035.856262833666</v>
      </c>
      <c r="J77" s="41">
        <f t="shared" si="48"/>
        <v>98315.328678986989</v>
      </c>
      <c r="K77" s="41">
        <f t="shared" si="48"/>
        <v>99448.800136892518</v>
      </c>
      <c r="L77" s="41">
        <f t="shared" si="48"/>
        <v>98526.119096509239</v>
      </c>
      <c r="M77" s="41">
        <f t="shared" si="48"/>
        <v>93338.663928815877</v>
      </c>
      <c r="N77" s="41">
        <f t="shared" si="48"/>
        <v>87893.401779603009</v>
      </c>
      <c r="O77" s="41">
        <f t="shared" si="48"/>
        <v>82577.043121149894</v>
      </c>
      <c r="P77" s="41">
        <f t="shared" si="48"/>
        <v>79568.683778234088</v>
      </c>
      <c r="Q77" s="41">
        <f t="shared" si="48"/>
        <v>76364.420260095823</v>
      </c>
      <c r="R77" s="41">
        <f t="shared" si="48"/>
        <v>70446.511978097202</v>
      </c>
      <c r="S77" s="41">
        <f t="shared" si="48"/>
        <v>55366.520191649557</v>
      </c>
      <c r="T77" s="41">
        <f t="shared" si="48"/>
        <v>50581.797399041752</v>
      </c>
      <c r="U77" s="41">
        <f t="shared" si="48"/>
        <v>41058.726899384026</v>
      </c>
      <c r="V77" s="41"/>
      <c r="W77" s="41"/>
      <c r="X77" s="41"/>
      <c r="Y77" s="41"/>
      <c r="Z77" s="41"/>
    </row>
    <row r="78" spans="1:26" ht="13.5" thickBo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ht="13.5" thickBot="1">
      <c r="A79" s="337" t="s">
        <v>124</v>
      </c>
      <c r="B79" s="341">
        <f>IF(B77&gt;0.1,B8/B77," ")</f>
        <v>1.292260190600415</v>
      </c>
      <c r="C79" s="341">
        <f>IF(C77&gt;0.1,C8/C77," ")</f>
        <v>1.2872148355848649</v>
      </c>
      <c r="D79" s="341">
        <f>IF(D77&gt;0.1,D8/D77," ")</f>
        <v>1.2879154352603932</v>
      </c>
      <c r="E79" s="342">
        <f>IF(E77&gt;0.1,E8/E77," ")</f>
        <v>2.2271971085038849</v>
      </c>
      <c r="F79" s="342">
        <f t="shared" ref="F79:U79" si="49">IF(F77&gt;0.1,F8/F77," ")</f>
        <v>2.2396308766476722</v>
      </c>
      <c r="G79" s="342">
        <f t="shared" si="49"/>
        <v>2.258987261692567</v>
      </c>
      <c r="H79" s="342">
        <f t="shared" si="49"/>
        <v>2.30670385182033</v>
      </c>
      <c r="I79" s="342">
        <f t="shared" si="49"/>
        <v>2.3196405321719493</v>
      </c>
      <c r="J79" s="342">
        <f t="shared" si="49"/>
        <v>2.3729210021294165</v>
      </c>
      <c r="K79" s="342">
        <f t="shared" si="49"/>
        <v>2.3732123649561103</v>
      </c>
      <c r="L79" s="342">
        <f t="shared" si="49"/>
        <v>2.4403004433888764</v>
      </c>
      <c r="M79" s="342">
        <f t="shared" si="49"/>
        <v>2.6261063450034015</v>
      </c>
      <c r="N79" s="342">
        <f t="shared" si="49"/>
        <v>2.8371975141381403</v>
      </c>
      <c r="O79" s="342">
        <f t="shared" si="49"/>
        <v>3.0733848439612976</v>
      </c>
      <c r="P79" s="342">
        <f t="shared" si="49"/>
        <v>3.239832092427898</v>
      </c>
      <c r="Q79" s="342">
        <f t="shared" si="49"/>
        <v>3.4301833606839693</v>
      </c>
      <c r="R79" s="342">
        <f t="shared" si="49"/>
        <v>3.7694395908405935</v>
      </c>
      <c r="S79" s="342">
        <f t="shared" si="49"/>
        <v>4.8618857068635242</v>
      </c>
      <c r="T79" s="342">
        <f t="shared" si="49"/>
        <v>5.3946232302116925</v>
      </c>
      <c r="U79" s="343">
        <f t="shared" si="49"/>
        <v>6.7368306060388594</v>
      </c>
      <c r="V79" s="42"/>
      <c r="W79" s="42"/>
      <c r="X79" s="42"/>
      <c r="Y79" s="42"/>
      <c r="Z79" s="42"/>
    </row>
    <row r="80" spans="1:26">
      <c r="A80" s="43"/>
      <c r="B80" s="315"/>
      <c r="C80" s="316"/>
      <c r="D80" s="316"/>
      <c r="E80" s="316"/>
      <c r="F80" s="316"/>
      <c r="G80" s="316"/>
      <c r="H80" s="316"/>
      <c r="I80" s="316"/>
      <c r="J80" s="316"/>
      <c r="K80" s="316"/>
      <c r="L80" s="316"/>
      <c r="M80" s="316"/>
      <c r="N80" s="316"/>
      <c r="O80" s="316"/>
      <c r="P80" s="316"/>
      <c r="Q80" s="316"/>
      <c r="R80" s="316"/>
      <c r="S80" s="316"/>
      <c r="T80" s="316"/>
      <c r="U80" s="316"/>
      <c r="V80" s="42"/>
      <c r="W80" s="42"/>
      <c r="X80" s="42"/>
      <c r="Y80" s="42"/>
      <c r="Z80" s="42"/>
    </row>
    <row r="81" spans="1:26">
      <c r="A81" s="43"/>
      <c r="B81" s="317"/>
      <c r="C81" s="317"/>
      <c r="D81" s="317"/>
      <c r="E81" s="317"/>
      <c r="F81" s="317"/>
      <c r="G81" s="317"/>
      <c r="H81" s="317"/>
      <c r="I81" s="317"/>
      <c r="J81" s="317"/>
      <c r="K81" s="317"/>
      <c r="L81" s="317"/>
      <c r="M81" s="317"/>
      <c r="N81" s="317"/>
      <c r="O81" s="317"/>
      <c r="P81" s="317"/>
      <c r="Q81" s="317"/>
      <c r="R81" s="317"/>
      <c r="S81" s="317"/>
      <c r="T81" s="317"/>
      <c r="U81" s="317"/>
      <c r="V81" s="42"/>
      <c r="W81" s="42"/>
      <c r="X81" s="42"/>
      <c r="Y81" s="42"/>
      <c r="Z81" s="42"/>
    </row>
    <row r="82" spans="1:26">
      <c r="A82" s="43"/>
      <c r="B82" s="610" t="s">
        <v>0</v>
      </c>
      <c r="C82" s="611"/>
      <c r="D82" s="611"/>
      <c r="E82" s="611"/>
      <c r="F82" s="611"/>
      <c r="G82" s="612"/>
      <c r="H82" s="317"/>
      <c r="I82" s="317"/>
      <c r="J82" s="317"/>
      <c r="K82" s="317"/>
      <c r="L82" s="317"/>
      <c r="M82" s="317"/>
      <c r="N82" s="317"/>
      <c r="O82" s="317"/>
      <c r="P82" s="317"/>
      <c r="Q82" s="317"/>
      <c r="R82" s="317"/>
      <c r="S82" s="317"/>
      <c r="T82" s="317"/>
      <c r="U82" s="317"/>
      <c r="V82" s="42"/>
      <c r="W82" s="42"/>
      <c r="X82" s="42"/>
      <c r="Y82" s="42"/>
      <c r="Z82" s="42"/>
    </row>
    <row r="83" spans="1:26">
      <c r="A83" s="43"/>
      <c r="B83" s="312" t="s">
        <v>144</v>
      </c>
      <c r="C83" s="348"/>
      <c r="D83" s="349"/>
      <c r="E83" s="312" t="s">
        <v>258</v>
      </c>
      <c r="F83" s="348"/>
      <c r="G83" s="349"/>
      <c r="H83" s="317"/>
      <c r="I83" s="317"/>
      <c r="J83" s="317"/>
      <c r="K83" s="317"/>
      <c r="L83" s="317"/>
      <c r="M83" s="317"/>
      <c r="N83" s="317"/>
      <c r="O83" s="317"/>
      <c r="P83" s="317"/>
      <c r="Q83" s="317"/>
      <c r="R83" s="317"/>
      <c r="S83" s="317"/>
      <c r="T83" s="317"/>
      <c r="U83" s="317"/>
      <c r="V83" s="42"/>
      <c r="W83" s="42"/>
      <c r="X83" s="42"/>
      <c r="Y83" s="42"/>
      <c r="Z83" s="42"/>
    </row>
    <row r="84" spans="1:26">
      <c r="A84" s="43"/>
      <c r="B84" s="350" t="s">
        <v>129</v>
      </c>
      <c r="C84" s="32"/>
      <c r="D84" s="351">
        <f>MIN(B79:D79)</f>
        <v>1.2872148355848649</v>
      </c>
      <c r="E84" s="350" t="s">
        <v>129</v>
      </c>
      <c r="F84" s="32"/>
      <c r="G84" s="351">
        <f>MIN(E79:U79)</f>
        <v>2.2271971085038849</v>
      </c>
      <c r="H84" s="317"/>
      <c r="I84" s="317"/>
      <c r="J84" s="317"/>
      <c r="K84" s="317"/>
      <c r="L84" s="317"/>
      <c r="M84" s="317"/>
      <c r="N84" s="317"/>
      <c r="O84" s="317"/>
      <c r="P84" s="317"/>
      <c r="Q84" s="317"/>
      <c r="R84" s="317"/>
      <c r="S84" s="317"/>
      <c r="T84" s="317"/>
      <c r="U84" s="317"/>
      <c r="V84" s="42"/>
      <c r="W84" s="42"/>
      <c r="X84" s="42"/>
      <c r="Y84" s="42"/>
      <c r="Z84" s="42"/>
    </row>
    <row r="85" spans="1:26">
      <c r="A85" s="43"/>
      <c r="B85" s="352" t="s">
        <v>128</v>
      </c>
      <c r="C85" s="353"/>
      <c r="D85" s="354">
        <f>AVERAGE(B79:D79)</f>
        <v>1.2891301538152244</v>
      </c>
      <c r="E85" s="352" t="s">
        <v>128</v>
      </c>
      <c r="F85" s="353"/>
      <c r="G85" s="354">
        <f>AVERAGE(E79:U79)</f>
        <v>3.2063574547929519</v>
      </c>
      <c r="H85" s="317"/>
      <c r="I85" s="317"/>
      <c r="J85" s="317"/>
      <c r="K85" s="317"/>
      <c r="L85" s="317"/>
      <c r="M85" s="317"/>
      <c r="N85" s="317"/>
      <c r="O85" s="317"/>
      <c r="P85" s="317"/>
      <c r="Q85" s="317"/>
      <c r="R85" s="317"/>
      <c r="S85" s="317"/>
      <c r="T85" s="317"/>
      <c r="U85" s="317"/>
      <c r="V85" s="42"/>
      <c r="W85" s="42"/>
      <c r="X85" s="42"/>
      <c r="Y85" s="42"/>
      <c r="Z85" s="42"/>
    </row>
    <row r="86" spans="1:26">
      <c r="A86" s="43"/>
      <c r="F86" s="317"/>
      <c r="G86" s="317"/>
      <c r="H86" s="317"/>
      <c r="I86" s="317"/>
      <c r="J86" s="317"/>
      <c r="K86" s="317"/>
      <c r="L86" s="317"/>
      <c r="M86" s="317"/>
      <c r="N86" s="317"/>
      <c r="O86" s="317"/>
      <c r="P86" s="317"/>
      <c r="Q86" s="317"/>
      <c r="R86" s="317"/>
      <c r="S86" s="317"/>
      <c r="T86" s="317"/>
      <c r="U86" s="317"/>
      <c r="V86" s="42"/>
      <c r="W86" s="42"/>
      <c r="X86" s="42"/>
      <c r="Y86" s="42"/>
      <c r="Z86" s="42"/>
    </row>
    <row r="87" spans="1:26">
      <c r="A87" s="43"/>
      <c r="F87" s="317"/>
      <c r="G87" s="317"/>
      <c r="H87" s="317"/>
      <c r="I87" s="317"/>
      <c r="J87" s="317"/>
      <c r="K87" s="317"/>
      <c r="L87" s="317"/>
      <c r="M87" s="317"/>
      <c r="N87" s="317"/>
      <c r="O87" s="317"/>
      <c r="P87" s="317"/>
      <c r="Q87" s="317"/>
      <c r="R87" s="317"/>
      <c r="S87" s="317"/>
      <c r="T87" s="317"/>
      <c r="U87" s="317"/>
      <c r="V87" s="42"/>
      <c r="W87" s="42"/>
      <c r="X87" s="42"/>
      <c r="Y87" s="42"/>
      <c r="Z87" s="42"/>
    </row>
    <row r="88" spans="1:26">
      <c r="A88" s="43"/>
      <c r="F88" s="317"/>
      <c r="G88" s="317"/>
      <c r="H88" s="317"/>
      <c r="I88" s="317"/>
      <c r="J88" s="317"/>
      <c r="K88" s="317"/>
      <c r="L88" s="317"/>
      <c r="M88" s="317"/>
      <c r="N88" s="317"/>
      <c r="O88" s="317"/>
      <c r="P88" s="317"/>
      <c r="Q88" s="317"/>
      <c r="R88" s="317"/>
      <c r="S88" s="317"/>
      <c r="T88" s="317"/>
      <c r="U88" s="317"/>
      <c r="V88" s="42"/>
      <c r="W88" s="42"/>
      <c r="X88" s="42"/>
      <c r="Y88" s="42"/>
      <c r="Z88" s="42"/>
    </row>
    <row r="89" spans="1:26">
      <c r="A89" s="43"/>
      <c r="B89" s="48"/>
      <c r="C89" s="17"/>
      <c r="D89" s="17"/>
      <c r="E89" s="248"/>
      <c r="F89" s="317"/>
      <c r="G89" s="317"/>
      <c r="H89" s="317"/>
      <c r="I89" s="317"/>
      <c r="J89" s="317"/>
      <c r="K89" s="317"/>
      <c r="L89" s="317"/>
      <c r="M89" s="317"/>
      <c r="N89" s="317"/>
      <c r="O89" s="317"/>
      <c r="P89" s="317"/>
      <c r="Q89" s="317"/>
      <c r="R89" s="317"/>
      <c r="S89" s="317"/>
      <c r="T89" s="317"/>
      <c r="U89" s="317"/>
      <c r="V89" s="42"/>
      <c r="W89" s="42"/>
      <c r="X89" s="42"/>
      <c r="Y89" s="42"/>
      <c r="Z89" s="42"/>
    </row>
    <row r="90" spans="1:26">
      <c r="A90" s="43"/>
      <c r="B90" s="48"/>
      <c r="C90" s="17"/>
      <c r="D90" s="17"/>
      <c r="E90" s="248"/>
      <c r="F90" s="317"/>
      <c r="G90" s="317"/>
      <c r="H90" s="317"/>
      <c r="I90" s="317"/>
      <c r="J90" s="317"/>
      <c r="K90" s="317"/>
      <c r="L90" s="317"/>
      <c r="M90" s="317"/>
      <c r="N90" s="317"/>
      <c r="O90" s="317"/>
      <c r="P90" s="317"/>
      <c r="Q90" s="317"/>
      <c r="R90" s="317"/>
      <c r="S90" s="317"/>
      <c r="T90" s="317"/>
      <c r="U90" s="317"/>
      <c r="V90" s="42"/>
      <c r="W90" s="42"/>
      <c r="X90" s="42"/>
      <c r="Y90" s="42"/>
      <c r="Z90" s="42"/>
    </row>
    <row r="91" spans="1:26">
      <c r="A91" s="43" t="s">
        <v>145</v>
      </c>
      <c r="B91" s="338">
        <f t="shared" ref="B91:U91" si="50">SUM(B13,B20,B27,B33,B40,B47,B53,B60,B67)</f>
        <v>80195.063655030797</v>
      </c>
      <c r="C91" s="338">
        <f t="shared" si="50"/>
        <v>78991.765229294993</v>
      </c>
      <c r="D91" s="338">
        <f t="shared" si="50"/>
        <v>77294.472108145099</v>
      </c>
      <c r="E91" s="338">
        <f t="shared" si="50"/>
        <v>75962.102669404514</v>
      </c>
      <c r="F91" s="338">
        <f t="shared" si="50"/>
        <v>73604.857221081445</v>
      </c>
      <c r="G91" s="338">
        <f t="shared" si="50"/>
        <v>70810.911430527034</v>
      </c>
      <c r="H91" s="338">
        <f t="shared" si="50"/>
        <v>67670.892539356602</v>
      </c>
      <c r="I91" s="338">
        <f t="shared" si="50"/>
        <v>64385.85626283368</v>
      </c>
      <c r="J91" s="338">
        <f t="shared" si="50"/>
        <v>60305.328678986989</v>
      </c>
      <c r="K91" s="338">
        <f t="shared" si="50"/>
        <v>55783.800136892532</v>
      </c>
      <c r="L91" s="338">
        <f t="shared" si="50"/>
        <v>51026.119096509239</v>
      </c>
      <c r="M91" s="338">
        <f t="shared" si="50"/>
        <v>45838.663928815877</v>
      </c>
      <c r="N91" s="338">
        <f t="shared" si="50"/>
        <v>40393.401779603009</v>
      </c>
      <c r="O91" s="338">
        <f t="shared" si="50"/>
        <v>35077.043121149894</v>
      </c>
      <c r="P91" s="338">
        <f t="shared" si="50"/>
        <v>29693.683778234088</v>
      </c>
      <c r="Q91" s="338">
        <f t="shared" si="50"/>
        <v>24114.420260095823</v>
      </c>
      <c r="R91" s="338">
        <f t="shared" si="50"/>
        <v>18196.511978097195</v>
      </c>
      <c r="S91" s="338">
        <f t="shared" si="50"/>
        <v>12616.520191649557</v>
      </c>
      <c r="T91" s="338">
        <f t="shared" si="50"/>
        <v>7831.7973990417522</v>
      </c>
      <c r="U91" s="338">
        <f t="shared" si="50"/>
        <v>3058.7268993839834</v>
      </c>
      <c r="V91" s="42"/>
      <c r="W91" s="42"/>
      <c r="X91" s="42"/>
      <c r="Y91" s="42"/>
      <c r="Z91" s="42"/>
    </row>
    <row r="92" spans="1:26">
      <c r="A92" s="43"/>
      <c r="B92" s="48"/>
      <c r="C92" s="17"/>
      <c r="D92" s="17"/>
      <c r="E92" s="248"/>
      <c r="F92" s="317"/>
      <c r="G92" s="317"/>
      <c r="H92" s="317"/>
      <c r="I92" s="317"/>
      <c r="J92" s="317"/>
      <c r="K92" s="317"/>
      <c r="L92" s="317"/>
      <c r="M92" s="317"/>
      <c r="N92" s="317"/>
      <c r="O92" s="317"/>
      <c r="P92" s="317"/>
      <c r="Q92" s="317"/>
      <c r="R92" s="317"/>
      <c r="S92" s="317"/>
      <c r="T92" s="317"/>
      <c r="U92" s="317"/>
      <c r="V92" s="42"/>
      <c r="W92" s="42"/>
      <c r="X92" s="42"/>
      <c r="Y92" s="42"/>
      <c r="Z92" s="42"/>
    </row>
    <row r="93" spans="1:26">
      <c r="A93" s="43"/>
      <c r="B93" s="48"/>
      <c r="C93" s="17"/>
      <c r="D93" s="17"/>
      <c r="E93" s="248"/>
      <c r="F93" s="317"/>
      <c r="G93" s="317"/>
      <c r="H93" s="317"/>
      <c r="I93" s="317"/>
      <c r="J93" s="317"/>
      <c r="K93" s="317"/>
      <c r="L93" s="317"/>
      <c r="M93" s="317"/>
      <c r="N93" s="317"/>
      <c r="O93" s="317"/>
      <c r="P93" s="317"/>
      <c r="Q93" s="317"/>
      <c r="R93" s="317"/>
      <c r="S93" s="317"/>
      <c r="T93" s="317"/>
      <c r="U93" s="317"/>
      <c r="V93" s="42"/>
      <c r="W93" s="42"/>
      <c r="X93" s="42"/>
      <c r="Y93" s="42"/>
      <c r="Z93" s="42"/>
    </row>
    <row r="94" spans="1:26">
      <c r="B94" s="607" t="s">
        <v>17</v>
      </c>
      <c r="C94" s="608"/>
      <c r="D94" s="608"/>
      <c r="E94" s="609"/>
      <c r="F94" s="42"/>
      <c r="G94" s="607" t="s">
        <v>18</v>
      </c>
      <c r="H94" s="608"/>
      <c r="I94" s="608"/>
      <c r="J94" s="609"/>
      <c r="K94" s="42"/>
      <c r="L94" s="607" t="s">
        <v>19</v>
      </c>
      <c r="M94" s="608"/>
      <c r="N94" s="608"/>
      <c r="O94" s="609"/>
      <c r="P94" s="44"/>
      <c r="Q94" s="44"/>
      <c r="R94" s="44"/>
      <c r="S94" s="42"/>
      <c r="T94" s="42"/>
      <c r="U94" s="42"/>
      <c r="V94" s="42"/>
      <c r="W94" s="42"/>
      <c r="X94" s="42"/>
      <c r="Y94" s="42"/>
      <c r="Z94" s="42"/>
    </row>
    <row r="95" spans="1:26">
      <c r="B95" s="318" t="s">
        <v>125</v>
      </c>
      <c r="C95" s="49"/>
      <c r="D95" s="49"/>
      <c r="E95" s="319">
        <f>'Summary Output'!B25</f>
        <v>6.8000000000000005E-2</v>
      </c>
      <c r="F95" s="43"/>
      <c r="G95" s="318" t="s">
        <v>125</v>
      </c>
      <c r="H95" s="49"/>
      <c r="I95" s="49"/>
      <c r="J95" s="319">
        <f>'Summary Output'!C25</f>
        <v>6.5000000000000002E-2</v>
      </c>
      <c r="K95" s="43"/>
      <c r="L95" s="318" t="s">
        <v>125</v>
      </c>
      <c r="M95" s="49"/>
      <c r="N95" s="49"/>
      <c r="O95" s="319">
        <f>'Summary Output'!D25</f>
        <v>6.2E-2</v>
      </c>
      <c r="P95" s="44"/>
      <c r="Q95" s="44"/>
      <c r="R95" s="44"/>
      <c r="S95" s="42"/>
      <c r="T95" s="42"/>
      <c r="U95" s="42"/>
      <c r="V95" s="42"/>
      <c r="W95" s="42"/>
      <c r="X95" s="42"/>
      <c r="Y95" s="42"/>
      <c r="Z95" s="42"/>
    </row>
    <row r="96" spans="1:26">
      <c r="B96" s="47" t="s">
        <v>25</v>
      </c>
      <c r="C96" s="17"/>
      <c r="D96" s="17"/>
      <c r="E96" s="320">
        <f>'Summary Output'!B26</f>
        <v>2.2499999999999999E-2</v>
      </c>
      <c r="G96" s="47" t="s">
        <v>25</v>
      </c>
      <c r="H96" s="17"/>
      <c r="I96" s="17"/>
      <c r="J96" s="320">
        <f>'Summary Output'!C26</f>
        <v>4.4999999999999998E-2</v>
      </c>
      <c r="L96" s="47" t="s">
        <v>25</v>
      </c>
      <c r="M96" s="17"/>
      <c r="N96" s="17"/>
      <c r="O96" s="320">
        <f>'Summary Output'!D26</f>
        <v>0.05</v>
      </c>
    </row>
    <row r="97" spans="1:30">
      <c r="A97" s="40"/>
      <c r="B97" s="321" t="s">
        <v>26</v>
      </c>
      <c r="C97" s="50"/>
      <c r="D97" s="50"/>
      <c r="E97" s="322">
        <f>E96+E95</f>
        <v>9.0499999999999997E-2</v>
      </c>
      <c r="G97" s="321" t="s">
        <v>26</v>
      </c>
      <c r="H97" s="50"/>
      <c r="I97" s="50"/>
      <c r="J97" s="322">
        <f>J96+J95</f>
        <v>0.11</v>
      </c>
      <c r="L97" s="321" t="s">
        <v>26</v>
      </c>
      <c r="M97" s="50"/>
      <c r="N97" s="50"/>
      <c r="O97" s="322">
        <f>O96+O95</f>
        <v>0.112</v>
      </c>
    </row>
    <row r="98" spans="1:30">
      <c r="B98" s="323" t="s">
        <v>126</v>
      </c>
      <c r="C98" s="49"/>
      <c r="D98" s="49"/>
      <c r="E98" s="324">
        <f>('Summary Output'!B22-'Summary Output'!$B$19)/365.25</f>
        <v>2.9952087611225187</v>
      </c>
      <c r="G98" s="323" t="s">
        <v>126</v>
      </c>
      <c r="H98" s="49"/>
      <c r="I98" s="49"/>
      <c r="J98" s="324">
        <f>('Summary Output'!C22-'Summary Output'!$B$19)/365.25</f>
        <v>9.9958932238193015</v>
      </c>
      <c r="L98" s="323" t="s">
        <v>126</v>
      </c>
      <c r="M98" s="49"/>
      <c r="N98" s="49"/>
      <c r="O98" s="324">
        <f>('Summary Output'!D22-'Summary Output'!$B$19)/365.25</f>
        <v>19.997262149212869</v>
      </c>
    </row>
    <row r="99" spans="1:30">
      <c r="B99" s="325" t="s">
        <v>127</v>
      </c>
      <c r="C99" s="17"/>
      <c r="D99" s="17"/>
      <c r="E99" s="326">
        <f>B109</f>
        <v>1.7562149212867901</v>
      </c>
      <c r="G99" s="325" t="s">
        <v>127</v>
      </c>
      <c r="H99" s="17"/>
      <c r="I99" s="17"/>
      <c r="J99" s="326">
        <f>B110</f>
        <v>7.1548336755646815</v>
      </c>
      <c r="L99" s="325" t="s">
        <v>127</v>
      </c>
      <c r="M99" s="17"/>
      <c r="N99" s="17"/>
      <c r="O99" s="326">
        <f>B111</f>
        <v>15.030609171800139</v>
      </c>
    </row>
    <row r="100" spans="1:30">
      <c r="B100" s="321" t="s">
        <v>76</v>
      </c>
      <c r="C100" s="50"/>
      <c r="D100" s="50"/>
      <c r="E100" s="327">
        <f>B14</f>
        <v>50000</v>
      </c>
      <c r="G100" s="321" t="s">
        <v>76</v>
      </c>
      <c r="H100" s="50"/>
      <c r="I100" s="50"/>
      <c r="J100" s="327">
        <f>B34</f>
        <v>210000</v>
      </c>
      <c r="L100" s="321" t="s">
        <v>76</v>
      </c>
      <c r="M100" s="50"/>
      <c r="N100" s="50"/>
      <c r="O100" s="327">
        <f>B54</f>
        <v>475000</v>
      </c>
    </row>
    <row r="101" spans="1:30">
      <c r="B101" s="40"/>
    </row>
    <row r="102" spans="1:30">
      <c r="B102" s="40"/>
    </row>
    <row r="103" spans="1:30" ht="13.5" thickBo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</row>
    <row r="105" spans="1:30">
      <c r="A105" s="15" t="s">
        <v>130</v>
      </c>
      <c r="B105" s="149">
        <f>(B16-$B$11)/365.25</f>
        <v>0.49281314168377821</v>
      </c>
      <c r="C105" s="149">
        <f t="shared" ref="C105:U105" si="51">(C16-$B$11)/365.25</f>
        <v>1.4921286789869952</v>
      </c>
      <c r="D105" s="149">
        <f t="shared" si="51"/>
        <v>2.4914442162902124</v>
      </c>
      <c r="E105" s="149">
        <f t="shared" si="51"/>
        <v>3.4934976043805612</v>
      </c>
      <c r="F105" s="149">
        <f t="shared" si="51"/>
        <v>4.4928131416837784</v>
      </c>
      <c r="G105" s="149">
        <f t="shared" si="51"/>
        <v>5.4921286789869956</v>
      </c>
      <c r="H105" s="149">
        <f t="shared" si="51"/>
        <v>6.491444216290212</v>
      </c>
      <c r="I105" s="149">
        <f t="shared" si="51"/>
        <v>7.4934976043805612</v>
      </c>
      <c r="J105" s="149">
        <f t="shared" si="51"/>
        <v>8.4928131416837775</v>
      </c>
      <c r="K105" s="149">
        <f t="shared" si="51"/>
        <v>9.4921286789869956</v>
      </c>
      <c r="L105" s="149">
        <f t="shared" si="51"/>
        <v>10.491444216290212</v>
      </c>
      <c r="M105" s="149">
        <f t="shared" si="51"/>
        <v>11.493497604380561</v>
      </c>
      <c r="N105" s="149">
        <f t="shared" si="51"/>
        <v>12.492813141683778</v>
      </c>
      <c r="O105" s="149">
        <f t="shared" si="51"/>
        <v>13.492128678986996</v>
      </c>
      <c r="P105" s="149">
        <f t="shared" si="51"/>
        <v>14.491444216290212</v>
      </c>
      <c r="Q105" s="149">
        <f t="shared" si="51"/>
        <v>15.493497604380561</v>
      </c>
      <c r="R105" s="149">
        <f t="shared" si="51"/>
        <v>16.492813141683779</v>
      </c>
      <c r="S105" s="149">
        <f t="shared" si="51"/>
        <v>17.492128678986994</v>
      </c>
      <c r="T105" s="149">
        <f t="shared" si="51"/>
        <v>18.491444216290212</v>
      </c>
      <c r="U105" s="149">
        <f t="shared" si="51"/>
        <v>19.493497604380561</v>
      </c>
      <c r="V105" s="328"/>
      <c r="W105" s="328"/>
      <c r="X105" s="328"/>
      <c r="Y105" s="328"/>
      <c r="Z105" s="328"/>
      <c r="AA105" s="328"/>
      <c r="AB105" s="328"/>
      <c r="AC105" s="328"/>
      <c r="AD105" s="328"/>
    </row>
    <row r="106" spans="1:30">
      <c r="B106" s="149">
        <f>(B23-$B$11)/365.25</f>
        <v>0.99657768651608492</v>
      </c>
      <c r="C106" s="149">
        <f t="shared" ref="C106:U106" si="52">(C23-$B$11)/365.25</f>
        <v>1.9958932238193019</v>
      </c>
      <c r="D106" s="149">
        <f t="shared" si="52"/>
        <v>2.9952087611225187</v>
      </c>
      <c r="E106" s="149">
        <f t="shared" si="52"/>
        <v>3.9972621492128679</v>
      </c>
      <c r="F106" s="149">
        <f t="shared" si="52"/>
        <v>4.9965776865160851</v>
      </c>
      <c r="G106" s="149">
        <f t="shared" si="52"/>
        <v>5.9958932238193015</v>
      </c>
      <c r="H106" s="149">
        <f t="shared" si="52"/>
        <v>6.9952087611225187</v>
      </c>
      <c r="I106" s="149">
        <f t="shared" si="52"/>
        <v>7.9972621492128679</v>
      </c>
      <c r="J106" s="149">
        <f t="shared" si="52"/>
        <v>8.9965776865160851</v>
      </c>
      <c r="K106" s="149">
        <f t="shared" si="52"/>
        <v>9.9958932238193015</v>
      </c>
      <c r="L106" s="149">
        <f t="shared" si="52"/>
        <v>10.99520876112252</v>
      </c>
      <c r="M106" s="149">
        <f t="shared" si="52"/>
        <v>11.997262149212867</v>
      </c>
      <c r="N106" s="149">
        <f t="shared" si="52"/>
        <v>12.996577686516085</v>
      </c>
      <c r="O106" s="149">
        <f t="shared" si="52"/>
        <v>13.995893223819301</v>
      </c>
      <c r="P106" s="149">
        <f t="shared" si="52"/>
        <v>14.99520876112252</v>
      </c>
      <c r="Q106" s="149">
        <f t="shared" si="52"/>
        <v>15.997262149212867</v>
      </c>
      <c r="R106" s="149">
        <f t="shared" si="52"/>
        <v>16.996577686516083</v>
      </c>
      <c r="S106" s="149">
        <f t="shared" si="52"/>
        <v>17.995893223819301</v>
      </c>
      <c r="T106" s="149">
        <f t="shared" si="52"/>
        <v>18.99520876112252</v>
      </c>
      <c r="U106" s="149">
        <f t="shared" si="52"/>
        <v>19.997262149212869</v>
      </c>
      <c r="V106" s="149"/>
      <c r="W106" s="149"/>
      <c r="X106" s="149"/>
      <c r="Y106" s="149"/>
      <c r="Z106" s="149"/>
      <c r="AA106" s="149"/>
      <c r="AB106" s="40"/>
      <c r="AC106" s="40"/>
    </row>
    <row r="107" spans="1:30">
      <c r="B107" s="149"/>
      <c r="C107" s="149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  <c r="P107" s="149"/>
      <c r="Q107" s="149"/>
      <c r="R107" s="149"/>
      <c r="S107" s="149"/>
      <c r="T107" s="149"/>
      <c r="U107" s="149"/>
      <c r="V107" s="149"/>
      <c r="W107" s="149"/>
      <c r="X107" s="149"/>
      <c r="Y107" s="149"/>
      <c r="Z107" s="149"/>
      <c r="AA107" s="149"/>
      <c r="AB107" s="40"/>
      <c r="AC107" s="40"/>
    </row>
    <row r="108" spans="1:30">
      <c r="A108" s="15" t="s">
        <v>98</v>
      </c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</row>
    <row r="109" spans="1:30">
      <c r="A109" s="16" t="s">
        <v>17</v>
      </c>
      <c r="B109" s="307">
        <f>(SUMPRODUCT($B$105:$U$105,B19:U19)+SUMPRODUCT($B$106:$U$106,B26:U26))/E100</f>
        <v>1.7562149212867901</v>
      </c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</row>
    <row r="110" spans="1:30">
      <c r="A110" s="16" t="s">
        <v>18</v>
      </c>
      <c r="B110" s="307">
        <f>(SUMPRODUCT($B$105:$U$105,B39:U39)+SUMPRODUCT($B$106:$U$106,B46:U46))/J100</f>
        <v>7.1548336755646815</v>
      </c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</row>
    <row r="111" spans="1:30">
      <c r="A111" s="16" t="s">
        <v>19</v>
      </c>
      <c r="B111" s="307">
        <f>(SUMPRODUCT($B$105:$U$105,B59:U59)+SUMPRODUCT($B$106:$U$106,B66:U66))/O100</f>
        <v>15.030609171800139</v>
      </c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</row>
    <row r="112" spans="1:30" ht="13.5" thickBo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</row>
    <row r="113" spans="1:2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</row>
  </sheetData>
  <mergeCells count="4">
    <mergeCell ref="B94:E94"/>
    <mergeCell ref="G94:J94"/>
    <mergeCell ref="L94:O94"/>
    <mergeCell ref="B82:G82"/>
  </mergeCells>
  <pageMargins left="0.75" right="0.75" top="1" bottom="1" header="0.5" footer="0.5"/>
  <pageSetup scale="37" orientation="landscape" r:id="rId1"/>
  <headerFooter alignWithMargins="0">
    <oddHeader>&amp;L&amp;12Enron's Generation&amp;RCONFIDENTIAL</oddHeader>
    <oddFooter>&amp;L&amp;D&amp;C&amp;F&amp;RPage &amp;P</oddFooter>
  </headerFooter>
  <rowBreaks count="1" manualBreakCount="1">
    <brk id="89" max="31" man="1"/>
  </rowBreaks>
  <colBreaks count="1" manualBreakCount="1">
    <brk id="11" max="8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2:BC44"/>
  <sheetViews>
    <sheetView zoomScale="75" zoomScaleNormal="75" workbookViewId="0"/>
  </sheetViews>
  <sheetFormatPr defaultRowHeight="12.75" outlineLevelRow="1"/>
  <cols>
    <col min="1" max="1" width="39.5703125" style="16" customWidth="1"/>
    <col min="2" max="2" width="12" style="16" bestFit="1" customWidth="1"/>
    <col min="3" max="5" width="11.140625" style="16" customWidth="1"/>
    <col min="6" max="7" width="12" style="16" customWidth="1"/>
    <col min="8" max="8" width="12.7109375" style="16" customWidth="1"/>
    <col min="9" max="9" width="12.5703125" style="16" customWidth="1"/>
    <col min="10" max="10" width="12.7109375" style="16" customWidth="1"/>
    <col min="11" max="13" width="11.28515625" style="16" customWidth="1"/>
    <col min="14" max="14" width="11.85546875" style="16" customWidth="1"/>
    <col min="15" max="15" width="11.140625" style="16" customWidth="1"/>
    <col min="16" max="16" width="11.85546875" style="16" customWidth="1"/>
    <col min="17" max="17" width="11.140625" style="16" customWidth="1"/>
    <col min="18" max="18" width="11.5703125" style="16" customWidth="1"/>
    <col min="19" max="19" width="11.28515625" style="16" customWidth="1"/>
    <col min="20" max="21" width="11.5703125" style="16" customWidth="1"/>
    <col min="22" max="22" width="12.5703125" style="16" customWidth="1"/>
    <col min="23" max="23" width="12.7109375" style="7" customWidth="1"/>
    <col min="24" max="24" width="12.28515625" style="7" customWidth="1"/>
    <col min="25" max="25" width="13.85546875" style="7" bestFit="1" customWidth="1"/>
    <col min="26" max="27" width="9.85546875" style="16" customWidth="1"/>
    <col min="28" max="28" width="9.140625" style="16"/>
    <col min="29" max="29" width="9.42578125" style="16" customWidth="1"/>
    <col min="30" max="30" width="9.85546875" style="16" customWidth="1"/>
    <col min="31" max="31" width="9.140625" style="16"/>
    <col min="32" max="32" width="9.42578125" style="16" customWidth="1"/>
    <col min="33" max="34" width="9.85546875" style="16" customWidth="1"/>
    <col min="35" max="36" width="9.140625" style="16"/>
    <col min="37" max="38" width="9.85546875" style="16" customWidth="1"/>
    <col min="39" max="80" width="9.140625" style="16"/>
    <col min="81" max="82" width="9.85546875" style="16" customWidth="1"/>
    <col min="83" max="16384" width="9.140625" style="16"/>
  </cols>
  <sheetData>
    <row r="2" spans="1:55" ht="18.75">
      <c r="A2" s="52" t="s">
        <v>102</v>
      </c>
      <c r="B2" s="52"/>
    </row>
    <row r="5" spans="1:55" ht="18.75">
      <c r="A5" s="150" t="s">
        <v>153</v>
      </c>
      <c r="B5" s="150"/>
    </row>
    <row r="6" spans="1:55">
      <c r="W6" s="151"/>
      <c r="X6" s="151"/>
    </row>
    <row r="7" spans="1:55" ht="13.5" outlineLevel="1" thickBot="1">
      <c r="A7" s="194" t="s">
        <v>56</v>
      </c>
      <c r="B7" s="309" t="s">
        <v>121</v>
      </c>
      <c r="C7" s="8">
        <v>2001</v>
      </c>
      <c r="D7" s="8">
        <f t="shared" ref="D7:V7" si="0">C7+1</f>
        <v>2002</v>
      </c>
      <c r="E7" s="8">
        <f t="shared" si="0"/>
        <v>2003</v>
      </c>
      <c r="F7" s="8">
        <f>E7+1</f>
        <v>2004</v>
      </c>
      <c r="G7" s="8">
        <f t="shared" si="0"/>
        <v>2005</v>
      </c>
      <c r="H7" s="8">
        <f t="shared" si="0"/>
        <v>2006</v>
      </c>
      <c r="I7" s="8">
        <f t="shared" si="0"/>
        <v>2007</v>
      </c>
      <c r="J7" s="8">
        <f t="shared" si="0"/>
        <v>2008</v>
      </c>
      <c r="K7" s="8">
        <f t="shared" si="0"/>
        <v>2009</v>
      </c>
      <c r="L7" s="8">
        <f>K7+1</f>
        <v>2010</v>
      </c>
      <c r="M7" s="8">
        <f t="shared" si="0"/>
        <v>2011</v>
      </c>
      <c r="N7" s="8">
        <f t="shared" si="0"/>
        <v>2012</v>
      </c>
      <c r="O7" s="8">
        <f t="shared" si="0"/>
        <v>2013</v>
      </c>
      <c r="P7" s="8">
        <f t="shared" si="0"/>
        <v>2014</v>
      </c>
      <c r="Q7" s="8">
        <f t="shared" si="0"/>
        <v>2015</v>
      </c>
      <c r="R7" s="8">
        <f t="shared" si="0"/>
        <v>2016</v>
      </c>
      <c r="S7" s="8">
        <f t="shared" si="0"/>
        <v>2017</v>
      </c>
      <c r="T7" s="8">
        <f t="shared" si="0"/>
        <v>2018</v>
      </c>
      <c r="U7" s="8">
        <f t="shared" si="0"/>
        <v>2019</v>
      </c>
      <c r="V7" s="8">
        <f t="shared" si="0"/>
        <v>2020</v>
      </c>
      <c r="W7" s="270" t="s">
        <v>20</v>
      </c>
      <c r="X7" s="613" t="s">
        <v>161</v>
      </c>
      <c r="Y7" s="613"/>
    </row>
    <row r="8" spans="1:55" outlineLevel="1">
      <c r="A8" s="226"/>
      <c r="B8" s="259">
        <f>'Summary Output'!B32</f>
        <v>36892</v>
      </c>
      <c r="C8" s="259">
        <v>37256</v>
      </c>
      <c r="D8" s="259">
        <v>37621</v>
      </c>
      <c r="E8" s="259">
        <v>37986</v>
      </c>
      <c r="F8" s="259">
        <v>38352</v>
      </c>
      <c r="G8" s="259">
        <v>38717</v>
      </c>
      <c r="H8" s="259">
        <v>39082</v>
      </c>
      <c r="I8" s="259">
        <v>39447</v>
      </c>
      <c r="J8" s="259">
        <v>39813</v>
      </c>
      <c r="K8" s="259">
        <v>40178</v>
      </c>
      <c r="L8" s="259">
        <v>40543</v>
      </c>
      <c r="M8" s="259">
        <v>40908</v>
      </c>
      <c r="N8" s="259">
        <v>41274</v>
      </c>
      <c r="O8" s="259">
        <v>41639</v>
      </c>
      <c r="P8" s="259">
        <v>42004</v>
      </c>
      <c r="Q8" s="259">
        <v>42369</v>
      </c>
      <c r="R8" s="259">
        <v>42735</v>
      </c>
      <c r="S8" s="259">
        <v>43100</v>
      </c>
      <c r="T8" s="259">
        <v>43465</v>
      </c>
      <c r="U8" s="259">
        <v>43830</v>
      </c>
      <c r="V8" s="259">
        <v>44196</v>
      </c>
      <c r="W8" s="271"/>
      <c r="X8" s="406"/>
      <c r="Y8" s="405"/>
    </row>
    <row r="9" spans="1:55" outlineLevel="1">
      <c r="A9" s="2"/>
      <c r="B9" s="2"/>
      <c r="C9" s="9"/>
      <c r="D9" s="9"/>
      <c r="E9" s="9"/>
      <c r="F9" s="9"/>
      <c r="G9" s="268"/>
      <c r="H9" s="268"/>
      <c r="I9" s="269"/>
      <c r="J9" s="269"/>
      <c r="K9" s="268"/>
      <c r="L9" s="268"/>
      <c r="M9" s="9"/>
      <c r="N9" s="9"/>
      <c r="O9" s="9"/>
      <c r="P9" s="9"/>
      <c r="Q9" s="9"/>
      <c r="R9" s="9"/>
      <c r="S9" s="9"/>
      <c r="T9" s="9"/>
      <c r="U9" s="9"/>
      <c r="V9" s="9"/>
      <c r="W9" s="271"/>
      <c r="X9" s="406"/>
      <c r="Y9" s="405"/>
    </row>
    <row r="10" spans="1:55">
      <c r="A10" s="12" t="s">
        <v>246</v>
      </c>
      <c r="B10" s="19">
        <v>0</v>
      </c>
      <c r="C10" s="19">
        <f>IS!B33-IS!B13</f>
        <v>123662.92119836893</v>
      </c>
      <c r="D10" s="19">
        <f>IS!C33-IS!C13</f>
        <v>123079.3187337836</v>
      </c>
      <c r="E10" s="19">
        <f>IS!D33-IS!D13</f>
        <v>122570.23209366355</v>
      </c>
      <c r="F10" s="19">
        <f>IS!E33</f>
        <v>208938.0438079673</v>
      </c>
      <c r="G10" s="19">
        <f>IS!F33</f>
        <v>219875.44154281067</v>
      </c>
      <c r="H10" s="19">
        <f>IS!G33</f>
        <v>223054.46112947454</v>
      </c>
      <c r="I10" s="19">
        <f>IS!H33</f>
        <v>226335.84076458254</v>
      </c>
      <c r="J10" s="19">
        <f>IS!I33</f>
        <v>229727.58632562414</v>
      </c>
      <c r="K10" s="19">
        <f>IS!J33</f>
        <v>233294.50825362475</v>
      </c>
      <c r="L10" s="19">
        <f>IS!K33</f>
        <v>236013.12216492224</v>
      </c>
      <c r="M10" s="19">
        <f>IS!L33</f>
        <v>240433.33211659675</v>
      </c>
      <c r="N10" s="19">
        <f>IS!M33</f>
        <v>245117.25757760351</v>
      </c>
      <c r="O10" s="19">
        <f>IS!N33</f>
        <v>249370.94103823445</v>
      </c>
      <c r="P10" s="19">
        <f>IS!O33</f>
        <v>253791.0327876806</v>
      </c>
      <c r="Q10" s="19">
        <f>IS!P33</f>
        <v>257789.1752569699</v>
      </c>
      <c r="R10" s="19">
        <f>IS!Q33</f>
        <v>261943.96372445847</v>
      </c>
      <c r="S10" s="19">
        <f>IS!R33</f>
        <v>265543.87128686567</v>
      </c>
      <c r="T10" s="19">
        <f>IS!S33</f>
        <v>269185.6931585517</v>
      </c>
      <c r="U10" s="19">
        <f>IS!T33</f>
        <v>272869.73927473201</v>
      </c>
      <c r="V10" s="19">
        <f>IS!U33</f>
        <v>276605.6880207613</v>
      </c>
      <c r="W10" s="272">
        <f>SUM(C10:V10)</f>
        <v>4539202.1702572769</v>
      </c>
      <c r="X10" s="407">
        <f>SUM(Caledonia!W55,'New Albany'!W55,Wheatland!W55,Wilton!W55,Brownsville!W55,Gleason!W55)</f>
        <v>4539202.1702572769</v>
      </c>
      <c r="Y10" s="408">
        <f>W10-X10</f>
        <v>0</v>
      </c>
    </row>
    <row r="11" spans="1:55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59"/>
      <c r="X11" s="405"/>
      <c r="Y11" s="405"/>
    </row>
    <row r="12" spans="1:55" s="7" customFormat="1" ht="12" customHeight="1">
      <c r="A12" s="13" t="s">
        <v>169</v>
      </c>
      <c r="B12" s="22">
        <v>0</v>
      </c>
      <c r="C12" s="67">
        <f>IS!B28</f>
        <v>2138.7599999999998</v>
      </c>
      <c r="D12" s="67">
        <f>IS!C28</f>
        <v>2485.4070000000002</v>
      </c>
      <c r="E12" s="67">
        <f>IS!D28</f>
        <v>2675.4930000000004</v>
      </c>
      <c r="F12" s="67">
        <f>IS!E28</f>
        <v>2752.7350000000001</v>
      </c>
      <c r="G12" s="67">
        <f>IS!F28</f>
        <v>2800.4010000000003</v>
      </c>
      <c r="H12" s="67">
        <f>IS!G28</f>
        <v>3000.837</v>
      </c>
      <c r="I12" s="67">
        <f>IS!H28</f>
        <v>3133.239</v>
      </c>
      <c r="J12" s="67">
        <f>IS!I28</f>
        <v>3204.1120000000001</v>
      </c>
      <c r="K12" s="67">
        <f>IS!J28</f>
        <v>3150.1800000000003</v>
      </c>
      <c r="L12" s="67">
        <f>IS!K28</f>
        <v>3985.1379999999999</v>
      </c>
      <c r="M12" s="67">
        <f>IS!L28</f>
        <v>3774.3130000000001</v>
      </c>
      <c r="N12" s="67">
        <f>IS!M28</f>
        <v>3371.88</v>
      </c>
      <c r="O12" s="67">
        <f>IS!N28</f>
        <v>3464.7</v>
      </c>
      <c r="P12" s="67">
        <f>IS!O28</f>
        <v>3464.7</v>
      </c>
      <c r="Q12" s="67">
        <f>IS!P28</f>
        <v>3953.498301179623</v>
      </c>
      <c r="R12" s="67">
        <f>IS!Q28</f>
        <v>3397.5323122032155</v>
      </c>
      <c r="S12" s="67">
        <f>IS!R28</f>
        <v>3421.1349584472796</v>
      </c>
      <c r="T12" s="67">
        <f>IS!S28</f>
        <v>3445.2096576162253</v>
      </c>
      <c r="U12" s="67">
        <f>IS!T28</f>
        <v>3469.7658507685501</v>
      </c>
      <c r="V12" s="67">
        <f>IS!U28</f>
        <v>3485.5551622965972</v>
      </c>
      <c r="W12" s="272">
        <f>SUM(C12:V12)</f>
        <v>64574.591242511466</v>
      </c>
      <c r="X12" s="407">
        <f>SUM(IS!B28:U28)</f>
        <v>64574.591242511466</v>
      </c>
      <c r="Y12" s="408">
        <f>W12-X12</f>
        <v>0</v>
      </c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</row>
    <row r="13" spans="1:55" s="7" customFormat="1">
      <c r="A13" s="13" t="s">
        <v>170</v>
      </c>
      <c r="B13" s="22">
        <v>0</v>
      </c>
      <c r="C13" s="67">
        <f>SUM(Brownsville!B57,Caledonia!B57,'New Albany'!B57,Gleason!B57,Wheatland!B57,Wilton!B57)</f>
        <v>-1959.1981014</v>
      </c>
      <c r="D13" s="67">
        <f>-C12</f>
        <v>-2138.7599999999998</v>
      </c>
      <c r="E13" s="67">
        <f t="shared" ref="E13:V13" si="1">-D12</f>
        <v>-2485.4070000000002</v>
      </c>
      <c r="F13" s="67">
        <f t="shared" si="1"/>
        <v>-2675.4930000000004</v>
      </c>
      <c r="G13" s="67">
        <f t="shared" si="1"/>
        <v>-2752.7350000000001</v>
      </c>
      <c r="H13" s="67">
        <f t="shared" si="1"/>
        <v>-2800.4010000000003</v>
      </c>
      <c r="I13" s="67">
        <f t="shared" si="1"/>
        <v>-3000.837</v>
      </c>
      <c r="J13" s="67">
        <f t="shared" si="1"/>
        <v>-3133.239</v>
      </c>
      <c r="K13" s="67">
        <f t="shared" si="1"/>
        <v>-3204.1120000000001</v>
      </c>
      <c r="L13" s="67">
        <f t="shared" si="1"/>
        <v>-3150.1800000000003</v>
      </c>
      <c r="M13" s="67">
        <f t="shared" si="1"/>
        <v>-3985.1379999999999</v>
      </c>
      <c r="N13" s="67">
        <f t="shared" si="1"/>
        <v>-3774.3130000000001</v>
      </c>
      <c r="O13" s="67">
        <f t="shared" si="1"/>
        <v>-3371.88</v>
      </c>
      <c r="P13" s="67">
        <f t="shared" si="1"/>
        <v>-3464.7</v>
      </c>
      <c r="Q13" s="67">
        <f t="shared" si="1"/>
        <v>-3464.7</v>
      </c>
      <c r="R13" s="67">
        <f t="shared" si="1"/>
        <v>-3953.498301179623</v>
      </c>
      <c r="S13" s="67">
        <f t="shared" si="1"/>
        <v>-3397.5323122032155</v>
      </c>
      <c r="T13" s="67">
        <f t="shared" si="1"/>
        <v>-3421.1349584472796</v>
      </c>
      <c r="U13" s="67">
        <f t="shared" si="1"/>
        <v>-3445.2096576162253</v>
      </c>
      <c r="V13" s="67">
        <f t="shared" si="1"/>
        <v>-3469.7658507685501</v>
      </c>
      <c r="W13" s="272">
        <f>SUM(C13:V13)</f>
        <v>-63048.234181614876</v>
      </c>
      <c r="X13" s="407">
        <f>SUM(Caledonia!W57,'New Albany'!W57,Wheatland!W57,Wilton!W57,Brownsville!W57,Gleason!W57)</f>
        <v>-63048.234181614891</v>
      </c>
      <c r="Y13" s="408">
        <f>W13-X13</f>
        <v>0</v>
      </c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</row>
    <row r="14" spans="1:55">
      <c r="A14" s="13" t="s">
        <v>97</v>
      </c>
      <c r="B14" s="22">
        <v>0</v>
      </c>
      <c r="C14" s="22">
        <f>-Debt!B75</f>
        <v>-15500</v>
      </c>
      <c r="D14" s="22">
        <f>-Debt!C75</f>
        <v>-16625</v>
      </c>
      <c r="E14" s="22">
        <f>-Debt!D75</f>
        <v>-17875</v>
      </c>
      <c r="F14" s="22">
        <f>-Debt!E75</f>
        <v>-17850</v>
      </c>
      <c r="G14" s="22">
        <f>-Debt!F75</f>
        <v>-24570</v>
      </c>
      <c r="H14" s="22">
        <f>-Debt!G75</f>
        <v>-27930</v>
      </c>
      <c r="I14" s="22">
        <f>-Debt!H75</f>
        <v>-30449.999999999996</v>
      </c>
      <c r="J14" s="22">
        <f>-Debt!I75</f>
        <v>-34650</v>
      </c>
      <c r="K14" s="22">
        <f>-Debt!J75</f>
        <v>-38010</v>
      </c>
      <c r="L14" s="22">
        <f>-Debt!K75</f>
        <v>-43664.999999999985</v>
      </c>
      <c r="M14" s="22">
        <f>-Debt!L75</f>
        <v>-47500</v>
      </c>
      <c r="N14" s="22">
        <f>-Debt!M75</f>
        <v>-47500</v>
      </c>
      <c r="O14" s="22">
        <f>-Debt!N75</f>
        <v>-47500</v>
      </c>
      <c r="P14" s="22">
        <f>-Debt!O75</f>
        <v>-47500</v>
      </c>
      <c r="Q14" s="22">
        <f>-Debt!P75</f>
        <v>-49875</v>
      </c>
      <c r="R14" s="22">
        <f>-Debt!Q75</f>
        <v>-52250</v>
      </c>
      <c r="S14" s="22">
        <f>-Debt!R75</f>
        <v>-52250</v>
      </c>
      <c r="T14" s="22">
        <f>-Debt!S75</f>
        <v>-42750</v>
      </c>
      <c r="U14" s="22">
        <f>-Debt!T75</f>
        <v>-42750</v>
      </c>
      <c r="V14" s="22">
        <f>-Debt!U75</f>
        <v>-38000.000000000044</v>
      </c>
      <c r="W14" s="272">
        <f>SUM(C14:V14)</f>
        <v>-735000</v>
      </c>
      <c r="X14" s="407">
        <f>SUM(Debt!B75:U75)</f>
        <v>735000</v>
      </c>
      <c r="Y14" s="408">
        <f>W14+X14</f>
        <v>0</v>
      </c>
    </row>
    <row r="15" spans="1:55">
      <c r="A15" s="13" t="s">
        <v>96</v>
      </c>
      <c r="B15" s="331">
        <v>0</v>
      </c>
      <c r="C15" s="331">
        <f>-Debt!B76</f>
        <v>-80195.063655030797</v>
      </c>
      <c r="D15" s="331">
        <f>-Debt!C76</f>
        <v>-78991.765229295008</v>
      </c>
      <c r="E15" s="331">
        <f>-Debt!D76</f>
        <v>-77294.472108145099</v>
      </c>
      <c r="F15" s="331">
        <f>-Debt!E76</f>
        <v>-75962.102669404514</v>
      </c>
      <c r="G15" s="331">
        <f>-Debt!F76</f>
        <v>-73604.857221081445</v>
      </c>
      <c r="H15" s="331">
        <f>-Debt!G76</f>
        <v>-70810.911430527034</v>
      </c>
      <c r="I15" s="331">
        <f>-Debt!H76</f>
        <v>-67670.892539356602</v>
      </c>
      <c r="J15" s="331">
        <f>-Debt!I76</f>
        <v>-64385.856262833673</v>
      </c>
      <c r="K15" s="331">
        <f>-Debt!J76</f>
        <v>-60305.328678986996</v>
      </c>
      <c r="L15" s="331">
        <f>-Debt!K76</f>
        <v>-55783.800136892532</v>
      </c>
      <c r="M15" s="331">
        <f>-Debt!L76</f>
        <v>-51026.119096509239</v>
      </c>
      <c r="N15" s="331">
        <f>-Debt!M76</f>
        <v>-45838.663928815877</v>
      </c>
      <c r="O15" s="331">
        <f>-Debt!N76</f>
        <v>-40393.401779603009</v>
      </c>
      <c r="P15" s="331">
        <f>-Debt!O76</f>
        <v>-35077.043121149894</v>
      </c>
      <c r="Q15" s="331">
        <f>-Debt!P76</f>
        <v>-29693.683778234088</v>
      </c>
      <c r="R15" s="331">
        <f>-Debt!Q76</f>
        <v>-24114.420260095823</v>
      </c>
      <c r="S15" s="331">
        <f>-Debt!R76</f>
        <v>-18196.511978097195</v>
      </c>
      <c r="T15" s="331">
        <f>-Debt!S76</f>
        <v>-12616.520191649557</v>
      </c>
      <c r="U15" s="331">
        <f>-Debt!T76</f>
        <v>-7831.7973990417522</v>
      </c>
      <c r="V15" s="331">
        <f>-Debt!U76</f>
        <v>-3058.7268993839834</v>
      </c>
      <c r="W15" s="274">
        <f>SUM(C15:V15)</f>
        <v>-972851.93836413382</v>
      </c>
      <c r="X15" s="407">
        <f>SUM(Debt!B76:U76)</f>
        <v>972851.93836413382</v>
      </c>
      <c r="Y15" s="408">
        <f>W15+X15</f>
        <v>0</v>
      </c>
    </row>
    <row r="16" spans="1:55">
      <c r="A16" s="13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56"/>
      <c r="X16" s="407"/>
      <c r="Y16" s="44"/>
    </row>
    <row r="17" spans="1:27">
      <c r="A17" s="12" t="s">
        <v>253</v>
      </c>
      <c r="B17" s="33">
        <f>SUM(B10:B15)</f>
        <v>0</v>
      </c>
      <c r="C17" s="33">
        <f>SUM(C10:C15)</f>
        <v>28147.419441938124</v>
      </c>
      <c r="D17" s="33">
        <f t="shared" ref="D17:V17" si="2">SUM(D10:D15)</f>
        <v>27809.200504488603</v>
      </c>
      <c r="E17" s="33">
        <f t="shared" si="2"/>
        <v>27590.845985518448</v>
      </c>
      <c r="F17" s="33">
        <f t="shared" si="2"/>
        <v>115203.18313856279</v>
      </c>
      <c r="G17" s="33">
        <f t="shared" si="2"/>
        <v>121748.25032172925</v>
      </c>
      <c r="H17" s="33">
        <f t="shared" si="2"/>
        <v>124513.98569894749</v>
      </c>
      <c r="I17" s="33">
        <f t="shared" si="2"/>
        <v>128347.35022522593</v>
      </c>
      <c r="J17" s="33">
        <f t="shared" si="2"/>
        <v>130762.60306279047</v>
      </c>
      <c r="K17" s="33">
        <f t="shared" si="2"/>
        <v>134925.24757463776</v>
      </c>
      <c r="L17" s="33">
        <f t="shared" si="2"/>
        <v>137399.28002802975</v>
      </c>
      <c r="M17" s="33">
        <f t="shared" si="2"/>
        <v>141696.3880200875</v>
      </c>
      <c r="N17" s="33">
        <f t="shared" si="2"/>
        <v>151376.16064878763</v>
      </c>
      <c r="O17" s="33">
        <f t="shared" si="2"/>
        <v>161570.35925863145</v>
      </c>
      <c r="P17" s="33">
        <f t="shared" si="2"/>
        <v>171213.98966653069</v>
      </c>
      <c r="Q17" s="33">
        <f t="shared" si="2"/>
        <v>178709.28977991542</v>
      </c>
      <c r="R17" s="33">
        <f t="shared" si="2"/>
        <v>185023.57747538624</v>
      </c>
      <c r="S17" s="33">
        <f t="shared" si="2"/>
        <v>195120.96195501258</v>
      </c>
      <c r="T17" s="33">
        <f t="shared" si="2"/>
        <v>213843.24766607105</v>
      </c>
      <c r="U17" s="33">
        <f t="shared" si="2"/>
        <v>222312.49806884257</v>
      </c>
      <c r="V17" s="33">
        <f t="shared" si="2"/>
        <v>235562.75043290528</v>
      </c>
      <c r="W17" s="272">
        <f>SUM(C17:V17)</f>
        <v>2832876.5889540394</v>
      </c>
      <c r="X17" s="407">
        <f>SUM(Caledonia!W60,'New Albany'!W60,Wheatland!W60,Wilton!W60,Brownsville!W60,Gleason!W60)</f>
        <v>2832876.5889540389</v>
      </c>
      <c r="Y17" s="44"/>
    </row>
    <row r="18" spans="1:27">
      <c r="A18" s="12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56"/>
      <c r="X18" s="405"/>
      <c r="Y18" s="44"/>
    </row>
    <row r="19" spans="1:27">
      <c r="A19" s="3" t="s">
        <v>213</v>
      </c>
      <c r="B19" s="19">
        <v>0</v>
      </c>
      <c r="C19" s="19">
        <f>-Tax!B8</f>
        <v>-313.80034370707949</v>
      </c>
      <c r="D19" s="19">
        <f>-Tax!C8</f>
        <v>-297.14384874839141</v>
      </c>
      <c r="E19" s="19">
        <f>-Tax!D8</f>
        <v>-297.8207467523431</v>
      </c>
      <c r="F19" s="19">
        <f>-Tax!E8</f>
        <v>-600.11662390442439</v>
      </c>
      <c r="G19" s="19">
        <f>-Tax!F8</f>
        <v>-2235.8191465089353</v>
      </c>
      <c r="H19" s="19">
        <f>-Tax!G8</f>
        <v>-4168.6673765954529</v>
      </c>
      <c r="I19" s="19">
        <f>-Tax!H8</f>
        <v>-6134.8726492500373</v>
      </c>
      <c r="J19" s="19">
        <f>-Tax!I8</f>
        <v>-6581.1940116525202</v>
      </c>
      <c r="K19" s="19">
        <f>-Tax!J8</f>
        <v>-7077.7342164021393</v>
      </c>
      <c r="L19" s="19">
        <f>-Tax!K8</f>
        <v>-7550.5611746852792</v>
      </c>
      <c r="M19" s="19">
        <f>-Tax!L8</f>
        <v>-8125.028063705714</v>
      </c>
      <c r="N19" s="19">
        <f>-Tax!M8</f>
        <v>-8732.783822796293</v>
      </c>
      <c r="O19" s="19">
        <f>-Tax!N8</f>
        <v>-9344.9998963753496</v>
      </c>
      <c r="P19" s="19">
        <f>-Tax!O8</f>
        <v>-9949.3676614588003</v>
      </c>
      <c r="Q19" s="19">
        <f>-Tax!P8</f>
        <v>-10545.172744817786</v>
      </c>
      <c r="R19" s="19">
        <f>-Tax!Q8</f>
        <v>-12988.647486311758</v>
      </c>
      <c r="S19" s="19">
        <f>-Tax!R8</f>
        <v>-15420.509753832386</v>
      </c>
      <c r="T19" s="19">
        <f>-Tax!S8</f>
        <v>-16004.516403877315</v>
      </c>
      <c r="U19" s="19">
        <f>-Tax!T8</f>
        <v>-16541.045228634634</v>
      </c>
      <c r="V19" s="19">
        <f>-Tax!U8</f>
        <v>-17080.157858191407</v>
      </c>
      <c r="W19" s="272">
        <f>SUM(C19:V19)</f>
        <v>-159989.95905820807</v>
      </c>
      <c r="X19" s="407">
        <f>SUM(Caledonia!W62,'New Albany'!W62,Wheatland!W62,Wilton!W62,Brownsville!W62,Gleason!W62)</f>
        <v>-159989.95905820804</v>
      </c>
      <c r="Y19" s="408">
        <f>W19-X19</f>
        <v>0</v>
      </c>
    </row>
    <row r="20" spans="1:27">
      <c r="A20" s="3" t="s">
        <v>214</v>
      </c>
      <c r="B20" s="198">
        <v>0</v>
      </c>
      <c r="C20" s="198">
        <f>-Tax!B24</f>
        <v>0</v>
      </c>
      <c r="D20" s="198">
        <f>-Tax!C24</f>
        <v>0</v>
      </c>
      <c r="E20" s="198">
        <f>-Tax!D24</f>
        <v>0</v>
      </c>
      <c r="F20" s="198">
        <f>-Tax!E24</f>
        <v>0</v>
      </c>
      <c r="G20" s="198">
        <f>-Tax!F24</f>
        <v>-1088.7082444056505</v>
      </c>
      <c r="H20" s="198">
        <f>-Tax!G24</f>
        <v>-28376.435857823228</v>
      </c>
      <c r="I20" s="198">
        <f>-Tax!H24</f>
        <v>-31177.876301591568</v>
      </c>
      <c r="J20" s="198">
        <f>-Tax!I24</f>
        <v>-33320.897382898278</v>
      </c>
      <c r="K20" s="198">
        <f>-Tax!J24</f>
        <v>-35861.355725382477</v>
      </c>
      <c r="L20" s="198">
        <f>-Tax!K24</f>
        <v>-38192.27606367055</v>
      </c>
      <c r="M20" s="198">
        <f>-Tax!L24</f>
        <v>-41241.114584733637</v>
      </c>
      <c r="N20" s="198">
        <f>-Tax!M24</f>
        <v>-44445.74320409698</v>
      </c>
      <c r="O20" s="198">
        <f>-Tax!N24</f>
        <v>-47663.738626789636</v>
      </c>
      <c r="P20" s="198">
        <f>-Tax!O24</f>
        <v>-50822.327466775168</v>
      </c>
      <c r="Q20" s="198">
        <f>-Tax!P24</f>
        <v>-53934.961406871313</v>
      </c>
      <c r="R20" s="198">
        <f>-Tax!Q24</f>
        <v>-67590.488517317819</v>
      </c>
      <c r="S20" s="198">
        <f>-Tax!R24</f>
        <v>-81174.397344227618</v>
      </c>
      <c r="T20" s="198">
        <f>-Tax!S24</f>
        <v>-84197.629797058689</v>
      </c>
      <c r="U20" s="198">
        <f>-Tax!T24</f>
        <v>-86973.913826469463</v>
      </c>
      <c r="V20" s="198">
        <f>-Tax!U24</f>
        <v>-89763.38114211506</v>
      </c>
      <c r="W20" s="274">
        <f>SUM(C20:V20)</f>
        <v>-815825.24549222714</v>
      </c>
      <c r="X20" s="407">
        <f>SUM(Caledonia!W63,'New Albany'!W63,Wheatland!W63,Wilton!W63,Brownsville!W63,Gleason!W63)</f>
        <v>-815825.24549222714</v>
      </c>
      <c r="Y20" s="408">
        <f>W20-X20</f>
        <v>0</v>
      </c>
    </row>
    <row r="21" spans="1:27">
      <c r="A21" s="13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345"/>
      <c r="X21" s="409"/>
      <c r="Y21" s="44"/>
    </row>
    <row r="22" spans="1:27" s="15" customFormat="1">
      <c r="A22" s="12" t="s">
        <v>254</v>
      </c>
      <c r="B22" s="33">
        <f t="shared" ref="B22:W22" si="3">SUM(B20,B19,B17)</f>
        <v>0</v>
      </c>
      <c r="C22" s="33">
        <f t="shared" si="3"/>
        <v>27833.619098231044</v>
      </c>
      <c r="D22" s="33">
        <f t="shared" si="3"/>
        <v>27512.056655740213</v>
      </c>
      <c r="E22" s="33">
        <f t="shared" si="3"/>
        <v>27293.025238766106</v>
      </c>
      <c r="F22" s="33">
        <f t="shared" si="3"/>
        <v>114603.06651465836</v>
      </c>
      <c r="G22" s="33">
        <f t="shared" si="3"/>
        <v>118423.72293081466</v>
      </c>
      <c r="H22" s="33">
        <f t="shared" si="3"/>
        <v>91968.882464528811</v>
      </c>
      <c r="I22" s="33">
        <f t="shared" si="3"/>
        <v>91034.601274384331</v>
      </c>
      <c r="J22" s="33">
        <f t="shared" si="3"/>
        <v>90860.511668239662</v>
      </c>
      <c r="K22" s="33">
        <f t="shared" si="3"/>
        <v>91986.157632853137</v>
      </c>
      <c r="L22" s="33">
        <f t="shared" si="3"/>
        <v>91656.442789673922</v>
      </c>
      <c r="M22" s="33">
        <f t="shared" si="3"/>
        <v>92330.24537164814</v>
      </c>
      <c r="N22" s="33">
        <f t="shared" si="3"/>
        <v>98197.633621894347</v>
      </c>
      <c r="O22" s="33">
        <f t="shared" si="3"/>
        <v>104561.62073546647</v>
      </c>
      <c r="P22" s="33">
        <f t="shared" si="3"/>
        <v>110442.29453829672</v>
      </c>
      <c r="Q22" s="33">
        <f t="shared" si="3"/>
        <v>114229.15562822632</v>
      </c>
      <c r="R22" s="33">
        <f t="shared" si="3"/>
        <v>104444.44147175665</v>
      </c>
      <c r="S22" s="33">
        <f t="shared" si="3"/>
        <v>98526.054856952571</v>
      </c>
      <c r="T22" s="33">
        <f t="shared" si="3"/>
        <v>113641.10146513506</v>
      </c>
      <c r="U22" s="33">
        <f t="shared" si="3"/>
        <v>118797.53901373848</v>
      </c>
      <c r="V22" s="33">
        <f t="shared" si="3"/>
        <v>128719.21143259881</v>
      </c>
      <c r="W22" s="273">
        <f t="shared" si="3"/>
        <v>1857061.3844036041</v>
      </c>
      <c r="X22" s="407">
        <f>SUM(Caledonia!W65,'New Albany'!W65,Wheatland!W65,Wilton!W65,Brownsville!W65,Gleason!W65)</f>
        <v>1857061.3844036034</v>
      </c>
      <c r="Y22" s="408">
        <f>W22-X22</f>
        <v>0</v>
      </c>
      <c r="Z22" s="16"/>
      <c r="AA22" s="16"/>
    </row>
    <row r="23" spans="1:27">
      <c r="A23" s="13"/>
      <c r="B23" s="51"/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345"/>
      <c r="X23" s="152"/>
      <c r="Y23" s="16"/>
    </row>
    <row r="24" spans="1:27">
      <c r="A24" s="13"/>
      <c r="B24" s="144"/>
      <c r="C24" s="144"/>
      <c r="D24" s="144"/>
      <c r="E24" s="144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152"/>
    </row>
    <row r="25" spans="1:27" ht="18.75">
      <c r="A25" s="150" t="s">
        <v>74</v>
      </c>
    </row>
    <row r="26" spans="1:27" ht="12" customHeight="1">
      <c r="A26" s="150"/>
    </row>
    <row r="27" spans="1:27" ht="13.5" thickBot="1">
      <c r="A27" s="194" t="s">
        <v>56</v>
      </c>
      <c r="B27" s="309" t="s">
        <v>121</v>
      </c>
      <c r="C27" s="8">
        <v>2001</v>
      </c>
      <c r="D27" s="8">
        <f t="shared" ref="D27:V27" si="4">C27+1</f>
        <v>2002</v>
      </c>
      <c r="E27" s="8">
        <f t="shared" si="4"/>
        <v>2003</v>
      </c>
      <c r="F27" s="8">
        <f t="shared" si="4"/>
        <v>2004</v>
      </c>
      <c r="G27" s="8">
        <f t="shared" si="4"/>
        <v>2005</v>
      </c>
      <c r="H27" s="8">
        <f t="shared" si="4"/>
        <v>2006</v>
      </c>
      <c r="I27" s="8">
        <f t="shared" si="4"/>
        <v>2007</v>
      </c>
      <c r="J27" s="8">
        <f t="shared" si="4"/>
        <v>2008</v>
      </c>
      <c r="K27" s="8">
        <f t="shared" si="4"/>
        <v>2009</v>
      </c>
      <c r="L27" s="8">
        <f t="shared" si="4"/>
        <v>2010</v>
      </c>
      <c r="M27" s="8">
        <f t="shared" si="4"/>
        <v>2011</v>
      </c>
      <c r="N27" s="8">
        <f t="shared" si="4"/>
        <v>2012</v>
      </c>
      <c r="O27" s="8">
        <f t="shared" si="4"/>
        <v>2013</v>
      </c>
      <c r="P27" s="8">
        <f t="shared" si="4"/>
        <v>2014</v>
      </c>
      <c r="Q27" s="8">
        <f t="shared" si="4"/>
        <v>2015</v>
      </c>
      <c r="R27" s="8">
        <f t="shared" si="4"/>
        <v>2016</v>
      </c>
      <c r="S27" s="8">
        <f t="shared" si="4"/>
        <v>2017</v>
      </c>
      <c r="T27" s="8">
        <f t="shared" si="4"/>
        <v>2018</v>
      </c>
      <c r="U27" s="8">
        <f t="shared" si="4"/>
        <v>2019</v>
      </c>
      <c r="V27" s="8">
        <f t="shared" si="4"/>
        <v>2020</v>
      </c>
      <c r="X27" s="16"/>
    </row>
    <row r="28" spans="1:27">
      <c r="V28" s="7"/>
      <c r="X28" s="16"/>
    </row>
    <row r="29" spans="1:27">
      <c r="A29" s="16" t="s">
        <v>270</v>
      </c>
      <c r="B29" s="19">
        <f>-'Summary Output'!C8</f>
        <v>-578000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59">
        <v>0</v>
      </c>
    </row>
    <row r="30" spans="1:27">
      <c r="A30" s="16" t="s">
        <v>271</v>
      </c>
      <c r="B30" s="22">
        <f>B22</f>
        <v>0</v>
      </c>
      <c r="C30" s="22">
        <f>C22</f>
        <v>27833.619098231044</v>
      </c>
      <c r="D30" s="22">
        <f t="shared" ref="D30:V30" si="5">D22</f>
        <v>27512.056655740213</v>
      </c>
      <c r="E30" s="22">
        <f t="shared" si="5"/>
        <v>27293.025238766106</v>
      </c>
      <c r="F30" s="22">
        <f t="shared" si="5"/>
        <v>114603.06651465836</v>
      </c>
      <c r="G30" s="22">
        <f t="shared" si="5"/>
        <v>118423.72293081466</v>
      </c>
      <c r="H30" s="22">
        <f t="shared" si="5"/>
        <v>91968.882464528811</v>
      </c>
      <c r="I30" s="22">
        <f t="shared" si="5"/>
        <v>91034.601274384331</v>
      </c>
      <c r="J30" s="22">
        <f t="shared" si="5"/>
        <v>90860.511668239662</v>
      </c>
      <c r="K30" s="22">
        <f t="shared" si="5"/>
        <v>91986.157632853137</v>
      </c>
      <c r="L30" s="22">
        <f t="shared" si="5"/>
        <v>91656.442789673922</v>
      </c>
      <c r="M30" s="22">
        <f t="shared" si="5"/>
        <v>92330.24537164814</v>
      </c>
      <c r="N30" s="22">
        <f t="shared" si="5"/>
        <v>98197.633621894347</v>
      </c>
      <c r="O30" s="22">
        <f t="shared" si="5"/>
        <v>104561.62073546647</v>
      </c>
      <c r="P30" s="22">
        <f t="shared" si="5"/>
        <v>110442.29453829672</v>
      </c>
      <c r="Q30" s="22">
        <f t="shared" si="5"/>
        <v>114229.15562822632</v>
      </c>
      <c r="R30" s="22">
        <f t="shared" si="5"/>
        <v>104444.44147175665</v>
      </c>
      <c r="S30" s="22">
        <f t="shared" si="5"/>
        <v>98526.054856952571</v>
      </c>
      <c r="T30" s="22">
        <f t="shared" si="5"/>
        <v>113641.10146513506</v>
      </c>
      <c r="U30" s="22">
        <f t="shared" si="5"/>
        <v>118797.53901373848</v>
      </c>
      <c r="V30" s="22">
        <f t="shared" si="5"/>
        <v>128719.21143259881</v>
      </c>
    </row>
    <row r="31" spans="1:27">
      <c r="A31" s="16" t="s">
        <v>146</v>
      </c>
      <c r="B31" s="198">
        <v>0</v>
      </c>
      <c r="C31" s="198">
        <v>0</v>
      </c>
      <c r="D31" s="198">
        <v>0</v>
      </c>
      <c r="E31" s="198">
        <v>0</v>
      </c>
      <c r="F31" s="198">
        <v>0</v>
      </c>
      <c r="G31" s="198">
        <v>0</v>
      </c>
      <c r="H31" s="198">
        <v>0</v>
      </c>
      <c r="I31" s="198">
        <v>0</v>
      </c>
      <c r="J31" s="198">
        <v>0</v>
      </c>
      <c r="K31" s="198">
        <v>0</v>
      </c>
      <c r="L31" s="198">
        <v>0</v>
      </c>
      <c r="M31" s="198">
        <v>0</v>
      </c>
      <c r="N31" s="198">
        <v>0</v>
      </c>
      <c r="O31" s="198">
        <v>0</v>
      </c>
      <c r="P31" s="198">
        <v>0</v>
      </c>
      <c r="Q31" s="198">
        <v>0</v>
      </c>
      <c r="R31" s="198">
        <v>0</v>
      </c>
      <c r="S31" s="198">
        <v>0</v>
      </c>
      <c r="T31" s="198">
        <v>0</v>
      </c>
      <c r="U31" s="198">
        <v>0</v>
      </c>
      <c r="V31" s="198">
        <f>2*V10</f>
        <v>553211.3760415226</v>
      </c>
    </row>
    <row r="32" spans="1:27">
      <c r="A32" s="16" t="s">
        <v>272</v>
      </c>
      <c r="B32" s="19">
        <f t="shared" ref="B32:V32" si="6">SUM(B29:B31)</f>
        <v>-578000</v>
      </c>
      <c r="C32" s="19">
        <f t="shared" si="6"/>
        <v>27833.619098231044</v>
      </c>
      <c r="D32" s="19">
        <f t="shared" si="6"/>
        <v>27512.056655740213</v>
      </c>
      <c r="E32" s="19">
        <f t="shared" si="6"/>
        <v>27293.025238766106</v>
      </c>
      <c r="F32" s="19">
        <f t="shared" si="6"/>
        <v>114603.06651465836</v>
      </c>
      <c r="G32" s="19">
        <f t="shared" si="6"/>
        <v>118423.72293081466</v>
      </c>
      <c r="H32" s="19">
        <f t="shared" si="6"/>
        <v>91968.882464528811</v>
      </c>
      <c r="I32" s="19">
        <f t="shared" si="6"/>
        <v>91034.601274384331</v>
      </c>
      <c r="J32" s="19">
        <f t="shared" si="6"/>
        <v>90860.511668239662</v>
      </c>
      <c r="K32" s="19">
        <f t="shared" si="6"/>
        <v>91986.157632853137</v>
      </c>
      <c r="L32" s="19">
        <f t="shared" si="6"/>
        <v>91656.442789673922</v>
      </c>
      <c r="M32" s="19">
        <f t="shared" si="6"/>
        <v>92330.24537164814</v>
      </c>
      <c r="N32" s="19">
        <f t="shared" si="6"/>
        <v>98197.633621894347</v>
      </c>
      <c r="O32" s="19">
        <f t="shared" si="6"/>
        <v>104561.62073546647</v>
      </c>
      <c r="P32" s="19">
        <f t="shared" si="6"/>
        <v>110442.29453829672</v>
      </c>
      <c r="Q32" s="19">
        <f t="shared" si="6"/>
        <v>114229.15562822632</v>
      </c>
      <c r="R32" s="19">
        <f t="shared" si="6"/>
        <v>104444.44147175665</v>
      </c>
      <c r="S32" s="19">
        <f t="shared" si="6"/>
        <v>98526.054856952571</v>
      </c>
      <c r="T32" s="19">
        <f t="shared" si="6"/>
        <v>113641.10146513506</v>
      </c>
      <c r="U32" s="19">
        <f t="shared" si="6"/>
        <v>118797.53901373848</v>
      </c>
      <c r="V32" s="19">
        <f t="shared" si="6"/>
        <v>681930.58747412136</v>
      </c>
    </row>
    <row r="33" spans="1:22">
      <c r="A33" s="16" t="s">
        <v>75</v>
      </c>
      <c r="B33" s="344">
        <f>XIRR(B32:V32,B8:V8)</f>
        <v>0.13269278407096866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59"/>
    </row>
    <row r="35" spans="1:22">
      <c r="B35" s="123"/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</row>
    <row r="36" spans="1:22" customFormat="1"/>
    <row r="37" spans="1:22" customFormat="1"/>
    <row r="38" spans="1:22" customFormat="1"/>
    <row r="39" spans="1:22" customFormat="1"/>
    <row r="40" spans="1:22" customFormat="1"/>
    <row r="41" spans="1:22" customFormat="1"/>
    <row r="42" spans="1:22" customFormat="1"/>
    <row r="43" spans="1:22" customFormat="1"/>
    <row r="44" spans="1:22" customFormat="1"/>
  </sheetData>
  <mergeCells count="1">
    <mergeCell ref="X7:Y7"/>
  </mergeCells>
  <pageMargins left="0.75" right="0.75" top="1" bottom="1" header="0.5" footer="0.5"/>
  <pageSetup scale="42" orientation="landscape" r:id="rId1"/>
  <headerFooter alignWithMargins="0">
    <oddHeader>&amp;L&amp;12Enron's Generation&amp;RCONFIDENTIAL</oddHeader>
    <oddFooter>&amp;L&amp;D&amp;C&amp;F&amp;RPage &amp;P</oddFooter>
  </headerFooter>
  <colBreaks count="1" manualBreakCount="1">
    <brk id="12" max="4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Z111"/>
  <sheetViews>
    <sheetView zoomScale="75" zoomScaleNormal="75" workbookViewId="0">
      <selection activeCell="B12" sqref="B12"/>
    </sheetView>
  </sheetViews>
  <sheetFormatPr defaultRowHeight="12.75"/>
  <cols>
    <col min="1" max="1" width="33.5703125" style="16" customWidth="1"/>
    <col min="2" max="2" width="11.85546875" style="23" customWidth="1"/>
    <col min="3" max="4" width="11.7109375" style="23" customWidth="1"/>
    <col min="5" max="20" width="11.7109375" style="16" customWidth="1"/>
    <col min="21" max="21" width="11.85546875" style="16" customWidth="1"/>
    <col min="22" max="23" width="11.7109375" style="16" customWidth="1"/>
    <col min="24" max="38" width="15.85546875" style="16" customWidth="1"/>
    <col min="39" max="16384" width="9.140625" style="16"/>
  </cols>
  <sheetData>
    <row r="1" spans="1:22">
      <c r="B1" s="16"/>
      <c r="C1" s="16"/>
      <c r="D1" s="16"/>
    </row>
    <row r="2" spans="1:22" ht="18.75">
      <c r="A2" s="52" t="s">
        <v>117</v>
      </c>
      <c r="C2" s="423"/>
    </row>
    <row r="3" spans="1:22"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4" customFormat="1" ht="13.5" thickBot="1">
      <c r="A4" s="194" t="s">
        <v>56</v>
      </c>
      <c r="B4" s="194" t="s">
        <v>104</v>
      </c>
      <c r="C4" s="260">
        <v>37256</v>
      </c>
      <c r="D4" s="260">
        <v>37621</v>
      </c>
      <c r="E4" s="260">
        <v>37986</v>
      </c>
      <c r="F4" s="260">
        <v>38352</v>
      </c>
      <c r="G4" s="260">
        <v>38717</v>
      </c>
      <c r="H4" s="260">
        <v>39082</v>
      </c>
      <c r="I4" s="260">
        <v>39447</v>
      </c>
      <c r="J4" s="260">
        <v>39813</v>
      </c>
      <c r="K4" s="260">
        <v>40178</v>
      </c>
      <c r="L4" s="260">
        <v>40543</v>
      </c>
      <c r="M4" s="260">
        <v>40908</v>
      </c>
      <c r="N4" s="260">
        <v>41274</v>
      </c>
      <c r="O4" s="260">
        <v>41639</v>
      </c>
      <c r="P4" s="260">
        <v>42004</v>
      </c>
      <c r="Q4" s="260">
        <v>42369</v>
      </c>
      <c r="R4" s="260">
        <v>42735</v>
      </c>
      <c r="S4" s="260">
        <v>43100</v>
      </c>
      <c r="T4" s="260">
        <v>43465</v>
      </c>
      <c r="U4" s="260">
        <v>43830</v>
      </c>
      <c r="V4" s="260">
        <v>44196</v>
      </c>
    </row>
    <row r="5" spans="1:22">
      <c r="B5" s="304">
        <v>0</v>
      </c>
      <c r="C5" s="304">
        <v>1</v>
      </c>
      <c r="D5" s="304">
        <v>2</v>
      </c>
      <c r="E5" s="304">
        <f>D5+1</f>
        <v>3</v>
      </c>
      <c r="F5" s="304">
        <f t="shared" ref="F5:V5" si="0">E5+1</f>
        <v>4</v>
      </c>
      <c r="G5" s="304">
        <f t="shared" si="0"/>
        <v>5</v>
      </c>
      <c r="H5" s="304">
        <f t="shared" si="0"/>
        <v>6</v>
      </c>
      <c r="I5" s="304">
        <f t="shared" si="0"/>
        <v>7</v>
      </c>
      <c r="J5" s="304">
        <f t="shared" si="0"/>
        <v>8</v>
      </c>
      <c r="K5" s="304">
        <f t="shared" si="0"/>
        <v>9</v>
      </c>
      <c r="L5" s="304">
        <f t="shared" si="0"/>
        <v>10</v>
      </c>
      <c r="M5" s="304">
        <f t="shared" si="0"/>
        <v>11</v>
      </c>
      <c r="N5" s="304">
        <f t="shared" si="0"/>
        <v>12</v>
      </c>
      <c r="O5" s="304">
        <f t="shared" si="0"/>
        <v>13</v>
      </c>
      <c r="P5" s="304">
        <f t="shared" si="0"/>
        <v>14</v>
      </c>
      <c r="Q5" s="304">
        <f t="shared" si="0"/>
        <v>15</v>
      </c>
      <c r="R5" s="304">
        <f t="shared" si="0"/>
        <v>16</v>
      </c>
      <c r="S5" s="304">
        <f t="shared" si="0"/>
        <v>17</v>
      </c>
      <c r="T5" s="304">
        <f t="shared" si="0"/>
        <v>18</v>
      </c>
      <c r="U5" s="304">
        <f t="shared" si="0"/>
        <v>19</v>
      </c>
      <c r="V5" s="304">
        <f t="shared" si="0"/>
        <v>20</v>
      </c>
    </row>
    <row r="6" spans="1:22" s="14" customFormat="1">
      <c r="A6" s="303" t="s">
        <v>37</v>
      </c>
      <c r="B6" s="304">
        <v>0</v>
      </c>
      <c r="C6" s="304">
        <v>1</v>
      </c>
      <c r="D6" s="304">
        <v>2</v>
      </c>
      <c r="E6" s="304">
        <f>D6+1</f>
        <v>3</v>
      </c>
      <c r="F6" s="304">
        <f t="shared" ref="F6:V6" si="1">E6+1</f>
        <v>4</v>
      </c>
      <c r="G6" s="304">
        <f t="shared" si="1"/>
        <v>5</v>
      </c>
      <c r="H6" s="304">
        <f t="shared" si="1"/>
        <v>6</v>
      </c>
      <c r="I6" s="304">
        <f t="shared" si="1"/>
        <v>7</v>
      </c>
      <c r="J6" s="304">
        <f t="shared" si="1"/>
        <v>8</v>
      </c>
      <c r="K6" s="304">
        <f t="shared" si="1"/>
        <v>9</v>
      </c>
      <c r="L6" s="304">
        <f t="shared" si="1"/>
        <v>10</v>
      </c>
      <c r="M6" s="304">
        <f t="shared" si="1"/>
        <v>11</v>
      </c>
      <c r="N6" s="304">
        <f t="shared" si="1"/>
        <v>12</v>
      </c>
      <c r="O6" s="304">
        <f t="shared" si="1"/>
        <v>13</v>
      </c>
      <c r="P6" s="304">
        <f t="shared" si="1"/>
        <v>14</v>
      </c>
      <c r="Q6" s="304">
        <f t="shared" si="1"/>
        <v>15</v>
      </c>
      <c r="R6" s="304">
        <f t="shared" si="1"/>
        <v>16</v>
      </c>
      <c r="S6" s="304">
        <f t="shared" si="1"/>
        <v>17</v>
      </c>
      <c r="T6" s="304">
        <f t="shared" si="1"/>
        <v>18</v>
      </c>
      <c r="U6" s="304">
        <f t="shared" si="1"/>
        <v>19</v>
      </c>
      <c r="V6" s="304">
        <f t="shared" si="1"/>
        <v>20</v>
      </c>
    </row>
    <row r="7" spans="1:22" s="14" customFormat="1"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</row>
    <row r="8" spans="1:22">
      <c r="A8" s="39" t="s">
        <v>9</v>
      </c>
      <c r="B8" s="16"/>
      <c r="C8" s="16"/>
      <c r="D8" s="16"/>
    </row>
    <row r="9" spans="1:22">
      <c r="A9" s="21" t="s">
        <v>105</v>
      </c>
      <c r="B9" s="297">
        <v>0</v>
      </c>
      <c r="C9" s="297">
        <v>12</v>
      </c>
      <c r="D9" s="297">
        <v>12</v>
      </c>
      <c r="E9" s="297">
        <v>12</v>
      </c>
      <c r="F9" s="297">
        <v>12</v>
      </c>
      <c r="G9" s="297">
        <v>12</v>
      </c>
      <c r="H9" s="297">
        <v>12</v>
      </c>
      <c r="I9" s="297">
        <v>12</v>
      </c>
      <c r="J9" s="297">
        <v>12</v>
      </c>
      <c r="K9" s="297">
        <v>12</v>
      </c>
      <c r="L9" s="297">
        <v>12</v>
      </c>
      <c r="M9" s="297">
        <v>12</v>
      </c>
      <c r="N9" s="297">
        <v>12</v>
      </c>
      <c r="O9" s="297">
        <v>12</v>
      </c>
      <c r="P9" s="297">
        <v>12</v>
      </c>
      <c r="Q9" s="297">
        <v>12</v>
      </c>
      <c r="R9" s="297">
        <v>12</v>
      </c>
      <c r="S9" s="297">
        <v>12</v>
      </c>
      <c r="T9" s="297">
        <v>12</v>
      </c>
      <c r="U9" s="297">
        <v>12</v>
      </c>
      <c r="V9" s="297">
        <v>12</v>
      </c>
    </row>
    <row r="10" spans="1:22">
      <c r="A10" s="16" t="s">
        <v>106</v>
      </c>
      <c r="B10" s="298">
        <v>0</v>
      </c>
      <c r="C10" s="298">
        <f>90%/30</f>
        <v>3.0000000000000002E-2</v>
      </c>
      <c r="D10" s="298">
        <f>90%/30</f>
        <v>3.0000000000000002E-2</v>
      </c>
      <c r="E10" s="298">
        <f t="shared" ref="E10:V10" si="2">90%/30</f>
        <v>3.0000000000000002E-2</v>
      </c>
      <c r="F10" s="298">
        <f t="shared" si="2"/>
        <v>3.0000000000000002E-2</v>
      </c>
      <c r="G10" s="298">
        <f t="shared" si="2"/>
        <v>3.0000000000000002E-2</v>
      </c>
      <c r="H10" s="298">
        <f t="shared" si="2"/>
        <v>3.0000000000000002E-2</v>
      </c>
      <c r="I10" s="298">
        <f t="shared" si="2"/>
        <v>3.0000000000000002E-2</v>
      </c>
      <c r="J10" s="298">
        <f t="shared" si="2"/>
        <v>3.0000000000000002E-2</v>
      </c>
      <c r="K10" s="298">
        <f t="shared" si="2"/>
        <v>3.0000000000000002E-2</v>
      </c>
      <c r="L10" s="298">
        <f t="shared" si="2"/>
        <v>3.0000000000000002E-2</v>
      </c>
      <c r="M10" s="298">
        <f t="shared" si="2"/>
        <v>3.0000000000000002E-2</v>
      </c>
      <c r="N10" s="298">
        <f t="shared" si="2"/>
        <v>3.0000000000000002E-2</v>
      </c>
      <c r="O10" s="298">
        <f t="shared" si="2"/>
        <v>3.0000000000000002E-2</v>
      </c>
      <c r="P10" s="298">
        <f t="shared" si="2"/>
        <v>3.0000000000000002E-2</v>
      </c>
      <c r="Q10" s="298">
        <f t="shared" si="2"/>
        <v>3.0000000000000002E-2</v>
      </c>
      <c r="R10" s="298">
        <f t="shared" si="2"/>
        <v>3.0000000000000002E-2</v>
      </c>
      <c r="S10" s="298">
        <f t="shared" si="2"/>
        <v>3.0000000000000002E-2</v>
      </c>
      <c r="T10" s="298">
        <f t="shared" si="2"/>
        <v>3.0000000000000002E-2</v>
      </c>
      <c r="U10" s="298">
        <f t="shared" si="2"/>
        <v>3.0000000000000002E-2</v>
      </c>
      <c r="V10" s="298">
        <f t="shared" si="2"/>
        <v>3.0000000000000002E-2</v>
      </c>
    </row>
    <row r="11" spans="1:22">
      <c r="B11" s="16"/>
      <c r="C11" s="16"/>
      <c r="D11" s="16"/>
    </row>
    <row r="12" spans="1:22">
      <c r="A12" s="16" t="s">
        <v>107</v>
      </c>
      <c r="B12" s="120">
        <f>SUM('Summary Output'!$G$8,'Summary Output'!$G$9)*Allocation!$C$7+'Amortization of Power Contract'!$C$11</f>
        <v>158822.16222775786</v>
      </c>
      <c r="C12" s="19">
        <f>B14</f>
        <v>158822.16222775786</v>
      </c>
      <c r="D12" s="19">
        <f>C14</f>
        <v>154057.49736092513</v>
      </c>
      <c r="E12" s="19">
        <f t="shared" ref="E12:V12" si="3">D14</f>
        <v>149292.83249409241</v>
      </c>
      <c r="F12" s="19">
        <f t="shared" si="3"/>
        <v>144528.16762725968</v>
      </c>
      <c r="G12" s="19">
        <f t="shared" si="3"/>
        <v>139763.50276042696</v>
      </c>
      <c r="H12" s="19">
        <f t="shared" si="3"/>
        <v>134998.83789359423</v>
      </c>
      <c r="I12" s="19">
        <f t="shared" si="3"/>
        <v>130234.17302676149</v>
      </c>
      <c r="J12" s="19">
        <f t="shared" si="3"/>
        <v>125469.50815992875</v>
      </c>
      <c r="K12" s="19">
        <f t="shared" si="3"/>
        <v>120704.84329309601</v>
      </c>
      <c r="L12" s="19">
        <f t="shared" si="3"/>
        <v>115940.17842626327</v>
      </c>
      <c r="M12" s="19">
        <f t="shared" si="3"/>
        <v>111175.51355943053</v>
      </c>
      <c r="N12" s="19">
        <f t="shared" si="3"/>
        <v>106410.84869259779</v>
      </c>
      <c r="O12" s="19">
        <f t="shared" si="3"/>
        <v>101646.18382576505</v>
      </c>
      <c r="P12" s="19">
        <f t="shared" si="3"/>
        <v>96881.518958932313</v>
      </c>
      <c r="Q12" s="19">
        <f t="shared" si="3"/>
        <v>92116.854092099573</v>
      </c>
      <c r="R12" s="19">
        <f t="shared" si="3"/>
        <v>87352.189225266833</v>
      </c>
      <c r="S12" s="19">
        <f t="shared" si="3"/>
        <v>82587.524358434093</v>
      </c>
      <c r="T12" s="19">
        <f t="shared" si="3"/>
        <v>77822.859491601354</v>
      </c>
      <c r="U12" s="19">
        <f t="shared" si="3"/>
        <v>73058.194624768614</v>
      </c>
      <c r="V12" s="19">
        <f t="shared" si="3"/>
        <v>68293.529757935874</v>
      </c>
    </row>
    <row r="13" spans="1:22">
      <c r="A13" s="16" t="s">
        <v>108</v>
      </c>
      <c r="B13" s="51">
        <f>$B$12*B10</f>
        <v>0</v>
      </c>
      <c r="C13" s="51">
        <f t="shared" ref="C13:V13" si="4">$B$12*C10</f>
        <v>4764.6648668327362</v>
      </c>
      <c r="D13" s="51">
        <f t="shared" si="4"/>
        <v>4764.6648668327362</v>
      </c>
      <c r="E13" s="51">
        <f t="shared" si="4"/>
        <v>4764.6648668327362</v>
      </c>
      <c r="F13" s="51">
        <f t="shared" si="4"/>
        <v>4764.6648668327362</v>
      </c>
      <c r="G13" s="51">
        <f t="shared" si="4"/>
        <v>4764.6648668327362</v>
      </c>
      <c r="H13" s="51">
        <f t="shared" si="4"/>
        <v>4764.6648668327362</v>
      </c>
      <c r="I13" s="51">
        <f t="shared" si="4"/>
        <v>4764.6648668327362</v>
      </c>
      <c r="J13" s="51">
        <f t="shared" si="4"/>
        <v>4764.6648668327362</v>
      </c>
      <c r="K13" s="51">
        <f t="shared" si="4"/>
        <v>4764.6648668327362</v>
      </c>
      <c r="L13" s="51">
        <f t="shared" si="4"/>
        <v>4764.6648668327362</v>
      </c>
      <c r="M13" s="51">
        <f t="shared" si="4"/>
        <v>4764.6648668327362</v>
      </c>
      <c r="N13" s="51">
        <f t="shared" si="4"/>
        <v>4764.6648668327362</v>
      </c>
      <c r="O13" s="51">
        <f t="shared" si="4"/>
        <v>4764.6648668327362</v>
      </c>
      <c r="P13" s="51">
        <f t="shared" si="4"/>
        <v>4764.6648668327362</v>
      </c>
      <c r="Q13" s="51">
        <f t="shared" si="4"/>
        <v>4764.6648668327362</v>
      </c>
      <c r="R13" s="51">
        <f t="shared" si="4"/>
        <v>4764.6648668327362</v>
      </c>
      <c r="S13" s="51">
        <f t="shared" si="4"/>
        <v>4764.6648668327362</v>
      </c>
      <c r="T13" s="51">
        <f t="shared" si="4"/>
        <v>4764.6648668327362</v>
      </c>
      <c r="U13" s="51">
        <f t="shared" si="4"/>
        <v>4764.6648668327362</v>
      </c>
      <c r="V13" s="51">
        <f t="shared" si="4"/>
        <v>4764.6648668327362</v>
      </c>
    </row>
    <row r="14" spans="1:22">
      <c r="A14" s="16" t="s">
        <v>109</v>
      </c>
      <c r="B14" s="19">
        <f>B12-B13</f>
        <v>158822.16222775786</v>
      </c>
      <c r="C14" s="19">
        <f>C12-C13</f>
        <v>154057.49736092513</v>
      </c>
      <c r="D14" s="19">
        <f>D12-D13</f>
        <v>149292.83249409241</v>
      </c>
      <c r="E14" s="19">
        <f t="shared" ref="E14:V14" si="5">E12-E13</f>
        <v>144528.16762725968</v>
      </c>
      <c r="F14" s="19">
        <f t="shared" si="5"/>
        <v>139763.50276042696</v>
      </c>
      <c r="G14" s="19">
        <f t="shared" si="5"/>
        <v>134998.83789359423</v>
      </c>
      <c r="H14" s="19">
        <f t="shared" si="5"/>
        <v>130234.17302676149</v>
      </c>
      <c r="I14" s="19">
        <f t="shared" si="5"/>
        <v>125469.50815992875</v>
      </c>
      <c r="J14" s="19">
        <f t="shared" si="5"/>
        <v>120704.84329309601</v>
      </c>
      <c r="K14" s="19">
        <f t="shared" si="5"/>
        <v>115940.17842626327</v>
      </c>
      <c r="L14" s="19">
        <f t="shared" si="5"/>
        <v>111175.51355943053</v>
      </c>
      <c r="M14" s="19">
        <f t="shared" si="5"/>
        <v>106410.84869259779</v>
      </c>
      <c r="N14" s="19">
        <f t="shared" si="5"/>
        <v>101646.18382576505</v>
      </c>
      <c r="O14" s="19">
        <f t="shared" si="5"/>
        <v>96881.518958932313</v>
      </c>
      <c r="P14" s="19">
        <f t="shared" si="5"/>
        <v>92116.854092099573</v>
      </c>
      <c r="Q14" s="19">
        <f t="shared" si="5"/>
        <v>87352.189225266833</v>
      </c>
      <c r="R14" s="19">
        <f t="shared" si="5"/>
        <v>82587.524358434093</v>
      </c>
      <c r="S14" s="19">
        <f t="shared" si="5"/>
        <v>77822.859491601354</v>
      </c>
      <c r="T14" s="19">
        <f t="shared" si="5"/>
        <v>73058.194624768614</v>
      </c>
      <c r="U14" s="19">
        <f t="shared" si="5"/>
        <v>68293.529757935874</v>
      </c>
      <c r="V14" s="19">
        <f t="shared" si="5"/>
        <v>63528.864891103134</v>
      </c>
    </row>
    <row r="15" spans="1:22">
      <c r="B15" s="16"/>
      <c r="C15" s="16"/>
      <c r="D15" s="16"/>
    </row>
    <row r="16" spans="1:22">
      <c r="A16" s="39" t="s">
        <v>10</v>
      </c>
      <c r="B16" s="16"/>
      <c r="C16" s="16"/>
      <c r="D16" s="16"/>
    </row>
    <row r="17" spans="1:22">
      <c r="A17" s="21" t="s">
        <v>105</v>
      </c>
      <c r="B17" s="297">
        <v>0</v>
      </c>
      <c r="C17" s="297">
        <v>12</v>
      </c>
      <c r="D17" s="297">
        <v>12</v>
      </c>
      <c r="E17" s="297">
        <v>12</v>
      </c>
      <c r="F17" s="297">
        <v>12</v>
      </c>
      <c r="G17" s="297">
        <v>12</v>
      </c>
      <c r="H17" s="297">
        <v>12</v>
      </c>
      <c r="I17" s="297">
        <v>12</v>
      </c>
      <c r="J17" s="297">
        <v>12</v>
      </c>
      <c r="K17" s="297">
        <v>12</v>
      </c>
      <c r="L17" s="297">
        <v>12</v>
      </c>
      <c r="M17" s="297">
        <v>12</v>
      </c>
      <c r="N17" s="297">
        <v>12</v>
      </c>
      <c r="O17" s="297">
        <v>12</v>
      </c>
      <c r="P17" s="297">
        <v>12</v>
      </c>
      <c r="Q17" s="297">
        <v>12</v>
      </c>
      <c r="R17" s="297">
        <v>12</v>
      </c>
      <c r="S17" s="297">
        <v>12</v>
      </c>
      <c r="T17" s="297">
        <v>12</v>
      </c>
      <c r="U17" s="297">
        <v>12</v>
      </c>
      <c r="V17" s="297">
        <v>12</v>
      </c>
    </row>
    <row r="18" spans="1:22">
      <c r="A18" s="16" t="s">
        <v>106</v>
      </c>
      <c r="B18" s="298">
        <v>0</v>
      </c>
      <c r="C18" s="298">
        <f>90%/30</f>
        <v>3.0000000000000002E-2</v>
      </c>
      <c r="D18" s="298">
        <f>90%/30</f>
        <v>3.0000000000000002E-2</v>
      </c>
      <c r="E18" s="298">
        <f t="shared" ref="E18:V18" si="6">90%/30</f>
        <v>3.0000000000000002E-2</v>
      </c>
      <c r="F18" s="298">
        <f t="shared" si="6"/>
        <v>3.0000000000000002E-2</v>
      </c>
      <c r="G18" s="298">
        <f t="shared" si="6"/>
        <v>3.0000000000000002E-2</v>
      </c>
      <c r="H18" s="298">
        <f t="shared" si="6"/>
        <v>3.0000000000000002E-2</v>
      </c>
      <c r="I18" s="298">
        <f t="shared" si="6"/>
        <v>3.0000000000000002E-2</v>
      </c>
      <c r="J18" s="298">
        <f t="shared" si="6"/>
        <v>3.0000000000000002E-2</v>
      </c>
      <c r="K18" s="298">
        <f t="shared" si="6"/>
        <v>3.0000000000000002E-2</v>
      </c>
      <c r="L18" s="298">
        <f t="shared" si="6"/>
        <v>3.0000000000000002E-2</v>
      </c>
      <c r="M18" s="298">
        <f t="shared" si="6"/>
        <v>3.0000000000000002E-2</v>
      </c>
      <c r="N18" s="298">
        <f t="shared" si="6"/>
        <v>3.0000000000000002E-2</v>
      </c>
      <c r="O18" s="298">
        <f t="shared" si="6"/>
        <v>3.0000000000000002E-2</v>
      </c>
      <c r="P18" s="298">
        <f t="shared" si="6"/>
        <v>3.0000000000000002E-2</v>
      </c>
      <c r="Q18" s="298">
        <f t="shared" si="6"/>
        <v>3.0000000000000002E-2</v>
      </c>
      <c r="R18" s="298">
        <f t="shared" si="6"/>
        <v>3.0000000000000002E-2</v>
      </c>
      <c r="S18" s="298">
        <f t="shared" si="6"/>
        <v>3.0000000000000002E-2</v>
      </c>
      <c r="T18" s="298">
        <f t="shared" si="6"/>
        <v>3.0000000000000002E-2</v>
      </c>
      <c r="U18" s="298">
        <f t="shared" si="6"/>
        <v>3.0000000000000002E-2</v>
      </c>
      <c r="V18" s="298">
        <f t="shared" si="6"/>
        <v>3.0000000000000002E-2</v>
      </c>
    </row>
    <row r="19" spans="1:22">
      <c r="B19" s="16"/>
      <c r="C19" s="16"/>
      <c r="D19" s="16"/>
    </row>
    <row r="20" spans="1:22">
      <c r="A20" s="16" t="s">
        <v>107</v>
      </c>
      <c r="B20" s="120">
        <f>SUM('Summary Output'!$G$8,'Summary Output'!$G$9)*Allocation!$C$8+'Amortization of Power Contract'!$C$17</f>
        <v>187363.66339289962</v>
      </c>
      <c r="C20" s="19">
        <f>B22</f>
        <v>187363.66339289962</v>
      </c>
      <c r="D20" s="19">
        <f>C22</f>
        <v>181742.75349111261</v>
      </c>
      <c r="E20" s="19">
        <f t="shared" ref="E20:V20" si="7">D22</f>
        <v>176121.84358932561</v>
      </c>
      <c r="F20" s="19">
        <f t="shared" si="7"/>
        <v>170500.93368753861</v>
      </c>
      <c r="G20" s="19">
        <f t="shared" si="7"/>
        <v>164880.0237857516</v>
      </c>
      <c r="H20" s="19">
        <f t="shared" si="7"/>
        <v>159259.1138839646</v>
      </c>
      <c r="I20" s="19">
        <f t="shared" si="7"/>
        <v>153638.2039821776</v>
      </c>
      <c r="J20" s="19">
        <f t="shared" si="7"/>
        <v>148017.29408039059</v>
      </c>
      <c r="K20" s="19">
        <f t="shared" si="7"/>
        <v>142396.38417860359</v>
      </c>
      <c r="L20" s="19">
        <f t="shared" si="7"/>
        <v>136775.47427681659</v>
      </c>
      <c r="M20" s="19">
        <f t="shared" si="7"/>
        <v>131154.56437502959</v>
      </c>
      <c r="N20" s="19">
        <f t="shared" si="7"/>
        <v>125533.6544732426</v>
      </c>
      <c r="O20" s="19">
        <f t="shared" si="7"/>
        <v>119912.74457145561</v>
      </c>
      <c r="P20" s="19">
        <f t="shared" si="7"/>
        <v>114291.83466966862</v>
      </c>
      <c r="Q20" s="19">
        <f t="shared" si="7"/>
        <v>108670.92476788163</v>
      </c>
      <c r="R20" s="19">
        <f t="shared" si="7"/>
        <v>103050.01486609464</v>
      </c>
      <c r="S20" s="19">
        <f t="shared" si="7"/>
        <v>97429.104964307655</v>
      </c>
      <c r="T20" s="19">
        <f t="shared" si="7"/>
        <v>91808.195062520666</v>
      </c>
      <c r="U20" s="19">
        <f t="shared" si="7"/>
        <v>86187.285160733678</v>
      </c>
      <c r="V20" s="19">
        <f t="shared" si="7"/>
        <v>80566.375258946689</v>
      </c>
    </row>
    <row r="21" spans="1:22">
      <c r="A21" s="16" t="s">
        <v>108</v>
      </c>
      <c r="B21" s="51">
        <f t="shared" ref="B21:V21" si="8">$B$20*B18</f>
        <v>0</v>
      </c>
      <c r="C21" s="51">
        <f t="shared" si="8"/>
        <v>5620.9099017869885</v>
      </c>
      <c r="D21" s="51">
        <f t="shared" si="8"/>
        <v>5620.9099017869885</v>
      </c>
      <c r="E21" s="51">
        <f t="shared" si="8"/>
        <v>5620.9099017869885</v>
      </c>
      <c r="F21" s="51">
        <f t="shared" si="8"/>
        <v>5620.9099017869885</v>
      </c>
      <c r="G21" s="51">
        <f t="shared" si="8"/>
        <v>5620.9099017869885</v>
      </c>
      <c r="H21" s="51">
        <f t="shared" si="8"/>
        <v>5620.9099017869885</v>
      </c>
      <c r="I21" s="51">
        <f t="shared" si="8"/>
        <v>5620.9099017869885</v>
      </c>
      <c r="J21" s="51">
        <f t="shared" si="8"/>
        <v>5620.9099017869885</v>
      </c>
      <c r="K21" s="51">
        <f t="shared" si="8"/>
        <v>5620.9099017869885</v>
      </c>
      <c r="L21" s="51">
        <f t="shared" si="8"/>
        <v>5620.9099017869885</v>
      </c>
      <c r="M21" s="51">
        <f t="shared" si="8"/>
        <v>5620.9099017869885</v>
      </c>
      <c r="N21" s="51">
        <f t="shared" si="8"/>
        <v>5620.9099017869885</v>
      </c>
      <c r="O21" s="51">
        <f t="shared" si="8"/>
        <v>5620.9099017869885</v>
      </c>
      <c r="P21" s="51">
        <f t="shared" si="8"/>
        <v>5620.9099017869885</v>
      </c>
      <c r="Q21" s="51">
        <f t="shared" si="8"/>
        <v>5620.9099017869885</v>
      </c>
      <c r="R21" s="51">
        <f t="shared" si="8"/>
        <v>5620.9099017869885</v>
      </c>
      <c r="S21" s="51">
        <f t="shared" si="8"/>
        <v>5620.9099017869885</v>
      </c>
      <c r="T21" s="51">
        <f t="shared" si="8"/>
        <v>5620.9099017869885</v>
      </c>
      <c r="U21" s="51">
        <f t="shared" si="8"/>
        <v>5620.9099017869885</v>
      </c>
      <c r="V21" s="51">
        <f t="shared" si="8"/>
        <v>5620.9099017869885</v>
      </c>
    </row>
    <row r="22" spans="1:22">
      <c r="A22" s="16" t="s">
        <v>109</v>
      </c>
      <c r="B22" s="19">
        <f>B20-B21</f>
        <v>187363.66339289962</v>
      </c>
      <c r="C22" s="19">
        <f>C20-C21</f>
        <v>181742.75349111261</v>
      </c>
      <c r="D22" s="19">
        <f>D20-D21</f>
        <v>176121.84358932561</v>
      </c>
      <c r="E22" s="19">
        <f t="shared" ref="E22:V22" si="9">E20-E21</f>
        <v>170500.93368753861</v>
      </c>
      <c r="F22" s="19">
        <f t="shared" si="9"/>
        <v>164880.0237857516</v>
      </c>
      <c r="G22" s="19">
        <f t="shared" si="9"/>
        <v>159259.1138839646</v>
      </c>
      <c r="H22" s="19">
        <f t="shared" si="9"/>
        <v>153638.2039821776</v>
      </c>
      <c r="I22" s="19">
        <f t="shared" si="9"/>
        <v>148017.29408039059</v>
      </c>
      <c r="J22" s="19">
        <f t="shared" si="9"/>
        <v>142396.38417860359</v>
      </c>
      <c r="K22" s="19">
        <f t="shared" si="9"/>
        <v>136775.47427681659</v>
      </c>
      <c r="L22" s="19">
        <f t="shared" si="9"/>
        <v>131154.56437502959</v>
      </c>
      <c r="M22" s="19">
        <f t="shared" si="9"/>
        <v>125533.6544732426</v>
      </c>
      <c r="N22" s="19">
        <f t="shared" si="9"/>
        <v>119912.74457145561</v>
      </c>
      <c r="O22" s="19">
        <f t="shared" si="9"/>
        <v>114291.83466966862</v>
      </c>
      <c r="P22" s="19">
        <f t="shared" si="9"/>
        <v>108670.92476788163</v>
      </c>
      <c r="Q22" s="19">
        <f t="shared" si="9"/>
        <v>103050.01486609464</v>
      </c>
      <c r="R22" s="19">
        <f t="shared" si="9"/>
        <v>97429.104964307655</v>
      </c>
      <c r="S22" s="19">
        <f t="shared" si="9"/>
        <v>91808.195062520666</v>
      </c>
      <c r="T22" s="19">
        <f t="shared" si="9"/>
        <v>86187.285160733678</v>
      </c>
      <c r="U22" s="19">
        <f t="shared" si="9"/>
        <v>80566.375258946689</v>
      </c>
      <c r="V22" s="19">
        <f t="shared" si="9"/>
        <v>74945.465357159701</v>
      </c>
    </row>
    <row r="23" spans="1:22">
      <c r="B23" s="16"/>
      <c r="C23" s="16"/>
      <c r="D23" s="16"/>
    </row>
    <row r="24" spans="1:22">
      <c r="A24" s="39" t="s">
        <v>11</v>
      </c>
      <c r="B24" s="16"/>
      <c r="C24" s="16"/>
      <c r="D24" s="16"/>
    </row>
    <row r="25" spans="1:22">
      <c r="A25" s="21" t="s">
        <v>105</v>
      </c>
      <c r="B25" s="297">
        <v>0</v>
      </c>
      <c r="C25" s="297">
        <v>12</v>
      </c>
      <c r="D25" s="297">
        <v>12</v>
      </c>
      <c r="E25" s="297">
        <v>12</v>
      </c>
      <c r="F25" s="297">
        <v>12</v>
      </c>
      <c r="G25" s="297">
        <v>12</v>
      </c>
      <c r="H25" s="297">
        <v>12</v>
      </c>
      <c r="I25" s="297">
        <v>12</v>
      </c>
      <c r="J25" s="297">
        <v>12</v>
      </c>
      <c r="K25" s="297">
        <v>12</v>
      </c>
      <c r="L25" s="297">
        <v>12</v>
      </c>
      <c r="M25" s="297">
        <v>12</v>
      </c>
      <c r="N25" s="297">
        <v>12</v>
      </c>
      <c r="O25" s="297">
        <v>12</v>
      </c>
      <c r="P25" s="297">
        <v>12</v>
      </c>
      <c r="Q25" s="297">
        <v>12</v>
      </c>
      <c r="R25" s="297">
        <v>12</v>
      </c>
      <c r="S25" s="297">
        <v>12</v>
      </c>
      <c r="T25" s="297">
        <v>12</v>
      </c>
      <c r="U25" s="297">
        <v>12</v>
      </c>
      <c r="V25" s="297">
        <v>12</v>
      </c>
    </row>
    <row r="26" spans="1:22">
      <c r="A26" s="16" t="s">
        <v>106</v>
      </c>
      <c r="B26" s="298">
        <v>0</v>
      </c>
      <c r="C26" s="298">
        <f>90%/30</f>
        <v>3.0000000000000002E-2</v>
      </c>
      <c r="D26" s="298">
        <f>90%/30</f>
        <v>3.0000000000000002E-2</v>
      </c>
      <c r="E26" s="298">
        <f t="shared" ref="E26:V26" si="10">90%/30</f>
        <v>3.0000000000000002E-2</v>
      </c>
      <c r="F26" s="298">
        <f t="shared" si="10"/>
        <v>3.0000000000000002E-2</v>
      </c>
      <c r="G26" s="298">
        <f t="shared" si="10"/>
        <v>3.0000000000000002E-2</v>
      </c>
      <c r="H26" s="298">
        <f t="shared" si="10"/>
        <v>3.0000000000000002E-2</v>
      </c>
      <c r="I26" s="298">
        <f t="shared" si="10"/>
        <v>3.0000000000000002E-2</v>
      </c>
      <c r="J26" s="298">
        <f t="shared" si="10"/>
        <v>3.0000000000000002E-2</v>
      </c>
      <c r="K26" s="298">
        <f t="shared" si="10"/>
        <v>3.0000000000000002E-2</v>
      </c>
      <c r="L26" s="298">
        <f t="shared" si="10"/>
        <v>3.0000000000000002E-2</v>
      </c>
      <c r="M26" s="298">
        <f t="shared" si="10"/>
        <v>3.0000000000000002E-2</v>
      </c>
      <c r="N26" s="298">
        <f t="shared" si="10"/>
        <v>3.0000000000000002E-2</v>
      </c>
      <c r="O26" s="298">
        <f t="shared" si="10"/>
        <v>3.0000000000000002E-2</v>
      </c>
      <c r="P26" s="298">
        <f t="shared" si="10"/>
        <v>3.0000000000000002E-2</v>
      </c>
      <c r="Q26" s="298">
        <f t="shared" si="10"/>
        <v>3.0000000000000002E-2</v>
      </c>
      <c r="R26" s="298">
        <f t="shared" si="10"/>
        <v>3.0000000000000002E-2</v>
      </c>
      <c r="S26" s="298">
        <f t="shared" si="10"/>
        <v>3.0000000000000002E-2</v>
      </c>
      <c r="T26" s="298">
        <f t="shared" si="10"/>
        <v>3.0000000000000002E-2</v>
      </c>
      <c r="U26" s="298">
        <f t="shared" si="10"/>
        <v>3.0000000000000002E-2</v>
      </c>
      <c r="V26" s="298">
        <f t="shared" si="10"/>
        <v>3.0000000000000002E-2</v>
      </c>
    </row>
    <row r="27" spans="1:22">
      <c r="B27" s="16"/>
      <c r="C27" s="16"/>
      <c r="D27" s="16"/>
    </row>
    <row r="28" spans="1:22">
      <c r="A28" s="16" t="s">
        <v>107</v>
      </c>
      <c r="B28" s="120">
        <f>SUM('Summary Output'!$G$8,'Summary Output'!$G$9)*Allocation!$C$9+'Amortization of Power Contract'!$C$23</f>
        <v>176084.52309908584</v>
      </c>
      <c r="C28" s="19">
        <f>B30</f>
        <v>176084.52309908584</v>
      </c>
      <c r="D28" s="19">
        <f>C30</f>
        <v>170801.98740611327</v>
      </c>
      <c r="E28" s="19">
        <f t="shared" ref="E28:V28" si="11">D30</f>
        <v>165519.4517131407</v>
      </c>
      <c r="F28" s="19">
        <f t="shared" si="11"/>
        <v>160236.91602016814</v>
      </c>
      <c r="G28" s="19">
        <f t="shared" si="11"/>
        <v>154954.38032719557</v>
      </c>
      <c r="H28" s="19">
        <f t="shared" si="11"/>
        <v>149671.844634223</v>
      </c>
      <c r="I28" s="19">
        <f t="shared" si="11"/>
        <v>144389.30894125043</v>
      </c>
      <c r="J28" s="19">
        <f t="shared" si="11"/>
        <v>139106.77324827787</v>
      </c>
      <c r="K28" s="19">
        <f t="shared" si="11"/>
        <v>133824.2375553053</v>
      </c>
      <c r="L28" s="19">
        <f t="shared" si="11"/>
        <v>128541.70186233272</v>
      </c>
      <c r="M28" s="19">
        <f t="shared" si="11"/>
        <v>123259.16616936013</v>
      </c>
      <c r="N28" s="19">
        <f t="shared" si="11"/>
        <v>117976.63047638755</v>
      </c>
      <c r="O28" s="19">
        <f t="shared" si="11"/>
        <v>112694.09478341497</v>
      </c>
      <c r="P28" s="19">
        <f t="shared" si="11"/>
        <v>107411.55909044239</v>
      </c>
      <c r="Q28" s="19">
        <f t="shared" si="11"/>
        <v>102129.02339746981</v>
      </c>
      <c r="R28" s="19">
        <f t="shared" si="11"/>
        <v>96846.487704497224</v>
      </c>
      <c r="S28" s="19">
        <f t="shared" si="11"/>
        <v>91563.952011524641</v>
      </c>
      <c r="T28" s="19">
        <f t="shared" si="11"/>
        <v>86281.416318552059</v>
      </c>
      <c r="U28" s="19">
        <f t="shared" si="11"/>
        <v>80998.880625579477</v>
      </c>
      <c r="V28" s="19">
        <f t="shared" si="11"/>
        <v>75716.344932606895</v>
      </c>
    </row>
    <row r="29" spans="1:22">
      <c r="A29" s="16" t="s">
        <v>108</v>
      </c>
      <c r="B29" s="51">
        <f>$B$28*B26</f>
        <v>0</v>
      </c>
      <c r="C29" s="51">
        <f t="shared" ref="C29:V29" si="12">$B$28*C26</f>
        <v>5282.5356929725758</v>
      </c>
      <c r="D29" s="51">
        <f t="shared" si="12"/>
        <v>5282.5356929725758</v>
      </c>
      <c r="E29" s="51">
        <f t="shared" si="12"/>
        <v>5282.5356929725758</v>
      </c>
      <c r="F29" s="51">
        <f t="shared" si="12"/>
        <v>5282.5356929725758</v>
      </c>
      <c r="G29" s="51">
        <f t="shared" si="12"/>
        <v>5282.5356929725758</v>
      </c>
      <c r="H29" s="51">
        <f t="shared" si="12"/>
        <v>5282.5356929725758</v>
      </c>
      <c r="I29" s="51">
        <f t="shared" si="12"/>
        <v>5282.5356929725758</v>
      </c>
      <c r="J29" s="51">
        <f t="shared" si="12"/>
        <v>5282.5356929725758</v>
      </c>
      <c r="K29" s="51">
        <f t="shared" si="12"/>
        <v>5282.5356929725758</v>
      </c>
      <c r="L29" s="51">
        <f t="shared" si="12"/>
        <v>5282.5356929725758</v>
      </c>
      <c r="M29" s="51">
        <f t="shared" si="12"/>
        <v>5282.5356929725758</v>
      </c>
      <c r="N29" s="51">
        <f t="shared" si="12"/>
        <v>5282.5356929725758</v>
      </c>
      <c r="O29" s="51">
        <f t="shared" si="12"/>
        <v>5282.5356929725758</v>
      </c>
      <c r="P29" s="51">
        <f t="shared" si="12"/>
        <v>5282.5356929725758</v>
      </c>
      <c r="Q29" s="51">
        <f t="shared" si="12"/>
        <v>5282.5356929725758</v>
      </c>
      <c r="R29" s="51">
        <f t="shared" si="12"/>
        <v>5282.5356929725758</v>
      </c>
      <c r="S29" s="51">
        <f t="shared" si="12"/>
        <v>5282.5356929725758</v>
      </c>
      <c r="T29" s="51">
        <f t="shared" si="12"/>
        <v>5282.5356929725758</v>
      </c>
      <c r="U29" s="51">
        <f t="shared" si="12"/>
        <v>5282.5356929725758</v>
      </c>
      <c r="V29" s="51">
        <f t="shared" si="12"/>
        <v>5282.5356929725758</v>
      </c>
    </row>
    <row r="30" spans="1:22">
      <c r="A30" s="16" t="s">
        <v>109</v>
      </c>
      <c r="B30" s="19">
        <f>B28-B29</f>
        <v>176084.52309908584</v>
      </c>
      <c r="C30" s="19">
        <f>C28-C29</f>
        <v>170801.98740611327</v>
      </c>
      <c r="D30" s="19">
        <f>D28-D29</f>
        <v>165519.4517131407</v>
      </c>
      <c r="E30" s="19">
        <f t="shared" ref="E30:V30" si="13">E28-E29</f>
        <v>160236.91602016814</v>
      </c>
      <c r="F30" s="19">
        <f t="shared" si="13"/>
        <v>154954.38032719557</v>
      </c>
      <c r="G30" s="19">
        <f t="shared" si="13"/>
        <v>149671.844634223</v>
      </c>
      <c r="H30" s="19">
        <f t="shared" si="13"/>
        <v>144389.30894125043</v>
      </c>
      <c r="I30" s="19">
        <f t="shared" si="13"/>
        <v>139106.77324827787</v>
      </c>
      <c r="J30" s="19">
        <f t="shared" si="13"/>
        <v>133824.2375553053</v>
      </c>
      <c r="K30" s="19">
        <f t="shared" si="13"/>
        <v>128541.70186233272</v>
      </c>
      <c r="L30" s="19">
        <f t="shared" si="13"/>
        <v>123259.16616936013</v>
      </c>
      <c r="M30" s="19">
        <f t="shared" si="13"/>
        <v>117976.63047638755</v>
      </c>
      <c r="N30" s="19">
        <f t="shared" si="13"/>
        <v>112694.09478341497</v>
      </c>
      <c r="O30" s="19">
        <f t="shared" si="13"/>
        <v>107411.55909044239</v>
      </c>
      <c r="P30" s="19">
        <f t="shared" si="13"/>
        <v>102129.02339746981</v>
      </c>
      <c r="Q30" s="19">
        <f t="shared" si="13"/>
        <v>96846.487704497224</v>
      </c>
      <c r="R30" s="19">
        <f t="shared" si="13"/>
        <v>91563.952011524641</v>
      </c>
      <c r="S30" s="19">
        <f t="shared" si="13"/>
        <v>86281.416318552059</v>
      </c>
      <c r="T30" s="19">
        <f t="shared" si="13"/>
        <v>80998.880625579477</v>
      </c>
      <c r="U30" s="19">
        <f t="shared" si="13"/>
        <v>75716.344932606895</v>
      </c>
      <c r="V30" s="19">
        <f t="shared" si="13"/>
        <v>70433.809239634313</v>
      </c>
    </row>
    <row r="31" spans="1:22">
      <c r="B31" s="16"/>
      <c r="C31" s="16"/>
      <c r="D31" s="16"/>
    </row>
    <row r="32" spans="1:22">
      <c r="A32" s="39" t="s">
        <v>103</v>
      </c>
      <c r="B32" s="16"/>
      <c r="C32" s="16"/>
      <c r="D32" s="16"/>
    </row>
    <row r="33" spans="1:26">
      <c r="A33" s="21" t="s">
        <v>105</v>
      </c>
      <c r="B33" s="297">
        <v>0</v>
      </c>
      <c r="C33" s="297">
        <v>12</v>
      </c>
      <c r="D33" s="297">
        <v>12</v>
      </c>
      <c r="E33" s="297">
        <v>12</v>
      </c>
      <c r="F33" s="297">
        <v>12</v>
      </c>
      <c r="G33" s="297">
        <v>12</v>
      </c>
      <c r="H33" s="297">
        <v>12</v>
      </c>
      <c r="I33" s="297">
        <v>12</v>
      </c>
      <c r="J33" s="297">
        <v>12</v>
      </c>
      <c r="K33" s="297">
        <v>12</v>
      </c>
      <c r="L33" s="297">
        <v>12</v>
      </c>
      <c r="M33" s="297">
        <v>12</v>
      </c>
      <c r="N33" s="297">
        <v>12</v>
      </c>
      <c r="O33" s="297">
        <v>12</v>
      </c>
      <c r="P33" s="297">
        <v>12</v>
      </c>
      <c r="Q33" s="297">
        <v>12</v>
      </c>
      <c r="R33" s="297">
        <v>12</v>
      </c>
      <c r="S33" s="297">
        <v>12</v>
      </c>
      <c r="T33" s="297">
        <v>12</v>
      </c>
      <c r="U33" s="297">
        <v>12</v>
      </c>
      <c r="V33" s="297">
        <v>12</v>
      </c>
    </row>
    <row r="34" spans="1:26">
      <c r="A34" s="16" t="s">
        <v>106</v>
      </c>
      <c r="B34" s="298">
        <v>0</v>
      </c>
      <c r="C34" s="298">
        <f>90%/30</f>
        <v>3.0000000000000002E-2</v>
      </c>
      <c r="D34" s="298">
        <f>90%/30</f>
        <v>3.0000000000000002E-2</v>
      </c>
      <c r="E34" s="298">
        <f t="shared" ref="E34:V34" si="14">90%/30</f>
        <v>3.0000000000000002E-2</v>
      </c>
      <c r="F34" s="298">
        <f t="shared" si="14"/>
        <v>3.0000000000000002E-2</v>
      </c>
      <c r="G34" s="298">
        <f t="shared" si="14"/>
        <v>3.0000000000000002E-2</v>
      </c>
      <c r="H34" s="298">
        <f t="shared" si="14"/>
        <v>3.0000000000000002E-2</v>
      </c>
      <c r="I34" s="298">
        <f t="shared" si="14"/>
        <v>3.0000000000000002E-2</v>
      </c>
      <c r="J34" s="298">
        <f t="shared" si="14"/>
        <v>3.0000000000000002E-2</v>
      </c>
      <c r="K34" s="298">
        <f t="shared" si="14"/>
        <v>3.0000000000000002E-2</v>
      </c>
      <c r="L34" s="298">
        <f t="shared" si="14"/>
        <v>3.0000000000000002E-2</v>
      </c>
      <c r="M34" s="298">
        <f t="shared" si="14"/>
        <v>3.0000000000000002E-2</v>
      </c>
      <c r="N34" s="298">
        <f t="shared" si="14"/>
        <v>3.0000000000000002E-2</v>
      </c>
      <c r="O34" s="298">
        <f t="shared" si="14"/>
        <v>3.0000000000000002E-2</v>
      </c>
      <c r="P34" s="298">
        <f t="shared" si="14"/>
        <v>3.0000000000000002E-2</v>
      </c>
      <c r="Q34" s="298">
        <f t="shared" si="14"/>
        <v>3.0000000000000002E-2</v>
      </c>
      <c r="R34" s="298">
        <f t="shared" si="14"/>
        <v>3.0000000000000002E-2</v>
      </c>
      <c r="S34" s="298">
        <f t="shared" si="14"/>
        <v>3.0000000000000002E-2</v>
      </c>
      <c r="T34" s="298">
        <f t="shared" si="14"/>
        <v>3.0000000000000002E-2</v>
      </c>
      <c r="U34" s="298">
        <f t="shared" si="14"/>
        <v>3.0000000000000002E-2</v>
      </c>
      <c r="V34" s="298">
        <f t="shared" si="14"/>
        <v>3.0000000000000002E-2</v>
      </c>
    </row>
    <row r="35" spans="1:26">
      <c r="B35" s="16"/>
      <c r="C35" s="16"/>
      <c r="D35" s="16"/>
    </row>
    <row r="36" spans="1:26">
      <c r="A36" s="16" t="s">
        <v>107</v>
      </c>
      <c r="B36" s="120">
        <f>SUM('Summary Output'!$G$8,'Summary Output'!$G$9)*Allocation!$C$12+'Amortization of Power Contract'!$C$29</f>
        <v>210736.91216217587</v>
      </c>
      <c r="C36" s="19">
        <f>B38</f>
        <v>210736.91216217587</v>
      </c>
      <c r="D36" s="19">
        <f>C38</f>
        <v>204414.80479731059</v>
      </c>
      <c r="E36" s="19">
        <f t="shared" ref="E36:V36" si="15">D38</f>
        <v>198092.6974324453</v>
      </c>
      <c r="F36" s="19">
        <f t="shared" si="15"/>
        <v>191770.59006758002</v>
      </c>
      <c r="G36" s="19">
        <f t="shared" si="15"/>
        <v>185448.48270271474</v>
      </c>
      <c r="H36" s="19">
        <f t="shared" si="15"/>
        <v>179126.37533784946</v>
      </c>
      <c r="I36" s="19">
        <f t="shared" si="15"/>
        <v>172804.26797298418</v>
      </c>
      <c r="J36" s="19">
        <f t="shared" si="15"/>
        <v>166482.16060811889</v>
      </c>
      <c r="K36" s="19">
        <f t="shared" si="15"/>
        <v>160160.05324325361</v>
      </c>
      <c r="L36" s="19">
        <f t="shared" si="15"/>
        <v>153837.94587838833</v>
      </c>
      <c r="M36" s="19">
        <f t="shared" si="15"/>
        <v>147515.83851352305</v>
      </c>
      <c r="N36" s="19">
        <f t="shared" si="15"/>
        <v>141193.73114865777</v>
      </c>
      <c r="O36" s="19">
        <f t="shared" si="15"/>
        <v>134871.62378379249</v>
      </c>
      <c r="P36" s="19">
        <f t="shared" si="15"/>
        <v>128549.5164189272</v>
      </c>
      <c r="Q36" s="19">
        <f t="shared" si="15"/>
        <v>122227.40905406192</v>
      </c>
      <c r="R36" s="19">
        <f t="shared" si="15"/>
        <v>115905.30168919664</v>
      </c>
      <c r="S36" s="19">
        <f t="shared" si="15"/>
        <v>109583.19432433136</v>
      </c>
      <c r="T36" s="19">
        <f t="shared" si="15"/>
        <v>103261.08695946608</v>
      </c>
      <c r="U36" s="19">
        <f t="shared" si="15"/>
        <v>96938.979594600794</v>
      </c>
      <c r="V36" s="19">
        <f t="shared" si="15"/>
        <v>90616.872229735513</v>
      </c>
    </row>
    <row r="37" spans="1:26">
      <c r="A37" s="16" t="s">
        <v>108</v>
      </c>
      <c r="B37" s="51">
        <f>$B$36*B34</f>
        <v>0</v>
      </c>
      <c r="C37" s="51">
        <f t="shared" ref="C37:V37" si="16">$B$36*C34</f>
        <v>6322.1073648652764</v>
      </c>
      <c r="D37" s="51">
        <f t="shared" si="16"/>
        <v>6322.1073648652764</v>
      </c>
      <c r="E37" s="51">
        <f t="shared" si="16"/>
        <v>6322.1073648652764</v>
      </c>
      <c r="F37" s="51">
        <f t="shared" si="16"/>
        <v>6322.1073648652764</v>
      </c>
      <c r="G37" s="51">
        <f t="shared" si="16"/>
        <v>6322.1073648652764</v>
      </c>
      <c r="H37" s="51">
        <f t="shared" si="16"/>
        <v>6322.1073648652764</v>
      </c>
      <c r="I37" s="51">
        <f t="shared" si="16"/>
        <v>6322.1073648652764</v>
      </c>
      <c r="J37" s="51">
        <f t="shared" si="16"/>
        <v>6322.1073648652764</v>
      </c>
      <c r="K37" s="51">
        <f t="shared" si="16"/>
        <v>6322.1073648652764</v>
      </c>
      <c r="L37" s="51">
        <f t="shared" si="16"/>
        <v>6322.1073648652764</v>
      </c>
      <c r="M37" s="51">
        <f t="shared" si="16"/>
        <v>6322.1073648652764</v>
      </c>
      <c r="N37" s="51">
        <f t="shared" si="16"/>
        <v>6322.1073648652764</v>
      </c>
      <c r="O37" s="51">
        <f t="shared" si="16"/>
        <v>6322.1073648652764</v>
      </c>
      <c r="P37" s="51">
        <f t="shared" si="16"/>
        <v>6322.1073648652764</v>
      </c>
      <c r="Q37" s="51">
        <f t="shared" si="16"/>
        <v>6322.1073648652764</v>
      </c>
      <c r="R37" s="51">
        <f t="shared" si="16"/>
        <v>6322.1073648652764</v>
      </c>
      <c r="S37" s="51">
        <f t="shared" si="16"/>
        <v>6322.1073648652764</v>
      </c>
      <c r="T37" s="51">
        <f t="shared" si="16"/>
        <v>6322.1073648652764</v>
      </c>
      <c r="U37" s="51">
        <f t="shared" si="16"/>
        <v>6322.1073648652764</v>
      </c>
      <c r="V37" s="51">
        <f t="shared" si="16"/>
        <v>6322.1073648652764</v>
      </c>
    </row>
    <row r="38" spans="1:26">
      <c r="A38" s="16" t="s">
        <v>109</v>
      </c>
      <c r="B38" s="19">
        <f>B36-B37</f>
        <v>210736.91216217587</v>
      </c>
      <c r="C38" s="19">
        <f>C36-C37</f>
        <v>204414.80479731059</v>
      </c>
      <c r="D38" s="19">
        <f>D36-D37</f>
        <v>198092.6974324453</v>
      </c>
      <c r="E38" s="19">
        <f t="shared" ref="E38:V38" si="17">E36-E37</f>
        <v>191770.59006758002</v>
      </c>
      <c r="F38" s="19">
        <f t="shared" si="17"/>
        <v>185448.48270271474</v>
      </c>
      <c r="G38" s="19">
        <f t="shared" si="17"/>
        <v>179126.37533784946</v>
      </c>
      <c r="H38" s="19">
        <f t="shared" si="17"/>
        <v>172804.26797298418</v>
      </c>
      <c r="I38" s="19">
        <f t="shared" si="17"/>
        <v>166482.16060811889</v>
      </c>
      <c r="J38" s="19">
        <f t="shared" si="17"/>
        <v>160160.05324325361</v>
      </c>
      <c r="K38" s="19">
        <f t="shared" si="17"/>
        <v>153837.94587838833</v>
      </c>
      <c r="L38" s="19">
        <f t="shared" si="17"/>
        <v>147515.83851352305</v>
      </c>
      <c r="M38" s="19">
        <f t="shared" si="17"/>
        <v>141193.73114865777</v>
      </c>
      <c r="N38" s="19">
        <f t="shared" si="17"/>
        <v>134871.62378379249</v>
      </c>
      <c r="O38" s="19">
        <f t="shared" si="17"/>
        <v>128549.5164189272</v>
      </c>
      <c r="P38" s="19">
        <f t="shared" si="17"/>
        <v>122227.40905406192</v>
      </c>
      <c r="Q38" s="19">
        <f t="shared" si="17"/>
        <v>115905.30168919664</v>
      </c>
      <c r="R38" s="19">
        <f t="shared" si="17"/>
        <v>109583.19432433136</v>
      </c>
      <c r="S38" s="19">
        <f t="shared" si="17"/>
        <v>103261.08695946608</v>
      </c>
      <c r="T38" s="19">
        <f t="shared" si="17"/>
        <v>96938.979594600794</v>
      </c>
      <c r="U38" s="19">
        <f t="shared" si="17"/>
        <v>90616.872229735513</v>
      </c>
      <c r="V38" s="19">
        <f t="shared" si="17"/>
        <v>84294.764864870231</v>
      </c>
    </row>
    <row r="39" spans="1:26">
      <c r="B39" s="16"/>
      <c r="C39" s="16"/>
      <c r="D39" s="16"/>
    </row>
    <row r="40" spans="1:26">
      <c r="A40" s="39" t="s">
        <v>12</v>
      </c>
      <c r="B40" s="16"/>
      <c r="C40" s="16"/>
      <c r="D40" s="16"/>
    </row>
    <row r="41" spans="1:26">
      <c r="A41" s="21" t="s">
        <v>105</v>
      </c>
      <c r="B41" s="297">
        <v>0</v>
      </c>
      <c r="C41" s="297">
        <v>12</v>
      </c>
      <c r="D41" s="297">
        <v>12</v>
      </c>
      <c r="E41" s="297">
        <v>12</v>
      </c>
      <c r="F41" s="297">
        <v>12</v>
      </c>
      <c r="G41" s="297">
        <v>12</v>
      </c>
      <c r="H41" s="297">
        <v>12</v>
      </c>
      <c r="I41" s="297">
        <v>12</v>
      </c>
      <c r="J41" s="297">
        <v>12</v>
      </c>
      <c r="K41" s="297">
        <v>12</v>
      </c>
      <c r="L41" s="297">
        <v>12</v>
      </c>
      <c r="M41" s="297">
        <v>12</v>
      </c>
      <c r="N41" s="297">
        <v>12</v>
      </c>
      <c r="O41" s="297">
        <v>12</v>
      </c>
      <c r="P41" s="297">
        <v>12</v>
      </c>
      <c r="Q41" s="297">
        <v>12</v>
      </c>
      <c r="R41" s="297">
        <v>12</v>
      </c>
      <c r="S41" s="297">
        <v>12</v>
      </c>
      <c r="T41" s="297">
        <v>12</v>
      </c>
      <c r="U41" s="297">
        <v>12</v>
      </c>
      <c r="V41" s="297">
        <v>12</v>
      </c>
    </row>
    <row r="42" spans="1:26">
      <c r="A42" s="16" t="s">
        <v>106</v>
      </c>
      <c r="B42" s="298">
        <v>0</v>
      </c>
      <c r="C42" s="298">
        <f>90%/30</f>
        <v>3.0000000000000002E-2</v>
      </c>
      <c r="D42" s="298">
        <f>90%/30</f>
        <v>3.0000000000000002E-2</v>
      </c>
      <c r="E42" s="298">
        <f t="shared" ref="E42:V42" si="18">90%/30</f>
        <v>3.0000000000000002E-2</v>
      </c>
      <c r="F42" s="298">
        <f t="shared" si="18"/>
        <v>3.0000000000000002E-2</v>
      </c>
      <c r="G42" s="298">
        <f t="shared" si="18"/>
        <v>3.0000000000000002E-2</v>
      </c>
      <c r="H42" s="298">
        <f t="shared" si="18"/>
        <v>3.0000000000000002E-2</v>
      </c>
      <c r="I42" s="298">
        <f t="shared" si="18"/>
        <v>3.0000000000000002E-2</v>
      </c>
      <c r="J42" s="298">
        <f t="shared" si="18"/>
        <v>3.0000000000000002E-2</v>
      </c>
      <c r="K42" s="298">
        <f t="shared" si="18"/>
        <v>3.0000000000000002E-2</v>
      </c>
      <c r="L42" s="298">
        <f t="shared" si="18"/>
        <v>3.0000000000000002E-2</v>
      </c>
      <c r="M42" s="298">
        <f t="shared" si="18"/>
        <v>3.0000000000000002E-2</v>
      </c>
      <c r="N42" s="298">
        <f t="shared" si="18"/>
        <v>3.0000000000000002E-2</v>
      </c>
      <c r="O42" s="298">
        <f t="shared" si="18"/>
        <v>3.0000000000000002E-2</v>
      </c>
      <c r="P42" s="298">
        <f t="shared" si="18"/>
        <v>3.0000000000000002E-2</v>
      </c>
      <c r="Q42" s="298">
        <f t="shared" si="18"/>
        <v>3.0000000000000002E-2</v>
      </c>
      <c r="R42" s="298">
        <f t="shared" si="18"/>
        <v>3.0000000000000002E-2</v>
      </c>
      <c r="S42" s="298">
        <f t="shared" si="18"/>
        <v>3.0000000000000002E-2</v>
      </c>
      <c r="T42" s="298">
        <f t="shared" si="18"/>
        <v>3.0000000000000002E-2</v>
      </c>
      <c r="U42" s="298">
        <f t="shared" si="18"/>
        <v>3.0000000000000002E-2</v>
      </c>
      <c r="V42" s="298">
        <f t="shared" si="18"/>
        <v>3.0000000000000002E-2</v>
      </c>
    </row>
    <row r="43" spans="1:26">
      <c r="B43" s="16"/>
      <c r="C43" s="16"/>
      <c r="D43" s="16"/>
      <c r="Y43" s="280" t="s">
        <v>82</v>
      </c>
      <c r="Z43" s="195"/>
    </row>
    <row r="44" spans="1:26">
      <c r="A44" s="16" t="s">
        <v>107</v>
      </c>
      <c r="B44" s="120">
        <f>SUM('Summary Output'!$G$8,'Summary Output'!$G$9)*Allocation!$C$13+'Amortization of Power Contract'!$C$35</f>
        <v>196774.44130784101</v>
      </c>
      <c r="C44" s="19">
        <f>B46</f>
        <v>196774.44130784101</v>
      </c>
      <c r="D44" s="19">
        <f>C46</f>
        <v>190871.20806860577</v>
      </c>
      <c r="E44" s="19">
        <f t="shared" ref="E44:V44" si="19">D46</f>
        <v>184967.97482937053</v>
      </c>
      <c r="F44" s="19">
        <f t="shared" si="19"/>
        <v>179064.74159013529</v>
      </c>
      <c r="G44" s="19">
        <f t="shared" si="19"/>
        <v>173161.50835090005</v>
      </c>
      <c r="H44" s="19">
        <f t="shared" si="19"/>
        <v>167258.27511166481</v>
      </c>
      <c r="I44" s="19">
        <f t="shared" si="19"/>
        <v>161355.04187242957</v>
      </c>
      <c r="J44" s="19">
        <f t="shared" si="19"/>
        <v>155451.80863319433</v>
      </c>
      <c r="K44" s="19">
        <f t="shared" si="19"/>
        <v>149548.57539395909</v>
      </c>
      <c r="L44" s="19">
        <f t="shared" si="19"/>
        <v>143645.34215472385</v>
      </c>
      <c r="M44" s="19">
        <f t="shared" si="19"/>
        <v>137742.10891548861</v>
      </c>
      <c r="N44" s="19">
        <f t="shared" si="19"/>
        <v>131838.87567625337</v>
      </c>
      <c r="O44" s="19">
        <f t="shared" si="19"/>
        <v>125935.64243701815</v>
      </c>
      <c r="P44" s="19">
        <f t="shared" si="19"/>
        <v>120032.40919778292</v>
      </c>
      <c r="Q44" s="19">
        <f t="shared" si="19"/>
        <v>114129.1759585477</v>
      </c>
      <c r="R44" s="19">
        <f t="shared" si="19"/>
        <v>108225.94271931247</v>
      </c>
      <c r="S44" s="19">
        <f t="shared" si="19"/>
        <v>102322.70948007725</v>
      </c>
      <c r="T44" s="19">
        <f t="shared" si="19"/>
        <v>96419.476240842021</v>
      </c>
      <c r="U44" s="19">
        <f t="shared" si="19"/>
        <v>90516.243001606796</v>
      </c>
      <c r="V44" s="19">
        <f t="shared" si="19"/>
        <v>84613.00976237157</v>
      </c>
      <c r="Y44" s="306"/>
      <c r="Z44" s="196"/>
    </row>
    <row r="45" spans="1:26">
      <c r="A45" s="16" t="s">
        <v>108</v>
      </c>
      <c r="B45" s="51">
        <f t="shared" ref="B45:V45" si="20">$B$44*B42</f>
        <v>0</v>
      </c>
      <c r="C45" s="51">
        <f t="shared" si="20"/>
        <v>5903.2332392352309</v>
      </c>
      <c r="D45" s="51">
        <f t="shared" si="20"/>
        <v>5903.2332392352309</v>
      </c>
      <c r="E45" s="51">
        <f t="shared" si="20"/>
        <v>5903.2332392352309</v>
      </c>
      <c r="F45" s="51">
        <f t="shared" si="20"/>
        <v>5903.2332392352309</v>
      </c>
      <c r="G45" s="51">
        <f t="shared" si="20"/>
        <v>5903.2332392352309</v>
      </c>
      <c r="H45" s="51">
        <f t="shared" si="20"/>
        <v>5903.2332392352309</v>
      </c>
      <c r="I45" s="51">
        <f t="shared" si="20"/>
        <v>5903.2332392352309</v>
      </c>
      <c r="J45" s="51">
        <f t="shared" si="20"/>
        <v>5903.2332392352309</v>
      </c>
      <c r="K45" s="51">
        <f t="shared" si="20"/>
        <v>5903.2332392352309</v>
      </c>
      <c r="L45" s="51">
        <f t="shared" si="20"/>
        <v>5903.2332392352309</v>
      </c>
      <c r="M45" s="51">
        <f t="shared" si="20"/>
        <v>5903.2332392352309</v>
      </c>
      <c r="N45" s="51">
        <f t="shared" si="20"/>
        <v>5903.2332392352309</v>
      </c>
      <c r="O45" s="51">
        <f t="shared" si="20"/>
        <v>5903.2332392352309</v>
      </c>
      <c r="P45" s="51">
        <f t="shared" si="20"/>
        <v>5903.2332392352309</v>
      </c>
      <c r="Q45" s="51">
        <f t="shared" si="20"/>
        <v>5903.2332392352309</v>
      </c>
      <c r="R45" s="51">
        <f t="shared" si="20"/>
        <v>5903.2332392352309</v>
      </c>
      <c r="S45" s="51">
        <f t="shared" si="20"/>
        <v>5903.2332392352309</v>
      </c>
      <c r="T45" s="51">
        <f t="shared" si="20"/>
        <v>5903.2332392352309</v>
      </c>
      <c r="U45" s="51">
        <f t="shared" si="20"/>
        <v>5903.2332392352309</v>
      </c>
      <c r="V45" s="51">
        <f t="shared" si="20"/>
        <v>5903.2332392352309</v>
      </c>
      <c r="Y45" s="281">
        <v>0</v>
      </c>
      <c r="Z45" s="282">
        <v>0</v>
      </c>
    </row>
    <row r="46" spans="1:26">
      <c r="A46" s="16" t="s">
        <v>109</v>
      </c>
      <c r="B46" s="19">
        <f>B44-B45</f>
        <v>196774.44130784101</v>
      </c>
      <c r="C46" s="19">
        <f t="shared" ref="C46:V46" si="21">C44-C45</f>
        <v>190871.20806860577</v>
      </c>
      <c r="D46" s="19">
        <f t="shared" si="21"/>
        <v>184967.97482937053</v>
      </c>
      <c r="E46" s="19">
        <f t="shared" si="21"/>
        <v>179064.74159013529</v>
      </c>
      <c r="F46" s="19">
        <f t="shared" si="21"/>
        <v>173161.50835090005</v>
      </c>
      <c r="G46" s="19">
        <f t="shared" si="21"/>
        <v>167258.27511166481</v>
      </c>
      <c r="H46" s="19">
        <f t="shared" si="21"/>
        <v>161355.04187242957</v>
      </c>
      <c r="I46" s="19">
        <f t="shared" si="21"/>
        <v>155451.80863319433</v>
      </c>
      <c r="J46" s="19">
        <f t="shared" si="21"/>
        <v>149548.57539395909</v>
      </c>
      <c r="K46" s="19">
        <f t="shared" si="21"/>
        <v>143645.34215472385</v>
      </c>
      <c r="L46" s="19">
        <f t="shared" si="21"/>
        <v>137742.10891548861</v>
      </c>
      <c r="M46" s="19">
        <f t="shared" si="21"/>
        <v>131838.87567625337</v>
      </c>
      <c r="N46" s="19">
        <f t="shared" si="21"/>
        <v>125935.64243701815</v>
      </c>
      <c r="O46" s="19">
        <f t="shared" si="21"/>
        <v>120032.40919778292</v>
      </c>
      <c r="P46" s="19">
        <f t="shared" si="21"/>
        <v>114129.1759585477</v>
      </c>
      <c r="Q46" s="19">
        <f t="shared" si="21"/>
        <v>108225.94271931247</v>
      </c>
      <c r="R46" s="19">
        <f t="shared" si="21"/>
        <v>102322.70948007725</v>
      </c>
      <c r="S46" s="19">
        <f t="shared" si="21"/>
        <v>96419.476240842021</v>
      </c>
      <c r="T46" s="19">
        <f t="shared" si="21"/>
        <v>90516.243001606796</v>
      </c>
      <c r="U46" s="19">
        <f t="shared" si="21"/>
        <v>84613.00976237157</v>
      </c>
      <c r="V46" s="19">
        <f t="shared" si="21"/>
        <v>78709.776523136345</v>
      </c>
      <c r="Y46" s="281">
        <v>1</v>
      </c>
      <c r="Z46" s="282">
        <v>0.05</v>
      </c>
    </row>
    <row r="47" spans="1:26">
      <c r="B47" s="16"/>
      <c r="C47" s="16"/>
      <c r="D47" s="16"/>
      <c r="Y47" s="281">
        <v>2</v>
      </c>
      <c r="Z47" s="282">
        <v>9.5000000000000001E-2</v>
      </c>
    </row>
    <row r="48" spans="1:26">
      <c r="A48" s="39" t="s">
        <v>13</v>
      </c>
      <c r="B48" s="16"/>
      <c r="C48" s="16"/>
      <c r="D48" s="16"/>
      <c r="Y48" s="281">
        <v>3</v>
      </c>
      <c r="Z48" s="282">
        <v>8.5500000000000007E-2</v>
      </c>
    </row>
    <row r="49" spans="1:26">
      <c r="A49" s="21" t="s">
        <v>105</v>
      </c>
      <c r="B49" s="297">
        <v>0</v>
      </c>
      <c r="C49" s="297">
        <v>12</v>
      </c>
      <c r="D49" s="297">
        <v>12</v>
      </c>
      <c r="E49" s="297">
        <v>12</v>
      </c>
      <c r="F49" s="297">
        <v>12</v>
      </c>
      <c r="G49" s="297">
        <v>12</v>
      </c>
      <c r="H49" s="297">
        <v>12</v>
      </c>
      <c r="I49" s="297">
        <v>12</v>
      </c>
      <c r="J49" s="297">
        <v>12</v>
      </c>
      <c r="K49" s="297">
        <v>12</v>
      </c>
      <c r="L49" s="297">
        <v>12</v>
      </c>
      <c r="M49" s="297">
        <v>12</v>
      </c>
      <c r="N49" s="297">
        <v>12</v>
      </c>
      <c r="O49" s="297">
        <v>12</v>
      </c>
      <c r="P49" s="297">
        <v>12</v>
      </c>
      <c r="Q49" s="297">
        <v>12</v>
      </c>
      <c r="R49" s="297">
        <v>12</v>
      </c>
      <c r="S49" s="297">
        <v>12</v>
      </c>
      <c r="T49" s="297">
        <v>12</v>
      </c>
      <c r="U49" s="297">
        <v>12</v>
      </c>
      <c r="V49" s="297">
        <v>12</v>
      </c>
      <c r="Y49" s="281">
        <v>4</v>
      </c>
      <c r="Z49" s="282">
        <v>7.6999999999999999E-2</v>
      </c>
    </row>
    <row r="50" spans="1:26">
      <c r="A50" s="16" t="s">
        <v>106</v>
      </c>
      <c r="B50" s="298">
        <v>0</v>
      </c>
      <c r="C50" s="298">
        <f>90%/30</f>
        <v>3.0000000000000002E-2</v>
      </c>
      <c r="D50" s="298">
        <f>90%/30</f>
        <v>3.0000000000000002E-2</v>
      </c>
      <c r="E50" s="298">
        <f t="shared" ref="E50:V50" si="22">90%/30</f>
        <v>3.0000000000000002E-2</v>
      </c>
      <c r="F50" s="298">
        <f t="shared" si="22"/>
        <v>3.0000000000000002E-2</v>
      </c>
      <c r="G50" s="298">
        <f t="shared" si="22"/>
        <v>3.0000000000000002E-2</v>
      </c>
      <c r="H50" s="298">
        <f t="shared" si="22"/>
        <v>3.0000000000000002E-2</v>
      </c>
      <c r="I50" s="298">
        <f t="shared" si="22"/>
        <v>3.0000000000000002E-2</v>
      </c>
      <c r="J50" s="298">
        <f t="shared" si="22"/>
        <v>3.0000000000000002E-2</v>
      </c>
      <c r="K50" s="298">
        <f t="shared" si="22"/>
        <v>3.0000000000000002E-2</v>
      </c>
      <c r="L50" s="298">
        <f t="shared" si="22"/>
        <v>3.0000000000000002E-2</v>
      </c>
      <c r="M50" s="298">
        <f t="shared" si="22"/>
        <v>3.0000000000000002E-2</v>
      </c>
      <c r="N50" s="298">
        <f t="shared" si="22"/>
        <v>3.0000000000000002E-2</v>
      </c>
      <c r="O50" s="298">
        <f t="shared" si="22"/>
        <v>3.0000000000000002E-2</v>
      </c>
      <c r="P50" s="298">
        <f t="shared" si="22"/>
        <v>3.0000000000000002E-2</v>
      </c>
      <c r="Q50" s="298">
        <f t="shared" si="22"/>
        <v>3.0000000000000002E-2</v>
      </c>
      <c r="R50" s="298">
        <f t="shared" si="22"/>
        <v>3.0000000000000002E-2</v>
      </c>
      <c r="S50" s="298">
        <f t="shared" si="22"/>
        <v>3.0000000000000002E-2</v>
      </c>
      <c r="T50" s="298">
        <f t="shared" si="22"/>
        <v>3.0000000000000002E-2</v>
      </c>
      <c r="U50" s="298">
        <f t="shared" si="22"/>
        <v>3.0000000000000002E-2</v>
      </c>
      <c r="V50" s="298">
        <f t="shared" si="22"/>
        <v>3.0000000000000002E-2</v>
      </c>
      <c r="Y50" s="281">
        <v>5</v>
      </c>
      <c r="Z50" s="282">
        <v>6.93E-2</v>
      </c>
    </row>
    <row r="51" spans="1:26">
      <c r="B51" s="16"/>
      <c r="C51" s="16"/>
      <c r="D51" s="16"/>
      <c r="Y51" s="281">
        <v>6</v>
      </c>
      <c r="Z51" s="282">
        <v>6.2300000000000001E-2</v>
      </c>
    </row>
    <row r="52" spans="1:26">
      <c r="A52" s="16" t="s">
        <v>107</v>
      </c>
      <c r="B52" s="120">
        <f>SUM('Summary Output'!$G$8,'Summary Output'!$G$9)*Allocation!$C$14+'Amortization of Power Contract'!$C$41</f>
        <v>307818.10447244247</v>
      </c>
      <c r="C52" s="19">
        <f>B54</f>
        <v>307818.10447244247</v>
      </c>
      <c r="D52" s="19">
        <f>C54</f>
        <v>298583.56133826921</v>
      </c>
      <c r="E52" s="19">
        <f t="shared" ref="E52:V52" si="23">D54</f>
        <v>289349.01820409595</v>
      </c>
      <c r="F52" s="19">
        <f t="shared" si="23"/>
        <v>280114.47506992269</v>
      </c>
      <c r="G52" s="19">
        <f t="shared" si="23"/>
        <v>270879.93193574942</v>
      </c>
      <c r="H52" s="19">
        <f t="shared" si="23"/>
        <v>261645.38880157616</v>
      </c>
      <c r="I52" s="19">
        <f t="shared" si="23"/>
        <v>252410.8456674029</v>
      </c>
      <c r="J52" s="19">
        <f t="shared" si="23"/>
        <v>243176.30253322964</v>
      </c>
      <c r="K52" s="19">
        <f t="shared" si="23"/>
        <v>233941.75939905638</v>
      </c>
      <c r="L52" s="19">
        <f t="shared" si="23"/>
        <v>224707.21626488311</v>
      </c>
      <c r="M52" s="19">
        <f t="shared" si="23"/>
        <v>215472.67313070985</v>
      </c>
      <c r="N52" s="19">
        <f t="shared" si="23"/>
        <v>206238.12999653659</v>
      </c>
      <c r="O52" s="19">
        <f t="shared" si="23"/>
        <v>197003.58686236333</v>
      </c>
      <c r="P52" s="19">
        <f t="shared" si="23"/>
        <v>187769.04372819007</v>
      </c>
      <c r="Q52" s="19">
        <f t="shared" si="23"/>
        <v>178534.5005940168</v>
      </c>
      <c r="R52" s="19">
        <f t="shared" si="23"/>
        <v>169299.95745984354</v>
      </c>
      <c r="S52" s="19">
        <f t="shared" si="23"/>
        <v>160065.41432567028</v>
      </c>
      <c r="T52" s="19">
        <f t="shared" si="23"/>
        <v>150830.87119149702</v>
      </c>
      <c r="U52" s="19">
        <f t="shared" si="23"/>
        <v>141596.32805732376</v>
      </c>
      <c r="V52" s="19">
        <f t="shared" si="23"/>
        <v>132361.7849231505</v>
      </c>
      <c r="Y52" s="281">
        <v>7</v>
      </c>
      <c r="Z52" s="282">
        <v>5.8999999999999997E-2</v>
      </c>
    </row>
    <row r="53" spans="1:26">
      <c r="A53" s="16" t="s">
        <v>108</v>
      </c>
      <c r="B53" s="51">
        <f t="shared" ref="B53:V53" si="24">$B$52*B50</f>
        <v>0</v>
      </c>
      <c r="C53" s="51">
        <f t="shared" si="24"/>
        <v>9234.5431341732747</v>
      </c>
      <c r="D53" s="51">
        <f t="shared" si="24"/>
        <v>9234.5431341732747</v>
      </c>
      <c r="E53" s="51">
        <f t="shared" si="24"/>
        <v>9234.5431341732747</v>
      </c>
      <c r="F53" s="51">
        <f t="shared" si="24"/>
        <v>9234.5431341732747</v>
      </c>
      <c r="G53" s="51">
        <f t="shared" si="24"/>
        <v>9234.5431341732747</v>
      </c>
      <c r="H53" s="51">
        <f t="shared" si="24"/>
        <v>9234.5431341732747</v>
      </c>
      <c r="I53" s="51">
        <f t="shared" si="24"/>
        <v>9234.5431341732747</v>
      </c>
      <c r="J53" s="51">
        <f t="shared" si="24"/>
        <v>9234.5431341732747</v>
      </c>
      <c r="K53" s="51">
        <f t="shared" si="24"/>
        <v>9234.5431341732747</v>
      </c>
      <c r="L53" s="51">
        <f t="shared" si="24"/>
        <v>9234.5431341732747</v>
      </c>
      <c r="M53" s="51">
        <f t="shared" si="24"/>
        <v>9234.5431341732747</v>
      </c>
      <c r="N53" s="51">
        <f t="shared" si="24"/>
        <v>9234.5431341732747</v>
      </c>
      <c r="O53" s="51">
        <f t="shared" si="24"/>
        <v>9234.5431341732747</v>
      </c>
      <c r="P53" s="51">
        <f t="shared" si="24"/>
        <v>9234.5431341732747</v>
      </c>
      <c r="Q53" s="51">
        <f t="shared" si="24"/>
        <v>9234.5431341732747</v>
      </c>
      <c r="R53" s="51">
        <f t="shared" si="24"/>
        <v>9234.5431341732747</v>
      </c>
      <c r="S53" s="51">
        <f t="shared" si="24"/>
        <v>9234.5431341732747</v>
      </c>
      <c r="T53" s="51">
        <f t="shared" si="24"/>
        <v>9234.5431341732747</v>
      </c>
      <c r="U53" s="51">
        <f t="shared" si="24"/>
        <v>9234.5431341732747</v>
      </c>
      <c r="V53" s="51">
        <f t="shared" si="24"/>
        <v>9234.5431341732747</v>
      </c>
      <c r="Y53" s="281">
        <v>8</v>
      </c>
      <c r="Z53" s="282">
        <v>5.91E-2</v>
      </c>
    </row>
    <row r="54" spans="1:26">
      <c r="A54" s="16" t="s">
        <v>109</v>
      </c>
      <c r="B54" s="19">
        <f>B52-B53</f>
        <v>307818.10447244247</v>
      </c>
      <c r="C54" s="19">
        <f t="shared" ref="C54:V54" si="25">C52-C53</f>
        <v>298583.56133826921</v>
      </c>
      <c r="D54" s="19">
        <f t="shared" si="25"/>
        <v>289349.01820409595</v>
      </c>
      <c r="E54" s="19">
        <f t="shared" si="25"/>
        <v>280114.47506992269</v>
      </c>
      <c r="F54" s="19">
        <f t="shared" si="25"/>
        <v>270879.93193574942</v>
      </c>
      <c r="G54" s="19">
        <f t="shared" si="25"/>
        <v>261645.38880157616</v>
      </c>
      <c r="H54" s="19">
        <f t="shared" si="25"/>
        <v>252410.8456674029</v>
      </c>
      <c r="I54" s="19">
        <f t="shared" si="25"/>
        <v>243176.30253322964</v>
      </c>
      <c r="J54" s="19">
        <f t="shared" si="25"/>
        <v>233941.75939905638</v>
      </c>
      <c r="K54" s="19">
        <f t="shared" si="25"/>
        <v>224707.21626488311</v>
      </c>
      <c r="L54" s="19">
        <f t="shared" si="25"/>
        <v>215472.67313070985</v>
      </c>
      <c r="M54" s="19">
        <f t="shared" si="25"/>
        <v>206238.12999653659</v>
      </c>
      <c r="N54" s="19">
        <f t="shared" si="25"/>
        <v>197003.58686236333</v>
      </c>
      <c r="O54" s="19">
        <f t="shared" si="25"/>
        <v>187769.04372819007</v>
      </c>
      <c r="P54" s="19">
        <f t="shared" si="25"/>
        <v>178534.5005940168</v>
      </c>
      <c r="Q54" s="19">
        <f t="shared" si="25"/>
        <v>169299.95745984354</v>
      </c>
      <c r="R54" s="19">
        <f t="shared" si="25"/>
        <v>160065.41432567028</v>
      </c>
      <c r="S54" s="19">
        <f t="shared" si="25"/>
        <v>150830.87119149702</v>
      </c>
      <c r="T54" s="19">
        <f t="shared" si="25"/>
        <v>141596.32805732376</v>
      </c>
      <c r="U54" s="19">
        <f t="shared" si="25"/>
        <v>132361.7849231505</v>
      </c>
      <c r="V54" s="19">
        <f t="shared" si="25"/>
        <v>123127.24178897722</v>
      </c>
      <c r="Y54" s="281">
        <v>9</v>
      </c>
      <c r="Z54" s="282">
        <v>5.8999999999999997E-2</v>
      </c>
    </row>
    <row r="55" spans="1:26">
      <c r="B55" s="16"/>
      <c r="C55" s="16"/>
      <c r="D55" s="16"/>
      <c r="Y55" s="281">
        <v>10</v>
      </c>
      <c r="Z55" s="282">
        <v>5.91E-2</v>
      </c>
    </row>
    <row r="56" spans="1:26">
      <c r="A56" s="39" t="s">
        <v>110</v>
      </c>
      <c r="B56" s="16"/>
      <c r="C56" s="16"/>
      <c r="D56" s="16"/>
      <c r="Y56" s="281">
        <v>11</v>
      </c>
      <c r="Z56" s="282">
        <v>5.8999999999999997E-2</v>
      </c>
    </row>
    <row r="57" spans="1:26">
      <c r="A57" s="16" t="s">
        <v>107</v>
      </c>
      <c r="B57" s="228">
        <f>SUM(B20,B28,B44,B52,B36,B12)</f>
        <v>1237599.8066622028</v>
      </c>
      <c r="C57" s="228">
        <f>B59</f>
        <v>1237599.8066622028</v>
      </c>
      <c r="D57" s="228">
        <f t="shared" ref="D57:V57" si="26">C59</f>
        <v>1200471.8124623368</v>
      </c>
      <c r="E57" s="228">
        <f t="shared" si="26"/>
        <v>1163343.8182624709</v>
      </c>
      <c r="F57" s="228">
        <f t="shared" si="26"/>
        <v>1126215.8240626049</v>
      </c>
      <c r="G57" s="228">
        <f t="shared" si="26"/>
        <v>1089087.829862739</v>
      </c>
      <c r="H57" s="228">
        <f t="shared" si="26"/>
        <v>1051959.835662873</v>
      </c>
      <c r="I57" s="228">
        <f t="shared" si="26"/>
        <v>1014831.8414630069</v>
      </c>
      <c r="J57" s="228">
        <f t="shared" si="26"/>
        <v>977703.84726314084</v>
      </c>
      <c r="K57" s="228">
        <f t="shared" si="26"/>
        <v>940575.85306327476</v>
      </c>
      <c r="L57" s="228">
        <f t="shared" si="26"/>
        <v>903447.85886340868</v>
      </c>
      <c r="M57" s="228">
        <f t="shared" si="26"/>
        <v>866319.8646635426</v>
      </c>
      <c r="N57" s="228">
        <f t="shared" si="26"/>
        <v>829191.87046367652</v>
      </c>
      <c r="O57" s="228">
        <f t="shared" si="26"/>
        <v>792063.87626381044</v>
      </c>
      <c r="P57" s="228">
        <f t="shared" si="26"/>
        <v>754935.88206394436</v>
      </c>
      <c r="Q57" s="228">
        <f t="shared" si="26"/>
        <v>717807.88786407828</v>
      </c>
      <c r="R57" s="228">
        <f t="shared" si="26"/>
        <v>680679.8936642122</v>
      </c>
      <c r="S57" s="228">
        <f t="shared" si="26"/>
        <v>643551.89946434612</v>
      </c>
      <c r="T57" s="228">
        <f t="shared" si="26"/>
        <v>606423.90526448004</v>
      </c>
      <c r="U57" s="228">
        <f t="shared" si="26"/>
        <v>569295.91106461396</v>
      </c>
      <c r="V57" s="228">
        <f t="shared" si="26"/>
        <v>532167.91686474788</v>
      </c>
      <c r="Y57" s="281">
        <v>12</v>
      </c>
      <c r="Z57" s="282">
        <v>5.91E-2</v>
      </c>
    </row>
    <row r="58" spans="1:26">
      <c r="A58" s="16" t="s">
        <v>108</v>
      </c>
      <c r="B58" s="329">
        <f>SUM(B21,B29,B45,B53,B37,B13)</f>
        <v>0</v>
      </c>
      <c r="C58" s="329">
        <f t="shared" ref="C58:V58" si="27">SUM(C21,C29,C45,C53,C37,C13)</f>
        <v>37127.99419986608</v>
      </c>
      <c r="D58" s="329">
        <f t="shared" si="27"/>
        <v>37127.99419986608</v>
      </c>
      <c r="E58" s="329">
        <f t="shared" si="27"/>
        <v>37127.99419986608</v>
      </c>
      <c r="F58" s="329">
        <f t="shared" si="27"/>
        <v>37127.99419986608</v>
      </c>
      <c r="G58" s="329">
        <f t="shared" si="27"/>
        <v>37127.99419986608</v>
      </c>
      <c r="H58" s="329">
        <f t="shared" si="27"/>
        <v>37127.99419986608</v>
      </c>
      <c r="I58" s="329">
        <f t="shared" si="27"/>
        <v>37127.99419986608</v>
      </c>
      <c r="J58" s="329">
        <f t="shared" si="27"/>
        <v>37127.99419986608</v>
      </c>
      <c r="K58" s="329">
        <f t="shared" si="27"/>
        <v>37127.99419986608</v>
      </c>
      <c r="L58" s="329">
        <f t="shared" si="27"/>
        <v>37127.99419986608</v>
      </c>
      <c r="M58" s="329">
        <f t="shared" si="27"/>
        <v>37127.99419986608</v>
      </c>
      <c r="N58" s="329">
        <f t="shared" si="27"/>
        <v>37127.99419986608</v>
      </c>
      <c r="O58" s="329">
        <f t="shared" si="27"/>
        <v>37127.99419986608</v>
      </c>
      <c r="P58" s="329">
        <f t="shared" si="27"/>
        <v>37127.99419986608</v>
      </c>
      <c r="Q58" s="329">
        <f t="shared" si="27"/>
        <v>37127.99419986608</v>
      </c>
      <c r="R58" s="329">
        <f t="shared" si="27"/>
        <v>37127.99419986608</v>
      </c>
      <c r="S58" s="329">
        <f t="shared" si="27"/>
        <v>37127.99419986608</v>
      </c>
      <c r="T58" s="329">
        <f t="shared" si="27"/>
        <v>37127.99419986608</v>
      </c>
      <c r="U58" s="329">
        <f t="shared" si="27"/>
        <v>37127.99419986608</v>
      </c>
      <c r="V58" s="329">
        <f t="shared" si="27"/>
        <v>37127.99419986608</v>
      </c>
      <c r="Y58" s="281">
        <v>13</v>
      </c>
      <c r="Z58" s="282">
        <v>5.8999999999999997E-2</v>
      </c>
    </row>
    <row r="59" spans="1:26">
      <c r="A59" s="16" t="s">
        <v>109</v>
      </c>
      <c r="B59" s="228">
        <f>B57-B58</f>
        <v>1237599.8066622028</v>
      </c>
      <c r="C59" s="228">
        <f t="shared" ref="C59:V59" si="28">C57-C58</f>
        <v>1200471.8124623368</v>
      </c>
      <c r="D59" s="228">
        <f t="shared" si="28"/>
        <v>1163343.8182624709</v>
      </c>
      <c r="E59" s="228">
        <f t="shared" si="28"/>
        <v>1126215.8240626049</v>
      </c>
      <c r="F59" s="228">
        <f t="shared" si="28"/>
        <v>1089087.829862739</v>
      </c>
      <c r="G59" s="228">
        <f t="shared" si="28"/>
        <v>1051959.835662873</v>
      </c>
      <c r="H59" s="228">
        <f t="shared" si="28"/>
        <v>1014831.8414630069</v>
      </c>
      <c r="I59" s="228">
        <f t="shared" si="28"/>
        <v>977703.84726314084</v>
      </c>
      <c r="J59" s="228">
        <f t="shared" si="28"/>
        <v>940575.85306327476</v>
      </c>
      <c r="K59" s="228">
        <f t="shared" si="28"/>
        <v>903447.85886340868</v>
      </c>
      <c r="L59" s="228">
        <f t="shared" si="28"/>
        <v>866319.8646635426</v>
      </c>
      <c r="M59" s="228">
        <f t="shared" si="28"/>
        <v>829191.87046367652</v>
      </c>
      <c r="N59" s="228">
        <f t="shared" si="28"/>
        <v>792063.87626381044</v>
      </c>
      <c r="O59" s="228">
        <f t="shared" si="28"/>
        <v>754935.88206394436</v>
      </c>
      <c r="P59" s="228">
        <f t="shared" si="28"/>
        <v>717807.88786407828</v>
      </c>
      <c r="Q59" s="228">
        <f t="shared" si="28"/>
        <v>680679.8936642122</v>
      </c>
      <c r="R59" s="228">
        <f t="shared" si="28"/>
        <v>643551.89946434612</v>
      </c>
      <c r="S59" s="228">
        <f t="shared" si="28"/>
        <v>606423.90526448004</v>
      </c>
      <c r="T59" s="228">
        <f t="shared" si="28"/>
        <v>569295.91106461396</v>
      </c>
      <c r="U59" s="228">
        <f t="shared" si="28"/>
        <v>532167.91686474788</v>
      </c>
      <c r="V59" s="228">
        <f t="shared" si="28"/>
        <v>495039.9226648818</v>
      </c>
      <c r="Y59" s="281">
        <v>14</v>
      </c>
      <c r="Z59" s="282">
        <v>5.91E-2</v>
      </c>
    </row>
    <row r="60" spans="1:26">
      <c r="B60" s="463"/>
      <c r="C60" s="16"/>
      <c r="D60" s="16"/>
      <c r="Y60" s="281">
        <v>15</v>
      </c>
      <c r="Z60" s="282">
        <v>5.8999999999999997E-2</v>
      </c>
    </row>
    <row r="61" spans="1:26">
      <c r="B61" s="16"/>
      <c r="C61" s="16"/>
      <c r="D61" s="16"/>
      <c r="Y61" s="281">
        <v>16</v>
      </c>
      <c r="Z61" s="283">
        <v>2.9499999999999998E-2</v>
      </c>
    </row>
    <row r="62" spans="1:26">
      <c r="A62" s="303" t="s">
        <v>116</v>
      </c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14"/>
      <c r="X62" s="14"/>
      <c r="Y62" s="284"/>
      <c r="Z62" s="285">
        <f>SUM(Z46:Z61)</f>
        <v>1.0000000000000004</v>
      </c>
    </row>
    <row r="63" spans="1:26">
      <c r="A63" s="14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14"/>
      <c r="X63" s="14"/>
    </row>
    <row r="64" spans="1:26">
      <c r="A64" s="39" t="s">
        <v>118</v>
      </c>
      <c r="B64" s="16"/>
      <c r="C64" s="16"/>
      <c r="D64" s="16"/>
    </row>
    <row r="65" spans="1:22">
      <c r="A65" s="39"/>
      <c r="B65" s="16"/>
      <c r="C65" s="16"/>
      <c r="D65" s="16"/>
    </row>
    <row r="66" spans="1:22">
      <c r="A66" s="238" t="s">
        <v>9</v>
      </c>
    </row>
    <row r="67" spans="1:22">
      <c r="A67" s="16" t="s">
        <v>120</v>
      </c>
      <c r="B67" s="123">
        <f>SUM('Summary Output'!$G$8:$G$9)*Allocation!$C$7</f>
        <v>134471.28836314924</v>
      </c>
      <c r="C67" s="123">
        <f t="shared" ref="C67:V67" si="29">B70</f>
        <v>134471.28836314924</v>
      </c>
      <c r="D67" s="123">
        <f t="shared" si="29"/>
        <v>127747.72394499178</v>
      </c>
      <c r="E67" s="123">
        <f t="shared" si="29"/>
        <v>114972.95155049261</v>
      </c>
      <c r="F67" s="123">
        <f t="shared" si="29"/>
        <v>103475.65639544335</v>
      </c>
      <c r="G67" s="123">
        <f t="shared" si="29"/>
        <v>93121.367191480866</v>
      </c>
      <c r="H67" s="123">
        <f t="shared" si="29"/>
        <v>83802.50690791462</v>
      </c>
      <c r="I67" s="123">
        <f t="shared" si="29"/>
        <v>75424.945642890423</v>
      </c>
      <c r="J67" s="123">
        <f t="shared" si="29"/>
        <v>67491.139629464626</v>
      </c>
      <c r="K67" s="123">
        <f t="shared" si="29"/>
        <v>59543.886487202508</v>
      </c>
      <c r="L67" s="123">
        <f t="shared" si="29"/>
        <v>51610.080473776703</v>
      </c>
      <c r="M67" s="123">
        <f t="shared" si="29"/>
        <v>43662.827331514585</v>
      </c>
      <c r="N67" s="123">
        <f t="shared" si="29"/>
        <v>35729.02131808878</v>
      </c>
      <c r="O67" s="123">
        <f t="shared" si="29"/>
        <v>27781.768175826659</v>
      </c>
      <c r="P67" s="123">
        <f t="shared" si="29"/>
        <v>19847.962162400854</v>
      </c>
      <c r="Q67" s="123">
        <f t="shared" si="29"/>
        <v>11900.709020138733</v>
      </c>
      <c r="R67" s="123">
        <f t="shared" si="29"/>
        <v>3966.9030067129279</v>
      </c>
      <c r="S67" s="123">
        <f t="shared" si="29"/>
        <v>2.5465851649641991E-11</v>
      </c>
      <c r="T67" s="123">
        <f t="shared" si="29"/>
        <v>2.5465851649641991E-11</v>
      </c>
      <c r="U67" s="123">
        <f t="shared" si="29"/>
        <v>2.5465851649641991E-11</v>
      </c>
      <c r="V67" s="123">
        <f t="shared" si="29"/>
        <v>2.5465851649641991E-11</v>
      </c>
    </row>
    <row r="68" spans="1:22">
      <c r="A68" s="16" t="s">
        <v>106</v>
      </c>
      <c r="B68" s="305">
        <f t="shared" ref="B68:R68" si="30">VLOOKUP(B5,$Y$45:$Z$61,2)</f>
        <v>0</v>
      </c>
      <c r="C68" s="305">
        <f t="shared" si="30"/>
        <v>0.05</v>
      </c>
      <c r="D68" s="305">
        <f t="shared" si="30"/>
        <v>9.5000000000000001E-2</v>
      </c>
      <c r="E68" s="305">
        <f t="shared" si="30"/>
        <v>8.5500000000000007E-2</v>
      </c>
      <c r="F68" s="305">
        <f t="shared" si="30"/>
        <v>7.6999999999999999E-2</v>
      </c>
      <c r="G68" s="305">
        <f t="shared" si="30"/>
        <v>6.93E-2</v>
      </c>
      <c r="H68" s="305">
        <f t="shared" si="30"/>
        <v>6.2300000000000001E-2</v>
      </c>
      <c r="I68" s="305">
        <f t="shared" si="30"/>
        <v>5.8999999999999997E-2</v>
      </c>
      <c r="J68" s="305">
        <f t="shared" si="30"/>
        <v>5.91E-2</v>
      </c>
      <c r="K68" s="305">
        <f t="shared" si="30"/>
        <v>5.8999999999999997E-2</v>
      </c>
      <c r="L68" s="305">
        <f t="shared" si="30"/>
        <v>5.91E-2</v>
      </c>
      <c r="M68" s="305">
        <f t="shared" si="30"/>
        <v>5.8999999999999997E-2</v>
      </c>
      <c r="N68" s="305">
        <f t="shared" si="30"/>
        <v>5.91E-2</v>
      </c>
      <c r="O68" s="305">
        <f t="shared" si="30"/>
        <v>5.8999999999999997E-2</v>
      </c>
      <c r="P68" s="305">
        <f t="shared" si="30"/>
        <v>5.91E-2</v>
      </c>
      <c r="Q68" s="305">
        <f t="shared" si="30"/>
        <v>5.8999999999999997E-2</v>
      </c>
      <c r="R68" s="305">
        <f t="shared" si="30"/>
        <v>2.9499999999999998E-2</v>
      </c>
      <c r="S68" s="305">
        <v>0</v>
      </c>
      <c r="T68" s="305">
        <v>0</v>
      </c>
      <c r="U68" s="305">
        <v>0</v>
      </c>
      <c r="V68" s="305">
        <v>0</v>
      </c>
    </row>
    <row r="69" spans="1:22">
      <c r="A69" s="16" t="s">
        <v>108</v>
      </c>
      <c r="B69" s="198">
        <f>$B$67*B68</f>
        <v>0</v>
      </c>
      <c r="C69" s="198">
        <f t="shared" ref="C69:V69" si="31">$B$67*C68</f>
        <v>6723.5644181574626</v>
      </c>
      <c r="D69" s="198">
        <f t="shared" si="31"/>
        <v>12774.772394499178</v>
      </c>
      <c r="E69" s="198">
        <f t="shared" si="31"/>
        <v>11497.295155049262</v>
      </c>
      <c r="F69" s="198">
        <f t="shared" si="31"/>
        <v>10354.289203962491</v>
      </c>
      <c r="G69" s="198">
        <f t="shared" si="31"/>
        <v>9318.8602835662423</v>
      </c>
      <c r="H69" s="198">
        <f t="shared" si="31"/>
        <v>8377.5612650241983</v>
      </c>
      <c r="I69" s="198">
        <f t="shared" si="31"/>
        <v>7933.8060134258048</v>
      </c>
      <c r="J69" s="198">
        <f t="shared" si="31"/>
        <v>7947.2531422621205</v>
      </c>
      <c r="K69" s="198">
        <f t="shared" si="31"/>
        <v>7933.8060134258048</v>
      </c>
      <c r="L69" s="198">
        <f t="shared" si="31"/>
        <v>7947.2531422621205</v>
      </c>
      <c r="M69" s="198">
        <f t="shared" si="31"/>
        <v>7933.8060134258048</v>
      </c>
      <c r="N69" s="198">
        <f t="shared" si="31"/>
        <v>7947.2531422621205</v>
      </c>
      <c r="O69" s="198">
        <f t="shared" si="31"/>
        <v>7933.8060134258048</v>
      </c>
      <c r="P69" s="198">
        <f t="shared" si="31"/>
        <v>7947.2531422621205</v>
      </c>
      <c r="Q69" s="198">
        <f t="shared" si="31"/>
        <v>7933.8060134258048</v>
      </c>
      <c r="R69" s="198">
        <f t="shared" si="31"/>
        <v>3966.9030067129024</v>
      </c>
      <c r="S69" s="198">
        <f t="shared" si="31"/>
        <v>0</v>
      </c>
      <c r="T69" s="198">
        <f t="shared" si="31"/>
        <v>0</v>
      </c>
      <c r="U69" s="198">
        <f t="shared" si="31"/>
        <v>0</v>
      </c>
      <c r="V69" s="198">
        <f t="shared" si="31"/>
        <v>0</v>
      </c>
    </row>
    <row r="70" spans="1:22">
      <c r="A70" s="16" t="s">
        <v>119</v>
      </c>
      <c r="B70" s="19">
        <f t="shared" ref="B70:V70" si="32">B67-B69</f>
        <v>134471.28836314924</v>
      </c>
      <c r="C70" s="19">
        <f t="shared" si="32"/>
        <v>127747.72394499178</v>
      </c>
      <c r="D70" s="19">
        <f t="shared" si="32"/>
        <v>114972.95155049261</v>
      </c>
      <c r="E70" s="19">
        <f t="shared" si="32"/>
        <v>103475.65639544335</v>
      </c>
      <c r="F70" s="19">
        <f t="shared" si="32"/>
        <v>93121.367191480866</v>
      </c>
      <c r="G70" s="19">
        <f t="shared" si="32"/>
        <v>83802.50690791462</v>
      </c>
      <c r="H70" s="19">
        <f t="shared" si="32"/>
        <v>75424.945642890423</v>
      </c>
      <c r="I70" s="19">
        <f t="shared" si="32"/>
        <v>67491.139629464626</v>
      </c>
      <c r="J70" s="19">
        <f t="shared" si="32"/>
        <v>59543.886487202508</v>
      </c>
      <c r="K70" s="19">
        <f t="shared" si="32"/>
        <v>51610.080473776703</v>
      </c>
      <c r="L70" s="19">
        <f t="shared" si="32"/>
        <v>43662.827331514585</v>
      </c>
      <c r="M70" s="19">
        <f t="shared" si="32"/>
        <v>35729.02131808878</v>
      </c>
      <c r="N70" s="19">
        <f t="shared" si="32"/>
        <v>27781.768175826659</v>
      </c>
      <c r="O70" s="19">
        <f t="shared" si="32"/>
        <v>19847.962162400854</v>
      </c>
      <c r="P70" s="19">
        <f t="shared" si="32"/>
        <v>11900.709020138733</v>
      </c>
      <c r="Q70" s="19">
        <f t="shared" si="32"/>
        <v>3966.9030067129279</v>
      </c>
      <c r="R70" s="19">
        <f t="shared" si="32"/>
        <v>2.5465851649641991E-11</v>
      </c>
      <c r="S70" s="19">
        <f t="shared" si="32"/>
        <v>2.5465851649641991E-11</v>
      </c>
      <c r="T70" s="19">
        <f t="shared" si="32"/>
        <v>2.5465851649641991E-11</v>
      </c>
      <c r="U70" s="19">
        <f t="shared" si="32"/>
        <v>2.5465851649641991E-11</v>
      </c>
      <c r="V70" s="19">
        <f t="shared" si="32"/>
        <v>2.5465851649641991E-11</v>
      </c>
    </row>
    <row r="72" spans="1:22">
      <c r="A72" s="238" t="s">
        <v>10</v>
      </c>
    </row>
    <row r="73" spans="1:22">
      <c r="A73" s="16" t="s">
        <v>120</v>
      </c>
      <c r="B73" s="123">
        <f>SUM('Summary Output'!$G$8:$G$9)*Allocation!$C$8</f>
        <v>162587.44675336333</v>
      </c>
      <c r="C73" s="123">
        <f t="shared" ref="C73:V73" si="33">B76</f>
        <v>162587.44675336333</v>
      </c>
      <c r="D73" s="123">
        <f t="shared" si="33"/>
        <v>154458.07441569516</v>
      </c>
      <c r="E73" s="123">
        <f t="shared" si="33"/>
        <v>139012.26697412564</v>
      </c>
      <c r="F73" s="123">
        <f t="shared" si="33"/>
        <v>125111.04027671307</v>
      </c>
      <c r="G73" s="123">
        <f t="shared" si="33"/>
        <v>112591.8068767041</v>
      </c>
      <c r="H73" s="123">
        <f t="shared" si="33"/>
        <v>101324.49681669602</v>
      </c>
      <c r="I73" s="123">
        <f t="shared" si="33"/>
        <v>91195.298883961485</v>
      </c>
      <c r="J73" s="123">
        <f t="shared" si="33"/>
        <v>81602.639525513048</v>
      </c>
      <c r="K73" s="123">
        <f t="shared" si="33"/>
        <v>71993.721422389281</v>
      </c>
      <c r="L73" s="123">
        <f t="shared" si="33"/>
        <v>62401.062063940844</v>
      </c>
      <c r="M73" s="123">
        <f t="shared" si="33"/>
        <v>52792.143960817069</v>
      </c>
      <c r="N73" s="123">
        <f t="shared" si="33"/>
        <v>43199.484602368633</v>
      </c>
      <c r="O73" s="123">
        <f t="shared" si="33"/>
        <v>33590.566499244858</v>
      </c>
      <c r="P73" s="123">
        <f t="shared" si="33"/>
        <v>23997.907140796422</v>
      </c>
      <c r="Q73" s="123">
        <f t="shared" si="33"/>
        <v>14388.989037672649</v>
      </c>
      <c r="R73" s="123">
        <f t="shared" si="33"/>
        <v>4796.3296792242127</v>
      </c>
      <c r="S73" s="123">
        <f t="shared" si="33"/>
        <v>0</v>
      </c>
      <c r="T73" s="123">
        <f t="shared" si="33"/>
        <v>0</v>
      </c>
      <c r="U73" s="123">
        <f t="shared" si="33"/>
        <v>0</v>
      </c>
      <c r="V73" s="123">
        <f t="shared" si="33"/>
        <v>0</v>
      </c>
    </row>
    <row r="74" spans="1:22">
      <c r="A74" s="16" t="s">
        <v>106</v>
      </c>
      <c r="B74" s="305">
        <f t="shared" ref="B74:R74" si="34">VLOOKUP(B5,$Y$45:$Z$61,2)</f>
        <v>0</v>
      </c>
      <c r="C74" s="305">
        <f t="shared" si="34"/>
        <v>0.05</v>
      </c>
      <c r="D74" s="305">
        <f t="shared" si="34"/>
        <v>9.5000000000000001E-2</v>
      </c>
      <c r="E74" s="305">
        <f t="shared" si="34"/>
        <v>8.5500000000000007E-2</v>
      </c>
      <c r="F74" s="305">
        <f t="shared" si="34"/>
        <v>7.6999999999999999E-2</v>
      </c>
      <c r="G74" s="305">
        <f t="shared" si="34"/>
        <v>6.93E-2</v>
      </c>
      <c r="H74" s="305">
        <f t="shared" si="34"/>
        <v>6.2300000000000001E-2</v>
      </c>
      <c r="I74" s="305">
        <f t="shared" si="34"/>
        <v>5.8999999999999997E-2</v>
      </c>
      <c r="J74" s="305">
        <f t="shared" si="34"/>
        <v>5.91E-2</v>
      </c>
      <c r="K74" s="305">
        <f t="shared" si="34"/>
        <v>5.8999999999999997E-2</v>
      </c>
      <c r="L74" s="305">
        <f t="shared" si="34"/>
        <v>5.91E-2</v>
      </c>
      <c r="M74" s="305">
        <f t="shared" si="34"/>
        <v>5.8999999999999997E-2</v>
      </c>
      <c r="N74" s="305">
        <f t="shared" si="34"/>
        <v>5.91E-2</v>
      </c>
      <c r="O74" s="305">
        <f t="shared" si="34"/>
        <v>5.8999999999999997E-2</v>
      </c>
      <c r="P74" s="305">
        <f t="shared" si="34"/>
        <v>5.91E-2</v>
      </c>
      <c r="Q74" s="305">
        <f t="shared" si="34"/>
        <v>5.8999999999999997E-2</v>
      </c>
      <c r="R74" s="305">
        <f t="shared" si="34"/>
        <v>2.9499999999999998E-2</v>
      </c>
      <c r="S74" s="305">
        <v>0</v>
      </c>
      <c r="T74" s="305">
        <v>0</v>
      </c>
      <c r="U74" s="305">
        <v>0</v>
      </c>
      <c r="V74" s="305">
        <v>0</v>
      </c>
    </row>
    <row r="75" spans="1:22">
      <c r="A75" s="16" t="s">
        <v>108</v>
      </c>
      <c r="B75" s="198">
        <f>$B$73*B74</f>
        <v>0</v>
      </c>
      <c r="C75" s="198">
        <f t="shared" ref="C75:V75" si="35">$B$73*C74</f>
        <v>8129.3723376681664</v>
      </c>
      <c r="D75" s="198">
        <f t="shared" si="35"/>
        <v>15445.807441569516</v>
      </c>
      <c r="E75" s="198">
        <f t="shared" si="35"/>
        <v>13901.226697412565</v>
      </c>
      <c r="F75" s="198">
        <f t="shared" si="35"/>
        <v>12519.233400008976</v>
      </c>
      <c r="G75" s="198">
        <f t="shared" si="35"/>
        <v>11267.310060008078</v>
      </c>
      <c r="H75" s="198">
        <f t="shared" si="35"/>
        <v>10129.197932734536</v>
      </c>
      <c r="I75" s="198">
        <f t="shared" si="35"/>
        <v>9592.6593584484363</v>
      </c>
      <c r="J75" s="198">
        <f t="shared" si="35"/>
        <v>9608.9181031237731</v>
      </c>
      <c r="K75" s="198">
        <f t="shared" si="35"/>
        <v>9592.6593584484363</v>
      </c>
      <c r="L75" s="198">
        <f t="shared" si="35"/>
        <v>9608.9181031237731</v>
      </c>
      <c r="M75" s="198">
        <f t="shared" si="35"/>
        <v>9592.6593584484363</v>
      </c>
      <c r="N75" s="198">
        <f t="shared" si="35"/>
        <v>9608.9181031237731</v>
      </c>
      <c r="O75" s="198">
        <f t="shared" si="35"/>
        <v>9592.6593584484363</v>
      </c>
      <c r="P75" s="198">
        <f t="shared" si="35"/>
        <v>9608.9181031237731</v>
      </c>
      <c r="Q75" s="198">
        <f t="shared" si="35"/>
        <v>9592.6593584484363</v>
      </c>
      <c r="R75" s="198">
        <f t="shared" si="35"/>
        <v>4796.3296792242181</v>
      </c>
      <c r="S75" s="198">
        <f t="shared" si="35"/>
        <v>0</v>
      </c>
      <c r="T75" s="198">
        <f t="shared" si="35"/>
        <v>0</v>
      </c>
      <c r="U75" s="198">
        <f t="shared" si="35"/>
        <v>0</v>
      </c>
      <c r="V75" s="198">
        <f t="shared" si="35"/>
        <v>0</v>
      </c>
    </row>
    <row r="76" spans="1:22">
      <c r="A76" s="16" t="s">
        <v>119</v>
      </c>
      <c r="B76" s="19">
        <f t="shared" ref="B76:V76" si="36">B73-B75</f>
        <v>162587.44675336333</v>
      </c>
      <c r="C76" s="19">
        <f t="shared" si="36"/>
        <v>154458.07441569516</v>
      </c>
      <c r="D76" s="19">
        <f t="shared" si="36"/>
        <v>139012.26697412564</v>
      </c>
      <c r="E76" s="19">
        <f t="shared" si="36"/>
        <v>125111.04027671307</v>
      </c>
      <c r="F76" s="19">
        <f t="shared" si="36"/>
        <v>112591.8068767041</v>
      </c>
      <c r="G76" s="19">
        <f t="shared" si="36"/>
        <v>101324.49681669602</v>
      </c>
      <c r="H76" s="19">
        <f t="shared" si="36"/>
        <v>91195.298883961485</v>
      </c>
      <c r="I76" s="19">
        <f t="shared" si="36"/>
        <v>81602.639525513048</v>
      </c>
      <c r="J76" s="19">
        <f t="shared" si="36"/>
        <v>71993.721422389281</v>
      </c>
      <c r="K76" s="19">
        <f t="shared" si="36"/>
        <v>62401.062063940844</v>
      </c>
      <c r="L76" s="19">
        <f t="shared" si="36"/>
        <v>52792.143960817069</v>
      </c>
      <c r="M76" s="19">
        <f t="shared" si="36"/>
        <v>43199.484602368633</v>
      </c>
      <c r="N76" s="19">
        <f t="shared" si="36"/>
        <v>33590.566499244858</v>
      </c>
      <c r="O76" s="19">
        <f t="shared" si="36"/>
        <v>23997.907140796422</v>
      </c>
      <c r="P76" s="19">
        <f t="shared" si="36"/>
        <v>14388.989037672649</v>
      </c>
      <c r="Q76" s="19">
        <f t="shared" si="36"/>
        <v>4796.3296792242127</v>
      </c>
      <c r="R76" s="19">
        <f t="shared" si="36"/>
        <v>0</v>
      </c>
      <c r="S76" s="19">
        <f t="shared" si="36"/>
        <v>0</v>
      </c>
      <c r="T76" s="19">
        <f t="shared" si="36"/>
        <v>0</v>
      </c>
      <c r="U76" s="19">
        <f t="shared" si="36"/>
        <v>0</v>
      </c>
      <c r="V76" s="19">
        <f t="shared" si="36"/>
        <v>0</v>
      </c>
    </row>
    <row r="78" spans="1:22">
      <c r="A78" s="238" t="s">
        <v>11</v>
      </c>
    </row>
    <row r="79" spans="1:22">
      <c r="A79" s="16" t="s">
        <v>120</v>
      </c>
      <c r="B79" s="123">
        <f>SUM('Summary Output'!$G$8:$G$9)*Allocation!$C$9</f>
        <v>156359.25191181555</v>
      </c>
      <c r="C79" s="123">
        <f t="shared" ref="C79:V79" si="37">B82</f>
        <v>156359.25191181555</v>
      </c>
      <c r="D79" s="123">
        <f t="shared" si="37"/>
        <v>148541.28931622478</v>
      </c>
      <c r="E79" s="123">
        <f t="shared" si="37"/>
        <v>133687.16038460229</v>
      </c>
      <c r="F79" s="123">
        <f t="shared" si="37"/>
        <v>120318.44434614206</v>
      </c>
      <c r="G79" s="123">
        <f t="shared" si="37"/>
        <v>108278.78194893226</v>
      </c>
      <c r="H79" s="123">
        <f t="shared" si="37"/>
        <v>97443.085791443445</v>
      </c>
      <c r="I79" s="123">
        <f t="shared" si="37"/>
        <v>87701.904397337334</v>
      </c>
      <c r="J79" s="123">
        <f t="shared" si="37"/>
        <v>78476.708534540216</v>
      </c>
      <c r="K79" s="123">
        <f t="shared" si="37"/>
        <v>69235.876746551919</v>
      </c>
      <c r="L79" s="123">
        <f t="shared" si="37"/>
        <v>60010.680883754801</v>
      </c>
      <c r="M79" s="123">
        <f t="shared" si="37"/>
        <v>50769.849095766505</v>
      </c>
      <c r="N79" s="123">
        <f t="shared" si="37"/>
        <v>41544.653232969387</v>
      </c>
      <c r="O79" s="123">
        <f t="shared" si="37"/>
        <v>32303.821444981091</v>
      </c>
      <c r="P79" s="123">
        <f t="shared" si="37"/>
        <v>23078.625582183973</v>
      </c>
      <c r="Q79" s="123">
        <f t="shared" si="37"/>
        <v>13837.793794195675</v>
      </c>
      <c r="R79" s="123">
        <f t="shared" si="37"/>
        <v>4612.597931398559</v>
      </c>
      <c r="S79" s="123">
        <f t="shared" si="37"/>
        <v>0</v>
      </c>
      <c r="T79" s="123">
        <f t="shared" si="37"/>
        <v>0</v>
      </c>
      <c r="U79" s="123">
        <f t="shared" si="37"/>
        <v>0</v>
      </c>
      <c r="V79" s="123">
        <f t="shared" si="37"/>
        <v>0</v>
      </c>
    </row>
    <row r="80" spans="1:22">
      <c r="A80" s="16" t="s">
        <v>106</v>
      </c>
      <c r="B80" s="305">
        <f t="shared" ref="B80:R80" si="38">VLOOKUP(B5,$Y$45:$Z$61,2)</f>
        <v>0</v>
      </c>
      <c r="C80" s="305">
        <f t="shared" si="38"/>
        <v>0.05</v>
      </c>
      <c r="D80" s="305">
        <f t="shared" si="38"/>
        <v>9.5000000000000001E-2</v>
      </c>
      <c r="E80" s="305">
        <f t="shared" si="38"/>
        <v>8.5500000000000007E-2</v>
      </c>
      <c r="F80" s="305">
        <f t="shared" si="38"/>
        <v>7.6999999999999999E-2</v>
      </c>
      <c r="G80" s="305">
        <f t="shared" si="38"/>
        <v>6.93E-2</v>
      </c>
      <c r="H80" s="305">
        <f t="shared" si="38"/>
        <v>6.2300000000000001E-2</v>
      </c>
      <c r="I80" s="305">
        <f t="shared" si="38"/>
        <v>5.8999999999999997E-2</v>
      </c>
      <c r="J80" s="305">
        <f t="shared" si="38"/>
        <v>5.91E-2</v>
      </c>
      <c r="K80" s="305">
        <f t="shared" si="38"/>
        <v>5.8999999999999997E-2</v>
      </c>
      <c r="L80" s="305">
        <f t="shared" si="38"/>
        <v>5.91E-2</v>
      </c>
      <c r="M80" s="305">
        <f t="shared" si="38"/>
        <v>5.8999999999999997E-2</v>
      </c>
      <c r="N80" s="305">
        <f t="shared" si="38"/>
        <v>5.91E-2</v>
      </c>
      <c r="O80" s="305">
        <f t="shared" si="38"/>
        <v>5.8999999999999997E-2</v>
      </c>
      <c r="P80" s="305">
        <f t="shared" si="38"/>
        <v>5.91E-2</v>
      </c>
      <c r="Q80" s="305">
        <f t="shared" si="38"/>
        <v>5.8999999999999997E-2</v>
      </c>
      <c r="R80" s="305">
        <f t="shared" si="38"/>
        <v>2.9499999999999998E-2</v>
      </c>
      <c r="S80" s="305">
        <v>0</v>
      </c>
      <c r="T80" s="305">
        <v>0</v>
      </c>
      <c r="U80" s="305">
        <v>0</v>
      </c>
      <c r="V80" s="305">
        <v>0</v>
      </c>
    </row>
    <row r="81" spans="1:22">
      <c r="A81" s="16" t="s">
        <v>108</v>
      </c>
      <c r="B81" s="198">
        <f>$B$79*B80</f>
        <v>0</v>
      </c>
      <c r="C81" s="198">
        <f t="shared" ref="C81:V81" si="39">$B$79*C80</f>
        <v>7817.9625955907777</v>
      </c>
      <c r="D81" s="198">
        <f t="shared" si="39"/>
        <v>14854.128931622477</v>
      </c>
      <c r="E81" s="198">
        <f t="shared" si="39"/>
        <v>13368.71603846023</v>
      </c>
      <c r="F81" s="198">
        <f t="shared" si="39"/>
        <v>12039.662397209797</v>
      </c>
      <c r="G81" s="198">
        <f t="shared" si="39"/>
        <v>10835.696157488817</v>
      </c>
      <c r="H81" s="198">
        <f t="shared" si="39"/>
        <v>9741.1813941061082</v>
      </c>
      <c r="I81" s="198">
        <f t="shared" si="39"/>
        <v>9225.1958627971162</v>
      </c>
      <c r="J81" s="198">
        <f t="shared" si="39"/>
        <v>9240.8317879882979</v>
      </c>
      <c r="K81" s="198">
        <f t="shared" si="39"/>
        <v>9225.1958627971162</v>
      </c>
      <c r="L81" s="198">
        <f t="shared" si="39"/>
        <v>9240.8317879882979</v>
      </c>
      <c r="M81" s="198">
        <f t="shared" si="39"/>
        <v>9225.1958627971162</v>
      </c>
      <c r="N81" s="198">
        <f t="shared" si="39"/>
        <v>9240.8317879882979</v>
      </c>
      <c r="O81" s="198">
        <f t="shared" si="39"/>
        <v>9225.1958627971162</v>
      </c>
      <c r="P81" s="198">
        <f t="shared" si="39"/>
        <v>9240.8317879882979</v>
      </c>
      <c r="Q81" s="198">
        <f t="shared" si="39"/>
        <v>9225.1958627971162</v>
      </c>
      <c r="R81" s="198">
        <f t="shared" si="39"/>
        <v>4612.5979313985581</v>
      </c>
      <c r="S81" s="198">
        <f t="shared" si="39"/>
        <v>0</v>
      </c>
      <c r="T81" s="198">
        <f t="shared" si="39"/>
        <v>0</v>
      </c>
      <c r="U81" s="198">
        <f t="shared" si="39"/>
        <v>0</v>
      </c>
      <c r="V81" s="198">
        <f t="shared" si="39"/>
        <v>0</v>
      </c>
    </row>
    <row r="82" spans="1:22">
      <c r="A82" s="16" t="s">
        <v>119</v>
      </c>
      <c r="B82" s="19">
        <f t="shared" ref="B82:V82" si="40">B79-B81</f>
        <v>156359.25191181555</v>
      </c>
      <c r="C82" s="19">
        <f t="shared" si="40"/>
        <v>148541.28931622478</v>
      </c>
      <c r="D82" s="19">
        <f t="shared" si="40"/>
        <v>133687.16038460229</v>
      </c>
      <c r="E82" s="19">
        <f t="shared" si="40"/>
        <v>120318.44434614206</v>
      </c>
      <c r="F82" s="19">
        <f t="shared" si="40"/>
        <v>108278.78194893226</v>
      </c>
      <c r="G82" s="19">
        <f t="shared" si="40"/>
        <v>97443.085791443445</v>
      </c>
      <c r="H82" s="19">
        <f t="shared" si="40"/>
        <v>87701.904397337334</v>
      </c>
      <c r="I82" s="19">
        <f t="shared" si="40"/>
        <v>78476.708534540216</v>
      </c>
      <c r="J82" s="19">
        <f t="shared" si="40"/>
        <v>69235.876746551919</v>
      </c>
      <c r="K82" s="19">
        <f t="shared" si="40"/>
        <v>60010.680883754801</v>
      </c>
      <c r="L82" s="19">
        <f t="shared" si="40"/>
        <v>50769.849095766505</v>
      </c>
      <c r="M82" s="19">
        <f t="shared" si="40"/>
        <v>41544.653232969387</v>
      </c>
      <c r="N82" s="19">
        <f t="shared" si="40"/>
        <v>32303.821444981091</v>
      </c>
      <c r="O82" s="19">
        <f t="shared" si="40"/>
        <v>23078.625582183973</v>
      </c>
      <c r="P82" s="19">
        <f t="shared" si="40"/>
        <v>13837.793794195675</v>
      </c>
      <c r="Q82" s="19">
        <f t="shared" si="40"/>
        <v>4612.597931398559</v>
      </c>
      <c r="R82" s="19">
        <f t="shared" si="40"/>
        <v>0</v>
      </c>
      <c r="S82" s="19">
        <f t="shared" si="40"/>
        <v>0</v>
      </c>
      <c r="T82" s="19">
        <f t="shared" si="40"/>
        <v>0</v>
      </c>
      <c r="U82" s="19">
        <f t="shared" si="40"/>
        <v>0</v>
      </c>
      <c r="V82" s="19">
        <f t="shared" si="40"/>
        <v>0</v>
      </c>
    </row>
    <row r="84" spans="1:22">
      <c r="A84" s="238" t="s">
        <v>103</v>
      </c>
    </row>
    <row r="85" spans="1:22">
      <c r="A85" s="16" t="s">
        <v>120</v>
      </c>
      <c r="B85" s="123">
        <f>SUM('Summary Output'!$G$8:$G$9)*Allocation!$C$12</f>
        <v>183621.31026053746</v>
      </c>
      <c r="C85" s="123">
        <f t="shared" ref="C85:V85" si="41">B88</f>
        <v>183621.31026053746</v>
      </c>
      <c r="D85" s="123">
        <f t="shared" si="41"/>
        <v>174440.24474751059</v>
      </c>
      <c r="E85" s="123">
        <f t="shared" si="41"/>
        <v>156996.22027275953</v>
      </c>
      <c r="F85" s="123">
        <f t="shared" si="41"/>
        <v>141296.59824548356</v>
      </c>
      <c r="G85" s="123">
        <f t="shared" si="41"/>
        <v>127157.75735542217</v>
      </c>
      <c r="H85" s="123">
        <f t="shared" si="41"/>
        <v>114432.80055436693</v>
      </c>
      <c r="I85" s="123">
        <f t="shared" si="41"/>
        <v>102993.19292513544</v>
      </c>
      <c r="J85" s="123">
        <f t="shared" si="41"/>
        <v>92159.53561976373</v>
      </c>
      <c r="K85" s="123">
        <f t="shared" si="41"/>
        <v>81307.516183365966</v>
      </c>
      <c r="L85" s="123">
        <f t="shared" si="41"/>
        <v>70473.858877994251</v>
      </c>
      <c r="M85" s="123">
        <f t="shared" si="41"/>
        <v>59621.839441596487</v>
      </c>
      <c r="N85" s="123">
        <f t="shared" si="41"/>
        <v>48788.182136224779</v>
      </c>
      <c r="O85" s="123">
        <f t="shared" si="41"/>
        <v>37936.162699827015</v>
      </c>
      <c r="P85" s="123">
        <f t="shared" si="41"/>
        <v>27102.505394455307</v>
      </c>
      <c r="Q85" s="123">
        <f t="shared" si="41"/>
        <v>16250.485958057543</v>
      </c>
      <c r="R85" s="123">
        <f t="shared" si="41"/>
        <v>5416.8286526858337</v>
      </c>
      <c r="S85" s="123">
        <f t="shared" si="41"/>
        <v>-2.0918378140777349E-11</v>
      </c>
      <c r="T85" s="123">
        <f t="shared" si="41"/>
        <v>-2.0918378140777349E-11</v>
      </c>
      <c r="U85" s="123">
        <f t="shared" si="41"/>
        <v>-2.0918378140777349E-11</v>
      </c>
      <c r="V85" s="123">
        <f t="shared" si="41"/>
        <v>-2.0918378140777349E-11</v>
      </c>
    </row>
    <row r="86" spans="1:22">
      <c r="A86" s="16" t="s">
        <v>106</v>
      </c>
      <c r="B86" s="305">
        <f t="shared" ref="B86:R86" si="42">VLOOKUP(B6,$Y$45:$Z$61,2)</f>
        <v>0</v>
      </c>
      <c r="C86" s="305">
        <f t="shared" si="42"/>
        <v>0.05</v>
      </c>
      <c r="D86" s="305">
        <f t="shared" si="42"/>
        <v>9.5000000000000001E-2</v>
      </c>
      <c r="E86" s="305">
        <f t="shared" si="42"/>
        <v>8.5500000000000007E-2</v>
      </c>
      <c r="F86" s="305">
        <f t="shared" si="42"/>
        <v>7.6999999999999999E-2</v>
      </c>
      <c r="G86" s="305">
        <f t="shared" si="42"/>
        <v>6.93E-2</v>
      </c>
      <c r="H86" s="305">
        <f t="shared" si="42"/>
        <v>6.2300000000000001E-2</v>
      </c>
      <c r="I86" s="305">
        <f t="shared" si="42"/>
        <v>5.8999999999999997E-2</v>
      </c>
      <c r="J86" s="305">
        <f t="shared" si="42"/>
        <v>5.91E-2</v>
      </c>
      <c r="K86" s="305">
        <f t="shared" si="42"/>
        <v>5.8999999999999997E-2</v>
      </c>
      <c r="L86" s="305">
        <f t="shared" si="42"/>
        <v>5.91E-2</v>
      </c>
      <c r="M86" s="305">
        <f t="shared" si="42"/>
        <v>5.8999999999999997E-2</v>
      </c>
      <c r="N86" s="305">
        <f t="shared" si="42"/>
        <v>5.91E-2</v>
      </c>
      <c r="O86" s="305">
        <f t="shared" si="42"/>
        <v>5.8999999999999997E-2</v>
      </c>
      <c r="P86" s="305">
        <f t="shared" si="42"/>
        <v>5.91E-2</v>
      </c>
      <c r="Q86" s="305">
        <f t="shared" si="42"/>
        <v>5.8999999999999997E-2</v>
      </c>
      <c r="R86" s="305">
        <f t="shared" si="42"/>
        <v>2.9499999999999998E-2</v>
      </c>
      <c r="S86" s="305">
        <v>0</v>
      </c>
      <c r="T86" s="305">
        <v>0</v>
      </c>
      <c r="U86" s="305">
        <v>0</v>
      </c>
      <c r="V86" s="305">
        <v>0</v>
      </c>
    </row>
    <row r="87" spans="1:22">
      <c r="A87" s="16" t="s">
        <v>108</v>
      </c>
      <c r="B87" s="198">
        <f>$B$85*B86</f>
        <v>0</v>
      </c>
      <c r="C87" s="198">
        <f t="shared" ref="C87:V87" si="43">$B$85*C86</f>
        <v>9181.0655130268733</v>
      </c>
      <c r="D87" s="198">
        <f t="shared" si="43"/>
        <v>17444.024474751059</v>
      </c>
      <c r="E87" s="198">
        <f t="shared" si="43"/>
        <v>15699.622027275955</v>
      </c>
      <c r="F87" s="198">
        <f t="shared" si="43"/>
        <v>14138.840890061385</v>
      </c>
      <c r="G87" s="198">
        <f t="shared" si="43"/>
        <v>12724.956801055247</v>
      </c>
      <c r="H87" s="198">
        <f t="shared" si="43"/>
        <v>11439.607629231485</v>
      </c>
      <c r="I87" s="198">
        <f t="shared" si="43"/>
        <v>10833.657305371709</v>
      </c>
      <c r="J87" s="198">
        <f t="shared" si="43"/>
        <v>10852.019436397764</v>
      </c>
      <c r="K87" s="198">
        <f t="shared" si="43"/>
        <v>10833.657305371709</v>
      </c>
      <c r="L87" s="198">
        <f t="shared" si="43"/>
        <v>10852.019436397764</v>
      </c>
      <c r="M87" s="198">
        <f t="shared" si="43"/>
        <v>10833.657305371709</v>
      </c>
      <c r="N87" s="198">
        <f t="shared" si="43"/>
        <v>10852.019436397764</v>
      </c>
      <c r="O87" s="198">
        <f t="shared" si="43"/>
        <v>10833.657305371709</v>
      </c>
      <c r="P87" s="198">
        <f t="shared" si="43"/>
        <v>10852.019436397764</v>
      </c>
      <c r="Q87" s="198">
        <f t="shared" si="43"/>
        <v>10833.657305371709</v>
      </c>
      <c r="R87" s="198">
        <f t="shared" si="43"/>
        <v>5416.8286526858546</v>
      </c>
      <c r="S87" s="198">
        <f t="shared" si="43"/>
        <v>0</v>
      </c>
      <c r="T87" s="198">
        <f t="shared" si="43"/>
        <v>0</v>
      </c>
      <c r="U87" s="198">
        <f t="shared" si="43"/>
        <v>0</v>
      </c>
      <c r="V87" s="198">
        <f t="shared" si="43"/>
        <v>0</v>
      </c>
    </row>
    <row r="88" spans="1:22">
      <c r="A88" s="16" t="s">
        <v>119</v>
      </c>
      <c r="B88" s="19">
        <f t="shared" ref="B88:V88" si="44">B85-B87</f>
        <v>183621.31026053746</v>
      </c>
      <c r="C88" s="19">
        <f t="shared" si="44"/>
        <v>174440.24474751059</v>
      </c>
      <c r="D88" s="19">
        <f t="shared" si="44"/>
        <v>156996.22027275953</v>
      </c>
      <c r="E88" s="19">
        <f t="shared" si="44"/>
        <v>141296.59824548356</v>
      </c>
      <c r="F88" s="19">
        <f t="shared" si="44"/>
        <v>127157.75735542217</v>
      </c>
      <c r="G88" s="19">
        <f t="shared" si="44"/>
        <v>114432.80055436693</v>
      </c>
      <c r="H88" s="19">
        <f t="shared" si="44"/>
        <v>102993.19292513544</v>
      </c>
      <c r="I88" s="19">
        <f t="shared" si="44"/>
        <v>92159.53561976373</v>
      </c>
      <c r="J88" s="19">
        <f t="shared" si="44"/>
        <v>81307.516183365966</v>
      </c>
      <c r="K88" s="19">
        <f t="shared" si="44"/>
        <v>70473.858877994251</v>
      </c>
      <c r="L88" s="19">
        <f t="shared" si="44"/>
        <v>59621.839441596487</v>
      </c>
      <c r="M88" s="19">
        <f t="shared" si="44"/>
        <v>48788.182136224779</v>
      </c>
      <c r="N88" s="19">
        <f t="shared" si="44"/>
        <v>37936.162699827015</v>
      </c>
      <c r="O88" s="19">
        <f t="shared" si="44"/>
        <v>27102.505394455307</v>
      </c>
      <c r="P88" s="19">
        <f t="shared" si="44"/>
        <v>16250.485958057543</v>
      </c>
      <c r="Q88" s="19">
        <f t="shared" si="44"/>
        <v>5416.8286526858337</v>
      </c>
      <c r="R88" s="19">
        <f t="shared" si="44"/>
        <v>-2.0918378140777349E-11</v>
      </c>
      <c r="S88" s="19">
        <f t="shared" si="44"/>
        <v>-2.0918378140777349E-11</v>
      </c>
      <c r="T88" s="19">
        <f t="shared" si="44"/>
        <v>-2.0918378140777349E-11</v>
      </c>
      <c r="U88" s="19">
        <f t="shared" si="44"/>
        <v>-2.0918378140777349E-11</v>
      </c>
      <c r="V88" s="19">
        <f t="shared" si="44"/>
        <v>-2.0918378140777349E-11</v>
      </c>
    </row>
    <row r="90" spans="1:22">
      <c r="A90" s="238" t="s">
        <v>12</v>
      </c>
    </row>
    <row r="91" spans="1:22">
      <c r="A91" s="16" t="s">
        <v>120</v>
      </c>
      <c r="B91" s="123">
        <f>SUM('Summary Output'!$G$8:$G$9)*Allocation!$C$13</f>
        <v>167965.98070263717</v>
      </c>
      <c r="C91" s="123">
        <f t="shared" ref="C91:V91" si="45">B94</f>
        <v>167965.98070263717</v>
      </c>
      <c r="D91" s="123">
        <f t="shared" si="45"/>
        <v>159567.6816675053</v>
      </c>
      <c r="E91" s="123">
        <f t="shared" si="45"/>
        <v>143610.91350075477</v>
      </c>
      <c r="F91" s="123">
        <f t="shared" si="45"/>
        <v>129249.82215067929</v>
      </c>
      <c r="G91" s="123">
        <f t="shared" si="45"/>
        <v>116316.44163657623</v>
      </c>
      <c r="H91" s="123">
        <f t="shared" si="45"/>
        <v>104676.39917388347</v>
      </c>
      <c r="I91" s="123">
        <f t="shared" si="45"/>
        <v>94212.118576109177</v>
      </c>
      <c r="J91" s="123">
        <f t="shared" si="45"/>
        <v>84302.125714653579</v>
      </c>
      <c r="K91" s="123">
        <f t="shared" si="45"/>
        <v>74375.336255127724</v>
      </c>
      <c r="L91" s="123">
        <f t="shared" si="45"/>
        <v>64465.343393672134</v>
      </c>
      <c r="M91" s="123">
        <f t="shared" si="45"/>
        <v>54538.553934146279</v>
      </c>
      <c r="N91" s="123">
        <f t="shared" si="45"/>
        <v>44628.561072690689</v>
      </c>
      <c r="O91" s="123">
        <f t="shared" si="45"/>
        <v>34701.771613164834</v>
      </c>
      <c r="P91" s="123">
        <f t="shared" si="45"/>
        <v>24791.778751709244</v>
      </c>
      <c r="Q91" s="123">
        <f t="shared" si="45"/>
        <v>14864.989292183387</v>
      </c>
      <c r="R91" s="123">
        <f t="shared" si="45"/>
        <v>4954.9964307277951</v>
      </c>
      <c r="S91" s="123">
        <f t="shared" si="45"/>
        <v>0</v>
      </c>
      <c r="T91" s="123">
        <f t="shared" si="45"/>
        <v>0</v>
      </c>
      <c r="U91" s="123">
        <f t="shared" si="45"/>
        <v>0</v>
      </c>
      <c r="V91" s="123">
        <f t="shared" si="45"/>
        <v>0</v>
      </c>
    </row>
    <row r="92" spans="1:22">
      <c r="A92" s="16" t="s">
        <v>106</v>
      </c>
      <c r="B92" s="305">
        <f t="shared" ref="B92:R92" si="46">VLOOKUP(B6,$Y$45:$Z$61,2)</f>
        <v>0</v>
      </c>
      <c r="C92" s="305">
        <f t="shared" si="46"/>
        <v>0.05</v>
      </c>
      <c r="D92" s="305">
        <f t="shared" si="46"/>
        <v>9.5000000000000001E-2</v>
      </c>
      <c r="E92" s="305">
        <f t="shared" si="46"/>
        <v>8.5500000000000007E-2</v>
      </c>
      <c r="F92" s="305">
        <f t="shared" si="46"/>
        <v>7.6999999999999999E-2</v>
      </c>
      <c r="G92" s="305">
        <f t="shared" si="46"/>
        <v>6.93E-2</v>
      </c>
      <c r="H92" s="305">
        <f t="shared" si="46"/>
        <v>6.2300000000000001E-2</v>
      </c>
      <c r="I92" s="305">
        <f t="shared" si="46"/>
        <v>5.8999999999999997E-2</v>
      </c>
      <c r="J92" s="305">
        <f t="shared" si="46"/>
        <v>5.91E-2</v>
      </c>
      <c r="K92" s="305">
        <f t="shared" si="46"/>
        <v>5.8999999999999997E-2</v>
      </c>
      <c r="L92" s="305">
        <f t="shared" si="46"/>
        <v>5.91E-2</v>
      </c>
      <c r="M92" s="305">
        <f t="shared" si="46"/>
        <v>5.8999999999999997E-2</v>
      </c>
      <c r="N92" s="305">
        <f t="shared" si="46"/>
        <v>5.91E-2</v>
      </c>
      <c r="O92" s="305">
        <f t="shared" si="46"/>
        <v>5.8999999999999997E-2</v>
      </c>
      <c r="P92" s="305">
        <f t="shared" si="46"/>
        <v>5.91E-2</v>
      </c>
      <c r="Q92" s="305">
        <f t="shared" si="46"/>
        <v>5.8999999999999997E-2</v>
      </c>
      <c r="R92" s="305">
        <f t="shared" si="46"/>
        <v>2.9499999999999998E-2</v>
      </c>
      <c r="S92" s="305">
        <v>0</v>
      </c>
      <c r="T92" s="305">
        <v>0</v>
      </c>
      <c r="U92" s="305">
        <v>0</v>
      </c>
      <c r="V92" s="305">
        <v>0</v>
      </c>
    </row>
    <row r="93" spans="1:22">
      <c r="A93" s="16" t="s">
        <v>108</v>
      </c>
      <c r="B93" s="198">
        <f>$B$91*B92</f>
        <v>0</v>
      </c>
      <c r="C93" s="198">
        <f t="shared" ref="C93:V93" si="47">$B$91*C92</f>
        <v>8398.2990351318585</v>
      </c>
      <c r="D93" s="198">
        <f t="shared" si="47"/>
        <v>15956.768166750531</v>
      </c>
      <c r="E93" s="198">
        <f t="shared" si="47"/>
        <v>14361.09135007548</v>
      </c>
      <c r="F93" s="198">
        <f t="shared" si="47"/>
        <v>12933.380514103063</v>
      </c>
      <c r="G93" s="198">
        <f t="shared" si="47"/>
        <v>11640.042462692756</v>
      </c>
      <c r="H93" s="198">
        <f t="shared" si="47"/>
        <v>10464.280597774296</v>
      </c>
      <c r="I93" s="198">
        <f t="shared" si="47"/>
        <v>9909.992861455592</v>
      </c>
      <c r="J93" s="198">
        <f t="shared" si="47"/>
        <v>9926.7894595258567</v>
      </c>
      <c r="K93" s="198">
        <f t="shared" si="47"/>
        <v>9909.992861455592</v>
      </c>
      <c r="L93" s="198">
        <f t="shared" si="47"/>
        <v>9926.7894595258567</v>
      </c>
      <c r="M93" s="198">
        <f t="shared" si="47"/>
        <v>9909.992861455592</v>
      </c>
      <c r="N93" s="198">
        <f t="shared" si="47"/>
        <v>9926.7894595258567</v>
      </c>
      <c r="O93" s="198">
        <f t="shared" si="47"/>
        <v>9909.992861455592</v>
      </c>
      <c r="P93" s="198">
        <f t="shared" si="47"/>
        <v>9926.7894595258567</v>
      </c>
      <c r="Q93" s="198">
        <f t="shared" si="47"/>
        <v>9909.992861455592</v>
      </c>
      <c r="R93" s="198">
        <f t="shared" si="47"/>
        <v>4954.996430727796</v>
      </c>
      <c r="S93" s="198">
        <f t="shared" si="47"/>
        <v>0</v>
      </c>
      <c r="T93" s="198">
        <f t="shared" si="47"/>
        <v>0</v>
      </c>
      <c r="U93" s="198">
        <f t="shared" si="47"/>
        <v>0</v>
      </c>
      <c r="V93" s="198">
        <f t="shared" si="47"/>
        <v>0</v>
      </c>
    </row>
    <row r="94" spans="1:22">
      <c r="A94" s="16" t="s">
        <v>119</v>
      </c>
      <c r="B94" s="19">
        <f t="shared" ref="B94:V94" si="48">B91-B93</f>
        <v>167965.98070263717</v>
      </c>
      <c r="C94" s="19">
        <f t="shared" si="48"/>
        <v>159567.6816675053</v>
      </c>
      <c r="D94" s="19">
        <f t="shared" si="48"/>
        <v>143610.91350075477</v>
      </c>
      <c r="E94" s="19">
        <f t="shared" si="48"/>
        <v>129249.82215067929</v>
      </c>
      <c r="F94" s="19">
        <f t="shared" si="48"/>
        <v>116316.44163657623</v>
      </c>
      <c r="G94" s="19">
        <f t="shared" si="48"/>
        <v>104676.39917388347</v>
      </c>
      <c r="H94" s="19">
        <f t="shared" si="48"/>
        <v>94212.118576109177</v>
      </c>
      <c r="I94" s="19">
        <f t="shared" si="48"/>
        <v>84302.125714653579</v>
      </c>
      <c r="J94" s="19">
        <f t="shared" si="48"/>
        <v>74375.336255127724</v>
      </c>
      <c r="K94" s="19">
        <f t="shared" si="48"/>
        <v>64465.343393672134</v>
      </c>
      <c r="L94" s="19">
        <f t="shared" si="48"/>
        <v>54538.553934146279</v>
      </c>
      <c r="M94" s="19">
        <f t="shared" si="48"/>
        <v>44628.561072690689</v>
      </c>
      <c r="N94" s="19">
        <f t="shared" si="48"/>
        <v>34701.771613164834</v>
      </c>
      <c r="O94" s="19">
        <f t="shared" si="48"/>
        <v>24791.778751709244</v>
      </c>
      <c r="P94" s="19">
        <f t="shared" si="48"/>
        <v>14864.989292183387</v>
      </c>
      <c r="Q94" s="19">
        <f t="shared" si="48"/>
        <v>4954.9964307277951</v>
      </c>
      <c r="R94" s="19">
        <f t="shared" si="48"/>
        <v>0</v>
      </c>
      <c r="S94" s="19">
        <f t="shared" si="48"/>
        <v>0</v>
      </c>
      <c r="T94" s="19">
        <f t="shared" si="48"/>
        <v>0</v>
      </c>
      <c r="U94" s="19">
        <f t="shared" si="48"/>
        <v>0</v>
      </c>
      <c r="V94" s="19">
        <f t="shared" si="48"/>
        <v>0</v>
      </c>
    </row>
    <row r="96" spans="1:22">
      <c r="A96" s="238" t="s">
        <v>13</v>
      </c>
    </row>
    <row r="97" spans="1:22">
      <c r="A97" s="16" t="s">
        <v>120</v>
      </c>
      <c r="B97" s="123">
        <f>SUM('Summary Output'!$G$8:$G$9)*Allocation!$C$14</f>
        <v>270425.72200849699</v>
      </c>
      <c r="C97" s="19">
        <f t="shared" ref="C97:V97" si="49">B100</f>
        <v>270425.72200849699</v>
      </c>
      <c r="D97" s="19">
        <f t="shared" si="49"/>
        <v>256904.43590807213</v>
      </c>
      <c r="E97" s="19">
        <f t="shared" si="49"/>
        <v>231213.99231726493</v>
      </c>
      <c r="F97" s="19">
        <f t="shared" si="49"/>
        <v>208092.59308553842</v>
      </c>
      <c r="G97" s="19">
        <f t="shared" si="49"/>
        <v>187269.81249088416</v>
      </c>
      <c r="H97" s="19">
        <f t="shared" si="49"/>
        <v>168529.30995569532</v>
      </c>
      <c r="I97" s="19">
        <f t="shared" si="49"/>
        <v>151681.78747456596</v>
      </c>
      <c r="J97" s="19">
        <f t="shared" si="49"/>
        <v>135726.66987606464</v>
      </c>
      <c r="K97" s="19">
        <f t="shared" si="49"/>
        <v>119744.50970536246</v>
      </c>
      <c r="L97" s="19">
        <f t="shared" si="49"/>
        <v>103789.39210686114</v>
      </c>
      <c r="M97" s="19">
        <f t="shared" si="49"/>
        <v>87807.231936158962</v>
      </c>
      <c r="N97" s="19">
        <f t="shared" si="49"/>
        <v>71852.114337657636</v>
      </c>
      <c r="O97" s="19">
        <f t="shared" si="49"/>
        <v>55869.95416695546</v>
      </c>
      <c r="P97" s="19">
        <f t="shared" si="49"/>
        <v>39914.836568454135</v>
      </c>
      <c r="Q97" s="19">
        <f t="shared" si="49"/>
        <v>23932.676397751962</v>
      </c>
      <c r="R97" s="19">
        <f t="shared" si="49"/>
        <v>7977.5587992506407</v>
      </c>
      <c r="S97" s="19">
        <f t="shared" si="49"/>
        <v>-2.0008883439004421E-11</v>
      </c>
      <c r="T97" s="19">
        <f t="shared" si="49"/>
        <v>-2.0008883439004421E-11</v>
      </c>
      <c r="U97" s="19">
        <f t="shared" si="49"/>
        <v>-2.0008883439004421E-11</v>
      </c>
      <c r="V97" s="19">
        <f t="shared" si="49"/>
        <v>-2.0008883439004421E-11</v>
      </c>
    </row>
    <row r="98" spans="1:22">
      <c r="A98" s="16" t="s">
        <v>106</v>
      </c>
      <c r="B98" s="305">
        <f t="shared" ref="B98:R98" si="50">VLOOKUP(B6,$Y$45:$Z$61,2)</f>
        <v>0</v>
      </c>
      <c r="C98" s="305">
        <f t="shared" si="50"/>
        <v>0.05</v>
      </c>
      <c r="D98" s="305">
        <f t="shared" si="50"/>
        <v>9.5000000000000001E-2</v>
      </c>
      <c r="E98" s="305">
        <f t="shared" si="50"/>
        <v>8.5500000000000007E-2</v>
      </c>
      <c r="F98" s="305">
        <f t="shared" si="50"/>
        <v>7.6999999999999999E-2</v>
      </c>
      <c r="G98" s="305">
        <f t="shared" si="50"/>
        <v>6.93E-2</v>
      </c>
      <c r="H98" s="305">
        <f t="shared" si="50"/>
        <v>6.2300000000000001E-2</v>
      </c>
      <c r="I98" s="305">
        <f t="shared" si="50"/>
        <v>5.8999999999999997E-2</v>
      </c>
      <c r="J98" s="305">
        <f t="shared" si="50"/>
        <v>5.91E-2</v>
      </c>
      <c r="K98" s="305">
        <f t="shared" si="50"/>
        <v>5.8999999999999997E-2</v>
      </c>
      <c r="L98" s="305">
        <f t="shared" si="50"/>
        <v>5.91E-2</v>
      </c>
      <c r="M98" s="305">
        <f t="shared" si="50"/>
        <v>5.8999999999999997E-2</v>
      </c>
      <c r="N98" s="305">
        <f t="shared" si="50"/>
        <v>5.91E-2</v>
      </c>
      <c r="O98" s="305">
        <f t="shared" si="50"/>
        <v>5.8999999999999997E-2</v>
      </c>
      <c r="P98" s="305">
        <f t="shared" si="50"/>
        <v>5.91E-2</v>
      </c>
      <c r="Q98" s="305">
        <f t="shared" si="50"/>
        <v>5.8999999999999997E-2</v>
      </c>
      <c r="R98" s="305">
        <f t="shared" si="50"/>
        <v>2.9499999999999998E-2</v>
      </c>
      <c r="S98" s="305">
        <v>0</v>
      </c>
      <c r="T98" s="305">
        <v>0</v>
      </c>
      <c r="U98" s="305">
        <v>0</v>
      </c>
      <c r="V98" s="305">
        <v>0</v>
      </c>
    </row>
    <row r="99" spans="1:22">
      <c r="A99" s="16" t="s">
        <v>108</v>
      </c>
      <c r="B99" s="198">
        <f>$B$97*B98</f>
        <v>0</v>
      </c>
      <c r="C99" s="198">
        <f t="shared" ref="C99:V99" si="51">$B$97*C98</f>
        <v>13521.28610042485</v>
      </c>
      <c r="D99" s="198">
        <f t="shared" si="51"/>
        <v>25690.443590807216</v>
      </c>
      <c r="E99" s="198">
        <f t="shared" si="51"/>
        <v>23121.399231726493</v>
      </c>
      <c r="F99" s="198">
        <f t="shared" si="51"/>
        <v>20822.780594654268</v>
      </c>
      <c r="G99" s="198">
        <f t="shared" si="51"/>
        <v>18740.50253518884</v>
      </c>
      <c r="H99" s="198">
        <f t="shared" si="51"/>
        <v>16847.522481129363</v>
      </c>
      <c r="I99" s="198">
        <f t="shared" si="51"/>
        <v>15955.117598501321</v>
      </c>
      <c r="J99" s="198">
        <f t="shared" si="51"/>
        <v>15982.160170702173</v>
      </c>
      <c r="K99" s="198">
        <f t="shared" si="51"/>
        <v>15955.117598501321</v>
      </c>
      <c r="L99" s="198">
        <f t="shared" si="51"/>
        <v>15982.160170702173</v>
      </c>
      <c r="M99" s="198">
        <f t="shared" si="51"/>
        <v>15955.117598501321</v>
      </c>
      <c r="N99" s="198">
        <f t="shared" si="51"/>
        <v>15982.160170702173</v>
      </c>
      <c r="O99" s="198">
        <f t="shared" si="51"/>
        <v>15955.117598501321</v>
      </c>
      <c r="P99" s="198">
        <f t="shared" si="51"/>
        <v>15982.160170702173</v>
      </c>
      <c r="Q99" s="198">
        <f t="shared" si="51"/>
        <v>15955.117598501321</v>
      </c>
      <c r="R99" s="198">
        <f t="shared" si="51"/>
        <v>7977.5587992506607</v>
      </c>
      <c r="S99" s="198">
        <f t="shared" si="51"/>
        <v>0</v>
      </c>
      <c r="T99" s="198">
        <f t="shared" si="51"/>
        <v>0</v>
      </c>
      <c r="U99" s="198">
        <f t="shared" si="51"/>
        <v>0</v>
      </c>
      <c r="V99" s="198">
        <f t="shared" si="51"/>
        <v>0</v>
      </c>
    </row>
    <row r="100" spans="1:22">
      <c r="A100" s="16" t="s">
        <v>119</v>
      </c>
      <c r="B100" s="19">
        <f t="shared" ref="B100:V100" si="52">B97-B99</f>
        <v>270425.72200849699</v>
      </c>
      <c r="C100" s="19">
        <f t="shared" si="52"/>
        <v>256904.43590807213</v>
      </c>
      <c r="D100" s="19">
        <f t="shared" si="52"/>
        <v>231213.99231726493</v>
      </c>
      <c r="E100" s="19">
        <f t="shared" si="52"/>
        <v>208092.59308553842</v>
      </c>
      <c r="F100" s="19">
        <f t="shared" si="52"/>
        <v>187269.81249088416</v>
      </c>
      <c r="G100" s="19">
        <f t="shared" si="52"/>
        <v>168529.30995569532</v>
      </c>
      <c r="H100" s="19">
        <f t="shared" si="52"/>
        <v>151681.78747456596</v>
      </c>
      <c r="I100" s="19">
        <f t="shared" si="52"/>
        <v>135726.66987606464</v>
      </c>
      <c r="J100" s="19">
        <f t="shared" si="52"/>
        <v>119744.50970536246</v>
      </c>
      <c r="K100" s="19">
        <f t="shared" si="52"/>
        <v>103789.39210686114</v>
      </c>
      <c r="L100" s="19">
        <f t="shared" si="52"/>
        <v>87807.231936158962</v>
      </c>
      <c r="M100" s="19">
        <f t="shared" si="52"/>
        <v>71852.114337657636</v>
      </c>
      <c r="N100" s="19">
        <f t="shared" si="52"/>
        <v>55869.95416695546</v>
      </c>
      <c r="O100" s="19">
        <f t="shared" si="52"/>
        <v>39914.836568454135</v>
      </c>
      <c r="P100" s="19">
        <f t="shared" si="52"/>
        <v>23932.676397751962</v>
      </c>
      <c r="Q100" s="19">
        <f t="shared" si="52"/>
        <v>7977.5587992506407</v>
      </c>
      <c r="R100" s="19">
        <f t="shared" si="52"/>
        <v>-2.0008883439004421E-11</v>
      </c>
      <c r="S100" s="19">
        <f t="shared" si="52"/>
        <v>-2.0008883439004421E-11</v>
      </c>
      <c r="T100" s="19">
        <f t="shared" si="52"/>
        <v>-2.0008883439004421E-11</v>
      </c>
      <c r="U100" s="19">
        <f t="shared" si="52"/>
        <v>-2.0008883439004421E-11</v>
      </c>
      <c r="V100" s="19">
        <f t="shared" si="52"/>
        <v>-2.0008883439004421E-11</v>
      </c>
    </row>
    <row r="102" spans="1:22">
      <c r="A102" s="238" t="s">
        <v>110</v>
      </c>
    </row>
    <row r="103" spans="1:22">
      <c r="A103" s="16" t="s">
        <v>120</v>
      </c>
      <c r="B103" s="19">
        <f>SUM(B67,B73,B79,B85,B91,B97)</f>
        <v>1075430.9999999998</v>
      </c>
      <c r="C103" s="19">
        <f>B105</f>
        <v>1075430.9999999998</v>
      </c>
      <c r="D103" s="19">
        <f t="shared" ref="D103:V103" si="53">C105</f>
        <v>1021659.4499999997</v>
      </c>
      <c r="E103" s="19">
        <f t="shared" si="53"/>
        <v>919493.50499999977</v>
      </c>
      <c r="F103" s="19">
        <f t="shared" si="53"/>
        <v>827544.15449999983</v>
      </c>
      <c r="G103" s="19">
        <f t="shared" si="53"/>
        <v>744735.9674999998</v>
      </c>
      <c r="H103" s="19">
        <f t="shared" si="53"/>
        <v>670208.59919999982</v>
      </c>
      <c r="I103" s="19">
        <f t="shared" si="53"/>
        <v>603209.24789999984</v>
      </c>
      <c r="J103" s="19">
        <f t="shared" si="53"/>
        <v>539758.81889999984</v>
      </c>
      <c r="K103" s="19">
        <f t="shared" si="53"/>
        <v>476200.84679999982</v>
      </c>
      <c r="L103" s="19">
        <f t="shared" si="53"/>
        <v>412750.41779999982</v>
      </c>
      <c r="M103" s="19">
        <f t="shared" si="53"/>
        <v>349192.44569999981</v>
      </c>
      <c r="N103" s="19">
        <f t="shared" si="53"/>
        <v>285742.0166999998</v>
      </c>
      <c r="O103" s="19">
        <f t="shared" si="53"/>
        <v>222184.04459999982</v>
      </c>
      <c r="P103" s="19">
        <f t="shared" si="53"/>
        <v>158733.61559999984</v>
      </c>
      <c r="Q103" s="19">
        <f t="shared" si="53"/>
        <v>95175.64349999986</v>
      </c>
      <c r="R103" s="19">
        <f t="shared" si="53"/>
        <v>31725.214499999885</v>
      </c>
      <c r="S103" s="19">
        <f t="shared" si="53"/>
        <v>-1.0186340659856796E-10</v>
      </c>
      <c r="T103" s="19">
        <f t="shared" si="53"/>
        <v>-1.0186340659856796E-10</v>
      </c>
      <c r="U103" s="19">
        <f t="shared" si="53"/>
        <v>-1.0186340659856796E-10</v>
      </c>
      <c r="V103" s="19">
        <f t="shared" si="53"/>
        <v>-1.0186340659856796E-10</v>
      </c>
    </row>
    <row r="104" spans="1:22">
      <c r="A104" s="16" t="s">
        <v>108</v>
      </c>
      <c r="B104" s="198">
        <f>SUM(B69,B75,B81,B87,B93,B99)</f>
        <v>0</v>
      </c>
      <c r="C104" s="198">
        <f t="shared" ref="C104:V104" si="54">SUM(C69,C75,C81,C87,C93,C99)</f>
        <v>53771.549999999988</v>
      </c>
      <c r="D104" s="198">
        <f t="shared" si="54"/>
        <v>102165.94499999998</v>
      </c>
      <c r="E104" s="198">
        <f t="shared" si="54"/>
        <v>91949.350499999986</v>
      </c>
      <c r="F104" s="198">
        <f t="shared" si="54"/>
        <v>82808.186999999976</v>
      </c>
      <c r="G104" s="198">
        <f t="shared" si="54"/>
        <v>74527.368299999973</v>
      </c>
      <c r="H104" s="198">
        <f t="shared" si="54"/>
        <v>66999.351299999995</v>
      </c>
      <c r="I104" s="198">
        <f t="shared" si="54"/>
        <v>63450.428999999975</v>
      </c>
      <c r="J104" s="198">
        <f t="shared" si="54"/>
        <v>63557.972099999984</v>
      </c>
      <c r="K104" s="198">
        <f t="shared" si="54"/>
        <v>63450.428999999975</v>
      </c>
      <c r="L104" s="198">
        <f t="shared" si="54"/>
        <v>63557.972099999984</v>
      </c>
      <c r="M104" s="198">
        <f t="shared" si="54"/>
        <v>63450.428999999975</v>
      </c>
      <c r="N104" s="198">
        <f t="shared" si="54"/>
        <v>63557.972099999984</v>
      </c>
      <c r="O104" s="198">
        <f t="shared" si="54"/>
        <v>63450.428999999975</v>
      </c>
      <c r="P104" s="198">
        <f t="shared" si="54"/>
        <v>63557.972099999984</v>
      </c>
      <c r="Q104" s="198">
        <f t="shared" si="54"/>
        <v>63450.428999999975</v>
      </c>
      <c r="R104" s="198">
        <f t="shared" si="54"/>
        <v>31725.214499999987</v>
      </c>
      <c r="S104" s="198">
        <f t="shared" si="54"/>
        <v>0</v>
      </c>
      <c r="T104" s="198">
        <f t="shared" si="54"/>
        <v>0</v>
      </c>
      <c r="U104" s="198">
        <f t="shared" si="54"/>
        <v>0</v>
      </c>
      <c r="V104" s="198">
        <f t="shared" si="54"/>
        <v>0</v>
      </c>
    </row>
    <row r="105" spans="1:22">
      <c r="A105" s="16" t="s">
        <v>119</v>
      </c>
      <c r="B105" s="19">
        <f>B103-B104</f>
        <v>1075430.9999999998</v>
      </c>
      <c r="C105" s="19">
        <f t="shared" ref="C105:V105" si="55">C103-C104</f>
        <v>1021659.4499999997</v>
      </c>
      <c r="D105" s="19">
        <f t="shared" si="55"/>
        <v>919493.50499999977</v>
      </c>
      <c r="E105" s="19">
        <f t="shared" si="55"/>
        <v>827544.15449999983</v>
      </c>
      <c r="F105" s="19">
        <f t="shared" si="55"/>
        <v>744735.9674999998</v>
      </c>
      <c r="G105" s="19">
        <f t="shared" si="55"/>
        <v>670208.59919999982</v>
      </c>
      <c r="H105" s="19">
        <f t="shared" si="55"/>
        <v>603209.24789999984</v>
      </c>
      <c r="I105" s="19">
        <f t="shared" si="55"/>
        <v>539758.81889999984</v>
      </c>
      <c r="J105" s="19">
        <f t="shared" si="55"/>
        <v>476200.84679999982</v>
      </c>
      <c r="K105" s="19">
        <f t="shared" si="55"/>
        <v>412750.41779999982</v>
      </c>
      <c r="L105" s="19">
        <f t="shared" si="55"/>
        <v>349192.44569999981</v>
      </c>
      <c r="M105" s="19">
        <f t="shared" si="55"/>
        <v>285742.0166999998</v>
      </c>
      <c r="N105" s="19">
        <f t="shared" si="55"/>
        <v>222184.04459999982</v>
      </c>
      <c r="O105" s="19">
        <f t="shared" si="55"/>
        <v>158733.61559999984</v>
      </c>
      <c r="P105" s="19">
        <f t="shared" si="55"/>
        <v>95175.64349999986</v>
      </c>
      <c r="Q105" s="19">
        <f t="shared" si="55"/>
        <v>31725.214499999885</v>
      </c>
      <c r="R105" s="19">
        <f t="shared" si="55"/>
        <v>-1.0186340659856796E-10</v>
      </c>
      <c r="S105" s="19">
        <f t="shared" si="55"/>
        <v>-1.0186340659856796E-10</v>
      </c>
      <c r="T105" s="19">
        <f t="shared" si="55"/>
        <v>-1.0186340659856796E-10</v>
      </c>
      <c r="U105" s="19">
        <f t="shared" si="55"/>
        <v>-1.0186340659856796E-10</v>
      </c>
      <c r="V105" s="19">
        <f t="shared" si="55"/>
        <v>-1.0186340659856796E-10</v>
      </c>
    </row>
    <row r="109" spans="1:22">
      <c r="A109" s="44" t="s">
        <v>204</v>
      </c>
      <c r="B109" s="467">
        <f>B104</f>
        <v>0</v>
      </c>
      <c r="C109" s="467">
        <f t="shared" ref="C109:V109" si="56">C104</f>
        <v>53771.549999999988</v>
      </c>
      <c r="D109" s="467">
        <f t="shared" si="56"/>
        <v>102165.94499999998</v>
      </c>
      <c r="E109" s="467">
        <f t="shared" si="56"/>
        <v>91949.350499999986</v>
      </c>
      <c r="F109" s="467">
        <f t="shared" si="56"/>
        <v>82808.186999999976</v>
      </c>
      <c r="G109" s="467">
        <f t="shared" si="56"/>
        <v>74527.368299999973</v>
      </c>
      <c r="H109" s="467">
        <f t="shared" si="56"/>
        <v>66999.351299999995</v>
      </c>
      <c r="I109" s="467">
        <f t="shared" si="56"/>
        <v>63450.428999999975</v>
      </c>
      <c r="J109" s="467">
        <f t="shared" si="56"/>
        <v>63557.972099999984</v>
      </c>
      <c r="K109" s="467">
        <f t="shared" si="56"/>
        <v>63450.428999999975</v>
      </c>
      <c r="L109" s="467">
        <f t="shared" si="56"/>
        <v>63557.972099999984</v>
      </c>
      <c r="M109" s="467">
        <f t="shared" si="56"/>
        <v>63450.428999999975</v>
      </c>
      <c r="N109" s="467">
        <f t="shared" si="56"/>
        <v>63557.972099999984</v>
      </c>
      <c r="O109" s="467">
        <f t="shared" si="56"/>
        <v>63450.428999999975</v>
      </c>
      <c r="P109" s="467">
        <f t="shared" si="56"/>
        <v>63557.972099999984</v>
      </c>
      <c r="Q109" s="467">
        <f t="shared" si="56"/>
        <v>63450.428999999975</v>
      </c>
      <c r="R109" s="467">
        <f t="shared" si="56"/>
        <v>31725.214499999987</v>
      </c>
      <c r="S109" s="467">
        <f t="shared" si="56"/>
        <v>0</v>
      </c>
      <c r="T109" s="467">
        <f t="shared" si="56"/>
        <v>0</v>
      </c>
      <c r="U109" s="467">
        <f t="shared" si="56"/>
        <v>0</v>
      </c>
      <c r="V109" s="467">
        <f t="shared" si="56"/>
        <v>0</v>
      </c>
    </row>
    <row r="110" spans="1:22">
      <c r="A110" s="403" t="s">
        <v>205</v>
      </c>
      <c r="B110" s="468">
        <v>0</v>
      </c>
      <c r="C110" s="468">
        <f>SUM(Brownsville!B92,Caledonia!B89,'New Albany'!B89,Gleason!B92,Wheatland!B93,Wilton!B86)</f>
        <v>-53771.549999999988</v>
      </c>
      <c r="D110" s="468">
        <f>SUM(Brownsville!C92,Caledonia!C89,'New Albany'!C89,Gleason!C92,Wheatland!C93,Wilton!C86)</f>
        <v>-102165.94499999998</v>
      </c>
      <c r="E110" s="468">
        <f>SUM(Brownsville!D92,Caledonia!D89,'New Albany'!D89,Gleason!D92,Wheatland!D93,Wilton!D86)</f>
        <v>-91949.350499999986</v>
      </c>
      <c r="F110" s="468">
        <f>SUM(Brownsville!E92,Caledonia!E89,'New Albany'!E89,Gleason!E92,Wheatland!E93,Wilton!E86)</f>
        <v>-82808.186999999976</v>
      </c>
      <c r="G110" s="468">
        <f>SUM(Brownsville!F92,Caledonia!F89,'New Albany'!F89,Gleason!F92,Wheatland!F93,Wilton!F86)</f>
        <v>-74527.368299999973</v>
      </c>
      <c r="H110" s="468">
        <f>SUM(Brownsville!G92,Caledonia!G89,'New Albany'!G89,Gleason!G92,Wheatland!G93,Wilton!G86)</f>
        <v>-66999.351299999995</v>
      </c>
      <c r="I110" s="468">
        <f>SUM(Brownsville!H92,Caledonia!H89,'New Albany'!H89,Gleason!H92,Wheatland!H93,Wilton!H86)</f>
        <v>-63450.428999999975</v>
      </c>
      <c r="J110" s="468">
        <f>SUM(Brownsville!I92,Caledonia!I89,'New Albany'!I89,Gleason!I92,Wheatland!I93,Wilton!I86)</f>
        <v>-63557.972099999984</v>
      </c>
      <c r="K110" s="468">
        <f>SUM(Brownsville!J92,Caledonia!J89,'New Albany'!J89,Gleason!J92,Wheatland!J93,Wilton!J86)</f>
        <v>-63450.428999999975</v>
      </c>
      <c r="L110" s="468">
        <f>SUM(Brownsville!K92,Caledonia!K89,'New Albany'!K89,Gleason!K92,Wheatland!K93,Wilton!K86)</f>
        <v>-63557.972099999984</v>
      </c>
      <c r="M110" s="468">
        <f>SUM(Brownsville!L92,Caledonia!L89,'New Albany'!L89,Gleason!L92,Wheatland!L93,Wilton!L86)</f>
        <v>-63450.428999999975</v>
      </c>
      <c r="N110" s="468">
        <f>SUM(Brownsville!M92,Caledonia!M89,'New Albany'!M89,Gleason!M92,Wheatland!M93,Wilton!M86)</f>
        <v>-63557.972099999984</v>
      </c>
      <c r="O110" s="468">
        <f>SUM(Brownsville!N92,Caledonia!N89,'New Albany'!N89,Gleason!N92,Wheatland!N93,Wilton!N86)</f>
        <v>-63450.428999999975</v>
      </c>
      <c r="P110" s="468">
        <f>SUM(Brownsville!O92,Caledonia!O89,'New Albany'!O89,Gleason!O92,Wheatland!O93,Wilton!O86)</f>
        <v>-63557.972099999984</v>
      </c>
      <c r="Q110" s="468">
        <f>SUM(Brownsville!P92,Caledonia!P89,'New Albany'!P89,Gleason!P92,Wheatland!P93,Wilton!P86)</f>
        <v>-63450.428999999975</v>
      </c>
      <c r="R110" s="468">
        <f>SUM(Brownsville!Q92,Caledonia!Q89,'New Albany'!Q89,Gleason!Q92,Wheatland!Q93,Wilton!Q86)</f>
        <v>-31725.214499999987</v>
      </c>
      <c r="S110" s="468">
        <f>SUM(Brownsville!R92,Caledonia!R89,'New Albany'!R89,Gleason!R92,Wheatland!R93,Wilton!R86)</f>
        <v>0</v>
      </c>
      <c r="T110" s="468">
        <f>SUM(Brownsville!S92,Caledonia!S89,'New Albany'!S89,Gleason!S92,Wheatland!S93,Wilton!S86)</f>
        <v>0</v>
      </c>
      <c r="U110" s="468">
        <f>SUM(Brownsville!T92,Caledonia!T89,'New Albany'!T89,Gleason!T92,Wheatland!T93,Wilton!T86)</f>
        <v>0</v>
      </c>
      <c r="V110" s="468">
        <f>SUM(Brownsville!U92,Caledonia!U89,'New Albany'!U89,Gleason!U92,Wheatland!U93,Wilton!U86)</f>
        <v>0</v>
      </c>
    </row>
    <row r="111" spans="1:22">
      <c r="A111" s="44" t="s">
        <v>206</v>
      </c>
      <c r="B111" s="467">
        <f>B109+B110</f>
        <v>0</v>
      </c>
      <c r="C111" s="467">
        <f t="shared" ref="C111:V111" si="57">C109+C110</f>
        <v>0</v>
      </c>
      <c r="D111" s="467">
        <f t="shared" si="57"/>
        <v>0</v>
      </c>
      <c r="E111" s="467">
        <f t="shared" si="57"/>
        <v>0</v>
      </c>
      <c r="F111" s="467">
        <f t="shared" si="57"/>
        <v>0</v>
      </c>
      <c r="G111" s="467">
        <f t="shared" si="57"/>
        <v>0</v>
      </c>
      <c r="H111" s="467">
        <f t="shared" si="57"/>
        <v>0</v>
      </c>
      <c r="I111" s="467">
        <f t="shared" si="57"/>
        <v>0</v>
      </c>
      <c r="J111" s="467">
        <f t="shared" si="57"/>
        <v>0</v>
      </c>
      <c r="K111" s="467">
        <f t="shared" si="57"/>
        <v>0</v>
      </c>
      <c r="L111" s="467">
        <f t="shared" si="57"/>
        <v>0</v>
      </c>
      <c r="M111" s="467">
        <f t="shared" si="57"/>
        <v>0</v>
      </c>
      <c r="N111" s="467">
        <f t="shared" si="57"/>
        <v>0</v>
      </c>
      <c r="O111" s="467">
        <f t="shared" si="57"/>
        <v>0</v>
      </c>
      <c r="P111" s="467">
        <f t="shared" si="57"/>
        <v>0</v>
      </c>
      <c r="Q111" s="467">
        <f t="shared" si="57"/>
        <v>0</v>
      </c>
      <c r="R111" s="467">
        <f t="shared" si="57"/>
        <v>0</v>
      </c>
      <c r="S111" s="467">
        <f t="shared" si="57"/>
        <v>0</v>
      </c>
      <c r="T111" s="467">
        <f t="shared" si="57"/>
        <v>0</v>
      </c>
      <c r="U111" s="467">
        <f t="shared" si="57"/>
        <v>0</v>
      </c>
      <c r="V111" s="467">
        <f t="shared" si="57"/>
        <v>0</v>
      </c>
    </row>
  </sheetData>
  <pageMargins left="0.75" right="0.75" top="1" bottom="1" header="0.5" footer="0.5"/>
  <pageSetup scale="35" orientation="landscape" r:id="rId1"/>
  <headerFooter alignWithMargins="0">
    <oddHeader>&amp;L&amp;12Enron's Generation&amp;RCONFIDENTIAL</oddHeader>
    <oddFooter>&amp;L&amp;D&amp;C&amp;F&amp;RPage &amp;P</oddFooter>
  </headerFooter>
  <rowBreaks count="1" manualBreakCount="1">
    <brk id="61" max="2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2:Y32"/>
  <sheetViews>
    <sheetView zoomScale="75" zoomScaleNormal="75" workbookViewId="0"/>
  </sheetViews>
  <sheetFormatPr defaultRowHeight="12.75"/>
  <cols>
    <col min="1" max="1" width="43.42578125" style="16" customWidth="1"/>
    <col min="2" max="3" width="10.42578125" style="16" customWidth="1"/>
    <col min="4" max="7" width="10.140625" style="16" customWidth="1"/>
    <col min="8" max="21" width="10" style="16" customWidth="1"/>
    <col min="22" max="22" width="10" style="6" customWidth="1"/>
    <col min="23" max="23" width="12.7109375" style="6" bestFit="1" customWidth="1"/>
    <col min="24" max="24" width="12.28515625" style="6" bestFit="1" customWidth="1"/>
    <col min="25" max="25" width="9.7109375" style="6" bestFit="1" customWidth="1"/>
    <col min="26" max="16384" width="9.140625" style="6"/>
  </cols>
  <sheetData>
    <row r="2" spans="1:25" ht="18.75">
      <c r="A2" s="53" t="s">
        <v>171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26"/>
      <c r="W2" s="126"/>
    </row>
    <row r="3" spans="1:25">
      <c r="A3" s="57"/>
      <c r="B3" s="18"/>
      <c r="C3" s="18"/>
      <c r="D3" s="18"/>
      <c r="E3" s="18"/>
      <c r="F3" s="18"/>
      <c r="G3" s="138"/>
      <c r="H3" s="18"/>
      <c r="I3" s="18"/>
      <c r="J3" s="18"/>
      <c r="K3" s="18"/>
      <c r="L3" s="18"/>
      <c r="M3" s="138"/>
      <c r="N3" s="18"/>
      <c r="O3" s="18"/>
      <c r="P3" s="18"/>
      <c r="Q3" s="18"/>
      <c r="R3" s="18"/>
      <c r="S3" s="138"/>
      <c r="T3" s="18"/>
      <c r="U3" s="18"/>
      <c r="V3" s="155"/>
      <c r="W3" s="155"/>
    </row>
    <row r="4" spans="1:25">
      <c r="A4" s="226"/>
      <c r="B4" s="242">
        <v>3</v>
      </c>
      <c r="C4" s="242">
        <v>4</v>
      </c>
      <c r="D4" s="242">
        <v>5</v>
      </c>
      <c r="E4" s="243">
        <v>6</v>
      </c>
      <c r="F4" s="242">
        <v>7</v>
      </c>
      <c r="G4" s="242">
        <v>8</v>
      </c>
      <c r="H4" s="242">
        <v>9</v>
      </c>
      <c r="I4" s="242">
        <v>10</v>
      </c>
      <c r="J4" s="242">
        <v>11</v>
      </c>
      <c r="K4" s="243">
        <v>12</v>
      </c>
      <c r="L4" s="242">
        <v>13</v>
      </c>
      <c r="M4" s="242">
        <v>14</v>
      </c>
      <c r="N4" s="242">
        <v>15</v>
      </c>
      <c r="O4" s="242">
        <v>16</v>
      </c>
      <c r="P4" s="242">
        <v>17</v>
      </c>
      <c r="Q4" s="243">
        <v>18</v>
      </c>
      <c r="R4" s="242">
        <v>19</v>
      </c>
      <c r="S4" s="242">
        <v>20</v>
      </c>
      <c r="T4" s="242">
        <v>21</v>
      </c>
      <c r="U4" s="242">
        <v>22</v>
      </c>
      <c r="V4" s="156"/>
      <c r="W4" s="155"/>
    </row>
    <row r="5" spans="1:25" ht="13.5" thickBot="1">
      <c r="A5" s="194" t="s">
        <v>56</v>
      </c>
      <c r="B5" s="8">
        <v>2001</v>
      </c>
      <c r="C5" s="8">
        <v>2002</v>
      </c>
      <c r="D5" s="8">
        <v>2003</v>
      </c>
      <c r="E5" s="8">
        <v>2004</v>
      </c>
      <c r="F5" s="8">
        <v>2005</v>
      </c>
      <c r="G5" s="8">
        <v>2006</v>
      </c>
      <c r="H5" s="8">
        <v>2007</v>
      </c>
      <c r="I5" s="8">
        <v>2008</v>
      </c>
      <c r="J5" s="8">
        <v>2009</v>
      </c>
      <c r="K5" s="8">
        <v>2010</v>
      </c>
      <c r="L5" s="8">
        <v>2011</v>
      </c>
      <c r="M5" s="8">
        <v>2012</v>
      </c>
      <c r="N5" s="8">
        <v>2013</v>
      </c>
      <c r="O5" s="8">
        <v>2014</v>
      </c>
      <c r="P5" s="8">
        <v>2015</v>
      </c>
      <c r="Q5" s="8">
        <v>2016</v>
      </c>
      <c r="R5" s="8">
        <v>2017</v>
      </c>
      <c r="S5" s="8">
        <v>2018</v>
      </c>
      <c r="T5" s="8">
        <v>2019</v>
      </c>
      <c r="U5" s="8">
        <v>2020</v>
      </c>
    </row>
    <row r="6" spans="1:25">
      <c r="A6" s="226"/>
      <c r="B6" s="24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5">
      <c r="A7" s="227" t="s">
        <v>83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39"/>
      <c r="W7" s="139"/>
    </row>
    <row r="8" spans="1:25" ht="13.5" thickBot="1">
      <c r="A8" s="32" t="s">
        <v>131</v>
      </c>
      <c r="B8" s="330">
        <f>SUM(Caledonia!B101,'New Albany'!B101,Wheatland!B107,Wilton!B98,Brownsville!B104,Gleason!B104)</f>
        <v>313.80034370707949</v>
      </c>
      <c r="C8" s="330">
        <f>SUM(Caledonia!C101,'New Albany'!C101,Wheatland!C107,Wilton!C98,Brownsville!C104,Gleason!C104)</f>
        <v>297.14384874839141</v>
      </c>
      <c r="D8" s="330">
        <f>SUM(Caledonia!D101,'New Albany'!D101,Wheatland!D107,Wilton!D98,Brownsville!D104,Gleason!D104)</f>
        <v>297.8207467523431</v>
      </c>
      <c r="E8" s="330">
        <f>SUM(Caledonia!E101,'New Albany'!E101,Wheatland!E107,Wilton!E98,Brownsville!E104,Gleason!E104)</f>
        <v>600.11662390442439</v>
      </c>
      <c r="F8" s="330">
        <f>SUM(Caledonia!F101,'New Albany'!F101,Wheatland!F107,Wilton!F98,Brownsville!F104,Gleason!F104)</f>
        <v>2235.8191465089353</v>
      </c>
      <c r="G8" s="330">
        <f>SUM(Caledonia!G101,'New Albany'!G101,Wheatland!G107,Wilton!G98,Brownsville!G104,Gleason!G104)</f>
        <v>4168.6673765954529</v>
      </c>
      <c r="H8" s="330">
        <f>SUM(Caledonia!H101,'New Albany'!H101,Wheatland!H107,Wilton!H98,Brownsville!H104,Gleason!H104)</f>
        <v>6134.8726492500373</v>
      </c>
      <c r="I8" s="330">
        <f>SUM(Caledonia!I101,'New Albany'!I101,Wheatland!I107,Wilton!I98,Brownsville!I104,Gleason!I104)</f>
        <v>6581.1940116525202</v>
      </c>
      <c r="J8" s="330">
        <f>SUM(Caledonia!J101,'New Albany'!J101,Wheatland!J107,Wilton!J98,Brownsville!J104,Gleason!J104)</f>
        <v>7077.7342164021393</v>
      </c>
      <c r="K8" s="330">
        <f>SUM(Caledonia!K101,'New Albany'!K101,Wheatland!K107,Wilton!K98,Brownsville!K104,Gleason!K104)</f>
        <v>7550.5611746852792</v>
      </c>
      <c r="L8" s="330">
        <f>SUM(Caledonia!L101,'New Albany'!L101,Wheatland!L107,Wilton!L98,Brownsville!L104,Gleason!L104)</f>
        <v>8125.028063705714</v>
      </c>
      <c r="M8" s="330">
        <f>SUM(Caledonia!M101,'New Albany'!M101,Wheatland!M107,Wilton!M98,Brownsville!M104,Gleason!M104)</f>
        <v>8732.783822796293</v>
      </c>
      <c r="N8" s="330">
        <f>SUM(Caledonia!N101,'New Albany'!N101,Wheatland!N107,Wilton!N98,Brownsville!N104,Gleason!N104)</f>
        <v>9344.9998963753496</v>
      </c>
      <c r="O8" s="330">
        <f>SUM(Caledonia!O101,'New Albany'!O101,Wheatland!O107,Wilton!O98,Brownsville!O104,Gleason!O104)</f>
        <v>9949.3676614588003</v>
      </c>
      <c r="P8" s="330">
        <f>SUM(Caledonia!P101,'New Albany'!P101,Wheatland!P107,Wilton!P98,Brownsville!P104,Gleason!P104)</f>
        <v>10545.172744817786</v>
      </c>
      <c r="Q8" s="330">
        <f>SUM(Caledonia!Q101,'New Albany'!Q101,Wheatland!Q107,Wilton!Q98,Brownsville!Q104,Gleason!Q104)</f>
        <v>12988.647486311758</v>
      </c>
      <c r="R8" s="330">
        <f>SUM(Caledonia!R101,'New Albany'!R101,Wheatland!R107,Wilton!R98,Brownsville!R104,Gleason!R104)</f>
        <v>15420.509753832386</v>
      </c>
      <c r="S8" s="330">
        <f>SUM(Caledonia!S101,'New Albany'!S101,Wheatland!S107,Wilton!S98,Brownsville!S104,Gleason!S104)</f>
        <v>16004.516403877315</v>
      </c>
      <c r="T8" s="330">
        <f>SUM(Caledonia!T101,'New Albany'!T101,Wheatland!T107,Wilton!T98,Brownsville!T104,Gleason!T104)</f>
        <v>16541.045228634634</v>
      </c>
      <c r="U8" s="330">
        <f>SUM(Caledonia!U101,'New Albany'!U101,Wheatland!U107,Wilton!U98,Brownsville!U104,Gleason!U104)</f>
        <v>17080.157858191407</v>
      </c>
      <c r="V8" s="223"/>
      <c r="W8" s="427">
        <f>SUM(B8:U8)</f>
        <v>159989.95905820807</v>
      </c>
      <c r="X8" s="426">
        <f>SUM(Brownsville!W104,Caledonia!W101,'New Albany'!W101,Gleason!W104,Wheatland!W107,Wilton!W98)</f>
        <v>159989.95905820804</v>
      </c>
      <c r="Y8" s="421">
        <f>W8-X8</f>
        <v>0</v>
      </c>
    </row>
    <row r="9" spans="1:25">
      <c r="A9" s="32"/>
      <c r="B9" s="233"/>
      <c r="C9" s="233"/>
      <c r="D9" s="233"/>
      <c r="E9" s="233"/>
      <c r="F9" s="233"/>
      <c r="G9" s="233"/>
      <c r="H9" s="233"/>
      <c r="I9" s="233"/>
      <c r="J9" s="233"/>
      <c r="K9" s="233"/>
      <c r="L9" s="233"/>
      <c r="M9" s="233"/>
      <c r="N9" s="233"/>
      <c r="O9" s="233"/>
      <c r="P9" s="233"/>
      <c r="Q9" s="233"/>
      <c r="R9" s="233"/>
      <c r="S9" s="233"/>
      <c r="T9" s="233"/>
      <c r="U9" s="233"/>
      <c r="V9" s="223"/>
      <c r="W9" s="223"/>
    </row>
    <row r="10" spans="1:25">
      <c r="A10" s="21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157"/>
      <c r="W10" s="157"/>
    </row>
    <row r="11" spans="1:25">
      <c r="A11" s="227" t="s">
        <v>84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154"/>
      <c r="W11" s="154"/>
    </row>
    <row r="12" spans="1:25">
      <c r="A12" s="21" t="s">
        <v>247</v>
      </c>
      <c r="B12" s="20">
        <f>IS!B41-IS!B13</f>
        <v>6339.8633434720541</v>
      </c>
      <c r="C12" s="20">
        <f>IS!C41-IS!C13</f>
        <v>6959.5593046225258</v>
      </c>
      <c r="D12" s="20">
        <f>IS!D41-IS!D13</f>
        <v>8147.7657856523729</v>
      </c>
      <c r="E12" s="20">
        <f>IS!E41</f>
        <v>95847.94693869671</v>
      </c>
      <c r="F12" s="20">
        <f>IS!F41</f>
        <v>109142.59012186315</v>
      </c>
      <c r="G12" s="20">
        <f>IS!G41</f>
        <v>115115.55549908143</v>
      </c>
      <c r="H12" s="20">
        <f>IS!H41</f>
        <v>121536.95402535985</v>
      </c>
      <c r="I12" s="20">
        <f>IS!I41</f>
        <v>128213.73586292438</v>
      </c>
      <c r="J12" s="20">
        <f>IS!J41</f>
        <v>135861.18537477168</v>
      </c>
      <c r="K12" s="20">
        <f>IS!K41</f>
        <v>143101.32782816363</v>
      </c>
      <c r="L12" s="20">
        <f>IS!L41</f>
        <v>152279.21882022143</v>
      </c>
      <c r="M12" s="20">
        <f>IS!M41</f>
        <v>162150.59944892157</v>
      </c>
      <c r="N12" s="20">
        <f>IS!N41</f>
        <v>171849.54505876536</v>
      </c>
      <c r="O12" s="20">
        <f>IS!O41</f>
        <v>181585.99546666461</v>
      </c>
      <c r="P12" s="20">
        <f>IS!P41</f>
        <v>190967.49727886973</v>
      </c>
      <c r="Q12" s="20">
        <f>IS!Q41</f>
        <v>200701.54926449657</v>
      </c>
      <c r="R12" s="20">
        <f>IS!R41</f>
        <v>210219.36510890239</v>
      </c>
      <c r="S12" s="20">
        <f>IS!S41</f>
        <v>219441.17876703606</v>
      </c>
      <c r="T12" s="20">
        <f>IS!T41</f>
        <v>227909.94767582417</v>
      </c>
      <c r="U12" s="20">
        <f>IS!U41</f>
        <v>236418.96692151122</v>
      </c>
      <c r="V12" s="157"/>
      <c r="W12" s="427">
        <f>SUM(B12:U12)</f>
        <v>2823790.3478958216</v>
      </c>
      <c r="X12" s="426">
        <f>SUM(Caledonia!W87,'New Albany'!W87,Wheatland!W91,Wilton!W84,Brownsville!W90,Gleason!W90)</f>
        <v>2823790.3478958197</v>
      </c>
      <c r="Y12" s="421">
        <f>W12-X12</f>
        <v>0</v>
      </c>
    </row>
    <row r="13" spans="1:25">
      <c r="A13" s="21" t="s">
        <v>133</v>
      </c>
      <c r="B13" s="20">
        <f>IS!B35</f>
        <v>37127.99419986608</v>
      </c>
      <c r="C13" s="20">
        <f>IS!C35</f>
        <v>37127.99419986608</v>
      </c>
      <c r="D13" s="20">
        <f>IS!D35</f>
        <v>37127.99419986608</v>
      </c>
      <c r="E13" s="20">
        <f>IS!E35</f>
        <v>37127.99419986608</v>
      </c>
      <c r="F13" s="20">
        <f>IS!F35</f>
        <v>37127.99419986608</v>
      </c>
      <c r="G13" s="20">
        <f>IS!G35</f>
        <v>37127.99419986608</v>
      </c>
      <c r="H13" s="20">
        <f>IS!H35</f>
        <v>37127.99419986608</v>
      </c>
      <c r="I13" s="20">
        <f>IS!I35</f>
        <v>37127.99419986608</v>
      </c>
      <c r="J13" s="20">
        <f>IS!J35</f>
        <v>37127.99419986608</v>
      </c>
      <c r="K13" s="20">
        <f>IS!K35</f>
        <v>37127.99419986608</v>
      </c>
      <c r="L13" s="20">
        <f>IS!L35</f>
        <v>37127.99419986608</v>
      </c>
      <c r="M13" s="20">
        <f>IS!M35</f>
        <v>37127.99419986608</v>
      </c>
      <c r="N13" s="20">
        <f>IS!N35</f>
        <v>37127.99419986608</v>
      </c>
      <c r="O13" s="20">
        <f>IS!O35</f>
        <v>37127.99419986608</v>
      </c>
      <c r="P13" s="20">
        <f>IS!P35</f>
        <v>37127.99419986608</v>
      </c>
      <c r="Q13" s="20">
        <f>IS!Q35</f>
        <v>37127.99419986608</v>
      </c>
      <c r="R13" s="20">
        <f>IS!R35</f>
        <v>37127.99419986608</v>
      </c>
      <c r="S13" s="20">
        <f>IS!S35</f>
        <v>37127.99419986608</v>
      </c>
      <c r="T13" s="20">
        <f>IS!T35</f>
        <v>37127.99419986608</v>
      </c>
      <c r="U13" s="20">
        <f>IS!U35</f>
        <v>37127.99419986608</v>
      </c>
      <c r="V13" s="157"/>
      <c r="W13" s="427">
        <f>SUM(B13:U13)</f>
        <v>742559.88399732159</v>
      </c>
      <c r="X13" s="426">
        <f>SUM(Caledonia!W88,'New Albany'!W88,Wheatland!W92,Wilton!W85,Brownsville!W91,Gleason!W91)</f>
        <v>742559.88399732159</v>
      </c>
      <c r="Y13" s="421">
        <f>W13-X13</f>
        <v>0</v>
      </c>
    </row>
    <row r="14" spans="1:25">
      <c r="A14" s="21" t="s">
        <v>202</v>
      </c>
      <c r="B14" s="22">
        <f>-Depreciation!C104</f>
        <v>-53771.549999999988</v>
      </c>
      <c r="C14" s="22">
        <f>-Depreciation!D104</f>
        <v>-102165.94499999998</v>
      </c>
      <c r="D14" s="22">
        <f>-Depreciation!E104</f>
        <v>-91949.350499999986</v>
      </c>
      <c r="E14" s="22">
        <f>-Depreciation!F104</f>
        <v>-82808.186999999976</v>
      </c>
      <c r="F14" s="22">
        <f>-Depreciation!G104</f>
        <v>-74527.368299999973</v>
      </c>
      <c r="G14" s="22">
        <f>-Depreciation!H104</f>
        <v>-66999.351299999995</v>
      </c>
      <c r="H14" s="22">
        <f>-Depreciation!I104</f>
        <v>-63450.428999999975</v>
      </c>
      <c r="I14" s="22">
        <f>-Depreciation!J104</f>
        <v>-63557.972099999984</v>
      </c>
      <c r="J14" s="22">
        <f>-Depreciation!K104</f>
        <v>-63450.428999999975</v>
      </c>
      <c r="K14" s="22">
        <f>-Depreciation!L104</f>
        <v>-63557.972099999984</v>
      </c>
      <c r="L14" s="22">
        <f>-Depreciation!M104</f>
        <v>-63450.428999999975</v>
      </c>
      <c r="M14" s="22">
        <f>-Depreciation!N104</f>
        <v>-63557.972099999984</v>
      </c>
      <c r="N14" s="22">
        <f>-Depreciation!O104</f>
        <v>-63450.428999999975</v>
      </c>
      <c r="O14" s="22">
        <f>-Depreciation!P104</f>
        <v>-63557.972099999984</v>
      </c>
      <c r="P14" s="22">
        <f>-Depreciation!Q104</f>
        <v>-63450.428999999975</v>
      </c>
      <c r="Q14" s="22">
        <f>-Depreciation!R104</f>
        <v>-31725.214499999987</v>
      </c>
      <c r="R14" s="22">
        <f>-Depreciation!S104</f>
        <v>0</v>
      </c>
      <c r="S14" s="22">
        <f>-Depreciation!T104</f>
        <v>0</v>
      </c>
      <c r="T14" s="22">
        <f>-Depreciation!U104</f>
        <v>0</v>
      </c>
      <c r="U14" s="22">
        <f>-Depreciation!V104</f>
        <v>0</v>
      </c>
      <c r="V14" s="157"/>
      <c r="W14" s="427">
        <f>SUM(B14:U14)</f>
        <v>-1075430.9999999998</v>
      </c>
      <c r="X14" s="426">
        <f>SUM(Caledonia!W89,'New Albany'!W89,Wheatland!W93,Wilton!W86,Brownsville!W92,Gleason!W92)</f>
        <v>-1075430.9999999998</v>
      </c>
      <c r="Y14" s="421">
        <f>W14-X14</f>
        <v>0</v>
      </c>
    </row>
    <row r="15" spans="1:25" ht="15">
      <c r="A15" s="21" t="s">
        <v>140</v>
      </c>
      <c r="B15" s="234">
        <f>-B8</f>
        <v>-313.80034370707949</v>
      </c>
      <c r="C15" s="234">
        <f t="shared" ref="C15:U15" si="0">-C8</f>
        <v>-297.14384874839141</v>
      </c>
      <c r="D15" s="234">
        <f t="shared" si="0"/>
        <v>-297.8207467523431</v>
      </c>
      <c r="E15" s="234">
        <f t="shared" si="0"/>
        <v>-600.11662390442439</v>
      </c>
      <c r="F15" s="234">
        <f t="shared" si="0"/>
        <v>-2235.8191465089353</v>
      </c>
      <c r="G15" s="234">
        <f t="shared" si="0"/>
        <v>-4168.6673765954529</v>
      </c>
      <c r="H15" s="234">
        <f t="shared" si="0"/>
        <v>-6134.8726492500373</v>
      </c>
      <c r="I15" s="234">
        <f t="shared" si="0"/>
        <v>-6581.1940116525202</v>
      </c>
      <c r="J15" s="234">
        <f t="shared" si="0"/>
        <v>-7077.7342164021393</v>
      </c>
      <c r="K15" s="234">
        <f t="shared" si="0"/>
        <v>-7550.5611746852792</v>
      </c>
      <c r="L15" s="234">
        <f t="shared" si="0"/>
        <v>-8125.028063705714</v>
      </c>
      <c r="M15" s="234">
        <f t="shared" si="0"/>
        <v>-8732.783822796293</v>
      </c>
      <c r="N15" s="234">
        <f t="shared" si="0"/>
        <v>-9344.9998963753496</v>
      </c>
      <c r="O15" s="234">
        <f t="shared" si="0"/>
        <v>-9949.3676614588003</v>
      </c>
      <c r="P15" s="234">
        <f t="shared" si="0"/>
        <v>-10545.172744817786</v>
      </c>
      <c r="Q15" s="234">
        <f t="shared" si="0"/>
        <v>-12988.647486311758</v>
      </c>
      <c r="R15" s="234">
        <f t="shared" si="0"/>
        <v>-15420.509753832386</v>
      </c>
      <c r="S15" s="234">
        <f t="shared" si="0"/>
        <v>-16004.516403877315</v>
      </c>
      <c r="T15" s="234">
        <f t="shared" si="0"/>
        <v>-16541.045228634634</v>
      </c>
      <c r="U15" s="234">
        <f t="shared" si="0"/>
        <v>-17080.157858191407</v>
      </c>
      <c r="V15" s="159"/>
      <c r="W15" s="427">
        <f>SUM(B15:U15)</f>
        <v>-159989.95905820807</v>
      </c>
      <c r="X15" s="426">
        <f>SUM(Brownsville!W104,Caledonia!W101,'New Albany'!W101,Gleason!W104,Wheatland!W107,Wilton!W98)</f>
        <v>159989.95905820804</v>
      </c>
      <c r="Y15" s="421">
        <f>X15+W15</f>
        <v>0</v>
      </c>
    </row>
    <row r="16" spans="1:25">
      <c r="A16" s="229" t="s">
        <v>199</v>
      </c>
      <c r="B16" s="34">
        <f t="shared" ref="B16:U16" si="1">SUM(B12:B15)</f>
        <v>-10617.492800368935</v>
      </c>
      <c r="C16" s="34">
        <f t="shared" si="1"/>
        <v>-58375.535344259762</v>
      </c>
      <c r="D16" s="34">
        <f t="shared" si="1"/>
        <v>-46971.411261233879</v>
      </c>
      <c r="E16" s="34">
        <f t="shared" si="1"/>
        <v>49567.637514658403</v>
      </c>
      <c r="F16" s="34">
        <f t="shared" si="1"/>
        <v>69507.396875220322</v>
      </c>
      <c r="G16" s="34">
        <f t="shared" si="1"/>
        <v>81075.531022352079</v>
      </c>
      <c r="H16" s="34">
        <f t="shared" si="1"/>
        <v>89079.646575975916</v>
      </c>
      <c r="I16" s="34">
        <f t="shared" si="1"/>
        <v>95202.563951137941</v>
      </c>
      <c r="J16" s="34">
        <f t="shared" si="1"/>
        <v>102461.01635823565</v>
      </c>
      <c r="K16" s="34">
        <f t="shared" si="1"/>
        <v>109120.78875334444</v>
      </c>
      <c r="L16" s="34">
        <f t="shared" si="1"/>
        <v>117831.75595638182</v>
      </c>
      <c r="M16" s="34">
        <f t="shared" si="1"/>
        <v>126987.83772599137</v>
      </c>
      <c r="N16" s="34">
        <f t="shared" si="1"/>
        <v>136182.11036225612</v>
      </c>
      <c r="O16" s="34">
        <f t="shared" si="1"/>
        <v>145206.64990507191</v>
      </c>
      <c r="P16" s="34">
        <f t="shared" si="1"/>
        <v>154099.88973391804</v>
      </c>
      <c r="Q16" s="34">
        <f t="shared" si="1"/>
        <v>193115.68147805092</v>
      </c>
      <c r="R16" s="34">
        <f t="shared" si="1"/>
        <v>231926.84955493608</v>
      </c>
      <c r="S16" s="34">
        <f t="shared" si="1"/>
        <v>240564.65656302482</v>
      </c>
      <c r="T16" s="34">
        <f t="shared" si="1"/>
        <v>248496.8966470556</v>
      </c>
      <c r="U16" s="34">
        <f t="shared" si="1"/>
        <v>256466.8032631859</v>
      </c>
      <c r="V16" s="158"/>
      <c r="W16" s="427"/>
      <c r="X16" s="426"/>
      <c r="Y16" s="421"/>
    </row>
    <row r="17" spans="1:25">
      <c r="A17" s="229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158"/>
      <c r="W17" s="158"/>
    </row>
    <row r="18" spans="1:25">
      <c r="A18" s="21" t="s">
        <v>141</v>
      </c>
      <c r="B18" s="499">
        <f>Assumptions!$K$38</f>
        <v>0.35</v>
      </c>
      <c r="C18" s="499">
        <f>Assumptions!$K$38</f>
        <v>0.35</v>
      </c>
      <c r="D18" s="499">
        <f>Assumptions!$K$38</f>
        <v>0.35</v>
      </c>
      <c r="E18" s="499">
        <f>Assumptions!$K$38</f>
        <v>0.35</v>
      </c>
      <c r="F18" s="499">
        <f>Assumptions!$K$38</f>
        <v>0.35</v>
      </c>
      <c r="G18" s="499">
        <f>Assumptions!$K$38</f>
        <v>0.35</v>
      </c>
      <c r="H18" s="499">
        <f>Assumptions!$K$38</f>
        <v>0.35</v>
      </c>
      <c r="I18" s="499">
        <f>Assumptions!$K$38</f>
        <v>0.35</v>
      </c>
      <c r="J18" s="499">
        <f>Assumptions!$K$38</f>
        <v>0.35</v>
      </c>
      <c r="K18" s="499">
        <f>Assumptions!$K$38</f>
        <v>0.35</v>
      </c>
      <c r="L18" s="499">
        <f>Assumptions!$K$38</f>
        <v>0.35</v>
      </c>
      <c r="M18" s="499">
        <f>Assumptions!$K$38</f>
        <v>0.35</v>
      </c>
      <c r="N18" s="499">
        <f>Assumptions!$K$38</f>
        <v>0.35</v>
      </c>
      <c r="O18" s="499">
        <f>Assumptions!$K$38</f>
        <v>0.35</v>
      </c>
      <c r="P18" s="499">
        <f>Assumptions!$K$38</f>
        <v>0.35</v>
      </c>
      <c r="Q18" s="499">
        <f>Assumptions!$K$38</f>
        <v>0.35</v>
      </c>
      <c r="R18" s="499">
        <f>Assumptions!$K$38</f>
        <v>0.35</v>
      </c>
      <c r="S18" s="499">
        <f>Assumptions!$K$38</f>
        <v>0.35</v>
      </c>
      <c r="T18" s="499">
        <f>Assumptions!$K$38</f>
        <v>0.35</v>
      </c>
      <c r="U18" s="499">
        <f>Assumptions!$K$38</f>
        <v>0.35</v>
      </c>
      <c r="V18" s="160"/>
      <c r="W18" s="160"/>
    </row>
    <row r="19" spans="1:25">
      <c r="A19" s="229" t="s">
        <v>142</v>
      </c>
      <c r="B19" s="34">
        <f t="shared" ref="B19:U19" si="2">B16*B18</f>
        <v>-3716.1224801291269</v>
      </c>
      <c r="C19" s="34">
        <f t="shared" si="2"/>
        <v>-20431.437370490916</v>
      </c>
      <c r="D19" s="34">
        <f t="shared" si="2"/>
        <v>-16439.993941431858</v>
      </c>
      <c r="E19" s="34">
        <f t="shared" si="2"/>
        <v>17348.673130130439</v>
      </c>
      <c r="F19" s="34">
        <f t="shared" si="2"/>
        <v>24327.58890632711</v>
      </c>
      <c r="G19" s="34">
        <f t="shared" si="2"/>
        <v>28376.435857823228</v>
      </c>
      <c r="H19" s="34">
        <f t="shared" si="2"/>
        <v>31177.876301591568</v>
      </c>
      <c r="I19" s="34">
        <f t="shared" si="2"/>
        <v>33320.897382898278</v>
      </c>
      <c r="J19" s="34">
        <f t="shared" si="2"/>
        <v>35861.355725382477</v>
      </c>
      <c r="K19" s="34">
        <f t="shared" si="2"/>
        <v>38192.27606367055</v>
      </c>
      <c r="L19" s="34">
        <f t="shared" si="2"/>
        <v>41241.114584733637</v>
      </c>
      <c r="M19" s="34">
        <f t="shared" si="2"/>
        <v>44445.74320409698</v>
      </c>
      <c r="N19" s="34">
        <f t="shared" si="2"/>
        <v>47663.738626789636</v>
      </c>
      <c r="O19" s="34">
        <f t="shared" si="2"/>
        <v>50822.327466775168</v>
      </c>
      <c r="P19" s="34">
        <f t="shared" si="2"/>
        <v>53934.961406871313</v>
      </c>
      <c r="Q19" s="34">
        <f t="shared" si="2"/>
        <v>67590.488517317819</v>
      </c>
      <c r="R19" s="34">
        <f t="shared" si="2"/>
        <v>81174.397344227618</v>
      </c>
      <c r="S19" s="34">
        <f t="shared" si="2"/>
        <v>84197.629797058689</v>
      </c>
      <c r="T19" s="34">
        <f t="shared" si="2"/>
        <v>86973.913826469463</v>
      </c>
      <c r="U19" s="34">
        <f t="shared" si="2"/>
        <v>89763.38114211506</v>
      </c>
      <c r="V19" s="157"/>
      <c r="W19" s="157"/>
    </row>
    <row r="20" spans="1:25">
      <c r="A20" s="17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154"/>
      <c r="W20" s="154"/>
    </row>
    <row r="21" spans="1:25">
      <c r="A21" s="17" t="s">
        <v>231</v>
      </c>
      <c r="B21" s="241">
        <f>IF(B19&lt;0,-B19,0)</f>
        <v>3716.1224801291269</v>
      </c>
      <c r="C21" s="241">
        <f>IF(C19&lt;0,-C19+B21-B22,B21-B22)</f>
        <v>24147.559850620044</v>
      </c>
      <c r="D21" s="241">
        <f t="shared" ref="D21:U21" si="3">IF(D19&lt;0,-D19+C21-C22,C21-C22)</f>
        <v>40587.553792051898</v>
      </c>
      <c r="E21" s="241">
        <f t="shared" si="3"/>
        <v>40587.553792051898</v>
      </c>
      <c r="F21" s="241">
        <f t="shared" si="3"/>
        <v>23238.880661921459</v>
      </c>
      <c r="G21" s="241">
        <f t="shared" si="3"/>
        <v>0</v>
      </c>
      <c r="H21" s="241">
        <f t="shared" si="3"/>
        <v>0</v>
      </c>
      <c r="I21" s="241">
        <f t="shared" si="3"/>
        <v>0</v>
      </c>
      <c r="J21" s="241">
        <f t="shared" si="3"/>
        <v>0</v>
      </c>
      <c r="K21" s="241">
        <f t="shared" si="3"/>
        <v>0</v>
      </c>
      <c r="L21" s="241">
        <f t="shared" si="3"/>
        <v>0</v>
      </c>
      <c r="M21" s="241">
        <f t="shared" si="3"/>
        <v>0</v>
      </c>
      <c r="N21" s="241">
        <f t="shared" si="3"/>
        <v>0</v>
      </c>
      <c r="O21" s="241">
        <f t="shared" si="3"/>
        <v>0</v>
      </c>
      <c r="P21" s="241">
        <f t="shared" si="3"/>
        <v>0</v>
      </c>
      <c r="Q21" s="241">
        <f t="shared" si="3"/>
        <v>0</v>
      </c>
      <c r="R21" s="241">
        <f t="shared" si="3"/>
        <v>0</v>
      </c>
      <c r="S21" s="241">
        <f t="shared" si="3"/>
        <v>0</v>
      </c>
      <c r="T21" s="241">
        <f t="shared" si="3"/>
        <v>0</v>
      </c>
      <c r="U21" s="241">
        <f t="shared" si="3"/>
        <v>0</v>
      </c>
      <c r="V21" s="157"/>
      <c r="W21" s="157"/>
    </row>
    <row r="22" spans="1:25">
      <c r="A22" s="17" t="s">
        <v>138</v>
      </c>
      <c r="B22" s="20">
        <f t="shared" ref="B22:U22" si="4">IF(B19&lt;0,0,IF(B21&gt;B19,B19,B21))</f>
        <v>0</v>
      </c>
      <c r="C22" s="20">
        <f t="shared" si="4"/>
        <v>0</v>
      </c>
      <c r="D22" s="20">
        <f t="shared" si="4"/>
        <v>0</v>
      </c>
      <c r="E22" s="20">
        <f t="shared" si="4"/>
        <v>17348.673130130439</v>
      </c>
      <c r="F22" s="20">
        <f t="shared" si="4"/>
        <v>23238.880661921459</v>
      </c>
      <c r="G22" s="20">
        <f t="shared" si="4"/>
        <v>0</v>
      </c>
      <c r="H22" s="241">
        <f t="shared" si="4"/>
        <v>0</v>
      </c>
      <c r="I22" s="241">
        <f t="shared" si="4"/>
        <v>0</v>
      </c>
      <c r="J22" s="241">
        <f t="shared" si="4"/>
        <v>0</v>
      </c>
      <c r="K22" s="241">
        <f t="shared" si="4"/>
        <v>0</v>
      </c>
      <c r="L22" s="241">
        <f t="shared" si="4"/>
        <v>0</v>
      </c>
      <c r="M22" s="241">
        <f t="shared" si="4"/>
        <v>0</v>
      </c>
      <c r="N22" s="241">
        <f t="shared" si="4"/>
        <v>0</v>
      </c>
      <c r="O22" s="241">
        <f t="shared" si="4"/>
        <v>0</v>
      </c>
      <c r="P22" s="241">
        <f t="shared" si="4"/>
        <v>0</v>
      </c>
      <c r="Q22" s="241">
        <f t="shared" si="4"/>
        <v>0</v>
      </c>
      <c r="R22" s="241">
        <f t="shared" si="4"/>
        <v>0</v>
      </c>
      <c r="S22" s="241">
        <f t="shared" si="4"/>
        <v>0</v>
      </c>
      <c r="T22" s="241">
        <f t="shared" si="4"/>
        <v>0</v>
      </c>
      <c r="U22" s="241">
        <f t="shared" si="4"/>
        <v>0</v>
      </c>
      <c r="V22" s="485"/>
      <c r="W22" s="485"/>
    </row>
    <row r="23" spans="1:25">
      <c r="A23" s="17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157"/>
      <c r="W23" s="157"/>
    </row>
    <row r="24" spans="1:25" ht="13.5" thickBot="1">
      <c r="A24" s="32" t="s">
        <v>232</v>
      </c>
      <c r="B24" s="500">
        <f t="shared" ref="B24:T24" si="5">IF(B19&lt;0,0,(B19-B22))</f>
        <v>0</v>
      </c>
      <c r="C24" s="500">
        <f t="shared" si="5"/>
        <v>0</v>
      </c>
      <c r="D24" s="500">
        <f t="shared" si="5"/>
        <v>0</v>
      </c>
      <c r="E24" s="500">
        <f t="shared" si="5"/>
        <v>0</v>
      </c>
      <c r="F24" s="500">
        <f t="shared" si="5"/>
        <v>1088.7082444056505</v>
      </c>
      <c r="G24" s="500">
        <f t="shared" si="5"/>
        <v>28376.435857823228</v>
      </c>
      <c r="H24" s="500">
        <f t="shared" si="5"/>
        <v>31177.876301591568</v>
      </c>
      <c r="I24" s="500">
        <f t="shared" si="5"/>
        <v>33320.897382898278</v>
      </c>
      <c r="J24" s="500">
        <f t="shared" si="5"/>
        <v>35861.355725382477</v>
      </c>
      <c r="K24" s="500">
        <f t="shared" si="5"/>
        <v>38192.27606367055</v>
      </c>
      <c r="L24" s="500">
        <f t="shared" si="5"/>
        <v>41241.114584733637</v>
      </c>
      <c r="M24" s="500">
        <f t="shared" si="5"/>
        <v>44445.74320409698</v>
      </c>
      <c r="N24" s="500">
        <f t="shared" si="5"/>
        <v>47663.738626789636</v>
      </c>
      <c r="O24" s="500">
        <f t="shared" si="5"/>
        <v>50822.327466775168</v>
      </c>
      <c r="P24" s="500">
        <f t="shared" si="5"/>
        <v>53934.961406871313</v>
      </c>
      <c r="Q24" s="500">
        <f t="shared" si="5"/>
        <v>67590.488517317819</v>
      </c>
      <c r="R24" s="500">
        <f t="shared" si="5"/>
        <v>81174.397344227618</v>
      </c>
      <c r="S24" s="500">
        <f t="shared" si="5"/>
        <v>84197.629797058689</v>
      </c>
      <c r="T24" s="500">
        <f t="shared" si="5"/>
        <v>86973.913826469463</v>
      </c>
      <c r="U24" s="500">
        <f>IF(U19&lt;0,0,(U19-U22))</f>
        <v>89763.38114211506</v>
      </c>
      <c r="V24" s="161"/>
      <c r="W24" s="427">
        <f>SUM(B24:U24)</f>
        <v>815825.24549222714</v>
      </c>
      <c r="X24" s="426">
        <f>SUM(Brownsville!W63,Caledonia!W63,'New Albany'!W63,Gleason!W63,Wheatland!W63,Wilton!W63)</f>
        <v>-815825.24549222714</v>
      </c>
      <c r="Y24" s="421">
        <f>X24+W24</f>
        <v>0</v>
      </c>
    </row>
    <row r="25" spans="1:25" ht="13.5" thickTop="1">
      <c r="V25" s="7"/>
      <c r="W25" s="7"/>
    </row>
    <row r="26" spans="1:25">
      <c r="E26" s="123"/>
      <c r="F26" s="123"/>
      <c r="V26" s="7"/>
      <c r="W26" s="7"/>
    </row>
    <row r="27" spans="1:25">
      <c r="V27" s="7"/>
      <c r="W27" s="7"/>
    </row>
    <row r="28" spans="1:25">
      <c r="V28" s="7"/>
      <c r="W28" s="7"/>
    </row>
    <row r="29" spans="1:25">
      <c r="V29" s="7"/>
      <c r="W29" s="7"/>
    </row>
    <row r="30" spans="1:25">
      <c r="V30" s="7"/>
      <c r="W30" s="7"/>
    </row>
    <row r="31" spans="1:25">
      <c r="V31" s="7"/>
      <c r="W31" s="7"/>
    </row>
    <row r="32" spans="1:25">
      <c r="V32" s="7"/>
      <c r="W32" s="7"/>
    </row>
  </sheetData>
  <pageMargins left="0.75" right="0.75" top="1" bottom="1" header="0.5" footer="0.5"/>
  <pageSetup scale="50" orientation="landscape" r:id="rId1"/>
  <headerFooter alignWithMargins="0">
    <oddHeader>&amp;L&amp;12Enron's Generation&amp;RCONFIDENTIAL</oddHeader>
    <oddFooter>&amp;L&amp;D&amp;C&amp;F&amp;RPage &amp;P</oddFooter>
  </headerFooter>
  <colBreaks count="1" manualBreakCount="1">
    <brk id="11" min="1" max="3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BC768"/>
  <sheetViews>
    <sheetView zoomScale="75" zoomScaleNormal="75" workbookViewId="0"/>
  </sheetViews>
  <sheetFormatPr defaultRowHeight="12.75" outlineLevelRow="1" outlineLevelCol="1"/>
  <cols>
    <col min="1" max="1" width="47.5703125" style="6" customWidth="1"/>
    <col min="2" max="3" width="10.7109375" style="6" customWidth="1" outlineLevel="1"/>
    <col min="4" max="21" width="10.7109375" style="6" customWidth="1"/>
    <col min="22" max="22" width="9.140625" style="7"/>
    <col min="23" max="23" width="12.28515625" style="7" bestFit="1" customWidth="1"/>
    <col min="24" max="16384" width="9.140625" style="7"/>
  </cols>
  <sheetData>
    <row r="1" spans="1:55"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</row>
    <row r="2" spans="1:55" ht="18.75">
      <c r="A2" s="52" t="s">
        <v>92</v>
      </c>
      <c r="B2" s="373"/>
      <c r="C2" s="373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</row>
    <row r="5" spans="1:55" ht="13.5" thickBot="1">
      <c r="A5" s="194" t="s">
        <v>56</v>
      </c>
      <c r="B5" s="8">
        <v>2001</v>
      </c>
      <c r="C5" s="8">
        <f t="shared" ref="C5:U5" si="0">B5+1</f>
        <v>2002</v>
      </c>
      <c r="D5" s="8">
        <f t="shared" si="0"/>
        <v>2003</v>
      </c>
      <c r="E5" s="8">
        <f t="shared" si="0"/>
        <v>2004</v>
      </c>
      <c r="F5" s="8">
        <f t="shared" si="0"/>
        <v>2005</v>
      </c>
      <c r="G5" s="8">
        <f t="shared" si="0"/>
        <v>2006</v>
      </c>
      <c r="H5" s="8">
        <f t="shared" si="0"/>
        <v>2007</v>
      </c>
      <c r="I5" s="8">
        <f t="shared" si="0"/>
        <v>2008</v>
      </c>
      <c r="J5" s="8">
        <f t="shared" si="0"/>
        <v>2009</v>
      </c>
      <c r="K5" s="8">
        <f t="shared" si="0"/>
        <v>2010</v>
      </c>
      <c r="L5" s="8">
        <f t="shared" si="0"/>
        <v>2011</v>
      </c>
      <c r="M5" s="8">
        <f t="shared" si="0"/>
        <v>2012</v>
      </c>
      <c r="N5" s="8">
        <f t="shared" si="0"/>
        <v>2013</v>
      </c>
      <c r="O5" s="8">
        <f t="shared" si="0"/>
        <v>2014</v>
      </c>
      <c r="P5" s="8">
        <f t="shared" si="0"/>
        <v>2015</v>
      </c>
      <c r="Q5" s="8">
        <f t="shared" si="0"/>
        <v>2016</v>
      </c>
      <c r="R5" s="8">
        <f t="shared" si="0"/>
        <v>2017</v>
      </c>
      <c r="S5" s="8">
        <f t="shared" si="0"/>
        <v>2018</v>
      </c>
      <c r="T5" s="8">
        <f t="shared" si="0"/>
        <v>2019</v>
      </c>
      <c r="U5" s="8">
        <f t="shared" si="0"/>
        <v>2020</v>
      </c>
    </row>
    <row r="6" spans="1:55">
      <c r="A6" s="2"/>
      <c r="B6" s="420"/>
      <c r="C6" s="420"/>
      <c r="D6" s="420"/>
      <c r="E6" s="420"/>
      <c r="F6" s="420"/>
      <c r="G6" s="420"/>
      <c r="H6" s="420"/>
      <c r="I6" s="420"/>
      <c r="J6" s="420"/>
      <c r="K6" s="420"/>
      <c r="L6" s="420"/>
      <c r="M6" s="420"/>
      <c r="N6" s="420"/>
      <c r="O6" s="420"/>
      <c r="P6" s="420"/>
      <c r="Q6" s="420"/>
      <c r="R6" s="420"/>
      <c r="S6" s="420"/>
      <c r="T6" s="420"/>
      <c r="U6" s="420"/>
    </row>
    <row r="7" spans="1:55">
      <c r="A7" s="1" t="s">
        <v>57</v>
      </c>
      <c r="B7" s="421"/>
      <c r="C7" s="421"/>
      <c r="D7" s="421"/>
      <c r="E7" s="421"/>
      <c r="F7" s="421"/>
      <c r="G7" s="421"/>
      <c r="H7" s="421"/>
      <c r="I7" s="421"/>
      <c r="J7" s="421"/>
      <c r="K7" s="421"/>
      <c r="L7" s="421"/>
      <c r="M7" s="421"/>
      <c r="N7" s="421"/>
      <c r="O7" s="421"/>
      <c r="P7" s="421"/>
      <c r="Q7" s="421"/>
      <c r="R7" s="421"/>
      <c r="S7" s="421"/>
      <c r="T7" s="421"/>
      <c r="U7" s="421"/>
      <c r="V7" s="58"/>
      <c r="W7" s="58"/>
      <c r="X7" s="58"/>
      <c r="Y7" s="473">
        <f>SUM(Z7:AS7)-SUM(Z8:AS8)</f>
        <v>0</v>
      </c>
      <c r="Z7" s="474">
        <f>B10+B11</f>
        <v>1429.0040386638611</v>
      </c>
      <c r="AA7" s="474">
        <f>C10+C11</f>
        <v>1471.8741598237771</v>
      </c>
      <c r="AB7" s="474">
        <f>D10+D11</f>
        <v>1516.0303846184906</v>
      </c>
      <c r="AC7" s="474">
        <f t="shared" ref="AC7:AS7" si="1">E16</f>
        <v>1223.858653157045</v>
      </c>
      <c r="AD7" s="474">
        <f t="shared" si="1"/>
        <v>1260.5744127517564</v>
      </c>
      <c r="AE7" s="474">
        <f t="shared" si="1"/>
        <v>1298.3916451343091</v>
      </c>
      <c r="AF7" s="474">
        <f t="shared" si="1"/>
        <v>1337.3433944883384</v>
      </c>
      <c r="AG7" s="474">
        <f t="shared" si="1"/>
        <v>1377.4636963229882</v>
      </c>
      <c r="AH7" s="474">
        <f t="shared" si="1"/>
        <v>1418.787607212678</v>
      </c>
      <c r="AI7" s="474">
        <f t="shared" si="1"/>
        <v>1461.3512354290585</v>
      </c>
      <c r="AJ7" s="474">
        <f t="shared" si="1"/>
        <v>1505.1917724919304</v>
      </c>
      <c r="AK7" s="474">
        <f t="shared" si="1"/>
        <v>1550.3475256666879</v>
      </c>
      <c r="AL7" s="474">
        <f t="shared" si="1"/>
        <v>1596.8579514366886</v>
      </c>
      <c r="AM7" s="474">
        <f t="shared" si="1"/>
        <v>1644.7636899797892</v>
      </c>
      <c r="AN7" s="474">
        <f t="shared" si="1"/>
        <v>1694.1066006791832</v>
      </c>
      <c r="AO7" s="474">
        <f t="shared" si="1"/>
        <v>1744.9297986995584</v>
      </c>
      <c r="AP7" s="474">
        <f t="shared" si="1"/>
        <v>1797.2776926605452</v>
      </c>
      <c r="AQ7" s="474">
        <f t="shared" si="1"/>
        <v>1851.1960234403614</v>
      </c>
      <c r="AR7" s="474">
        <f t="shared" si="1"/>
        <v>1906.7319041435724</v>
      </c>
      <c r="AS7" s="474">
        <f t="shared" si="1"/>
        <v>1963.9338612678794</v>
      </c>
    </row>
    <row r="8" spans="1:55">
      <c r="A8" s="347" t="s">
        <v>144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8"/>
      <c r="W8" s="16"/>
      <c r="X8" s="16"/>
      <c r="Y8" s="473">
        <v>0</v>
      </c>
      <c r="Z8" s="495">
        <f>B23+B24</f>
        <v>1429.0040386638611</v>
      </c>
      <c r="AA8" s="495">
        <f>C23+C24</f>
        <v>1471.8741598237771</v>
      </c>
      <c r="AB8" s="495">
        <f>D23+D24</f>
        <v>1516.0303846184906</v>
      </c>
      <c r="AC8" s="495">
        <f t="shared" ref="AC8:AS8" si="2">E23+1/3*E24</f>
        <v>1223.858653157045</v>
      </c>
      <c r="AD8" s="495">
        <f t="shared" si="2"/>
        <v>1260.5744127517564</v>
      </c>
      <c r="AE8" s="495">
        <f t="shared" si="2"/>
        <v>1298.3916451343091</v>
      </c>
      <c r="AF8" s="495">
        <f t="shared" si="2"/>
        <v>1337.3433944883384</v>
      </c>
      <c r="AG8" s="495">
        <f t="shared" si="2"/>
        <v>1377.4636963229884</v>
      </c>
      <c r="AH8" s="495">
        <f t="shared" si="2"/>
        <v>1418.7876072126783</v>
      </c>
      <c r="AI8" s="495">
        <f t="shared" si="2"/>
        <v>1461.3512354290588</v>
      </c>
      <c r="AJ8" s="495">
        <f t="shared" si="2"/>
        <v>1505.1917724919304</v>
      </c>
      <c r="AK8" s="495">
        <f t="shared" si="2"/>
        <v>1550.3475256666882</v>
      </c>
      <c r="AL8" s="495">
        <f t="shared" si="2"/>
        <v>1596.8579514366888</v>
      </c>
      <c r="AM8" s="495">
        <f t="shared" si="2"/>
        <v>1644.7636899797894</v>
      </c>
      <c r="AN8" s="495">
        <f t="shared" si="2"/>
        <v>1694.1066006791832</v>
      </c>
      <c r="AO8" s="495">
        <f t="shared" si="2"/>
        <v>1744.9297986995584</v>
      </c>
      <c r="AP8" s="495">
        <f t="shared" si="2"/>
        <v>1797.2776926605454</v>
      </c>
      <c r="AQ8" s="495">
        <f t="shared" si="2"/>
        <v>1851.1960234403616</v>
      </c>
      <c r="AR8" s="495">
        <f t="shared" si="2"/>
        <v>1906.7319041435726</v>
      </c>
      <c r="AS8" s="495">
        <f t="shared" si="2"/>
        <v>1963.9338612678794</v>
      </c>
      <c r="AU8" s="16"/>
      <c r="AV8" s="16"/>
      <c r="AW8" s="16"/>
      <c r="AX8" s="16"/>
      <c r="AY8" s="16"/>
      <c r="AZ8" s="16"/>
      <c r="BA8" s="16"/>
      <c r="BB8" s="16"/>
      <c r="BC8" s="16"/>
    </row>
    <row r="9" spans="1:55">
      <c r="A9" s="3" t="s">
        <v>58</v>
      </c>
      <c r="B9" s="56">
        <f>'Power Price Assumption'!D27*12*Assumptions!$C$9</f>
        <v>21984</v>
      </c>
      <c r="C9" s="56">
        <f>'Power Price Assumption'!E27*12*Assumptions!$C$9</f>
        <v>21984</v>
      </c>
      <c r="D9" s="56">
        <f>'Power Price Assumption'!F27*12*Assumptions!$C$9</f>
        <v>21984</v>
      </c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8"/>
      <c r="W9" s="91">
        <f>SUM(B9:U9)</f>
        <v>65952</v>
      </c>
      <c r="X9" s="16"/>
      <c r="Y9" s="473"/>
      <c r="Z9" s="475">
        <f>Z7-Z8</f>
        <v>0</v>
      </c>
      <c r="AA9" s="475">
        <f t="shared" ref="AA9:AS9" si="3">AA7-AA8</f>
        <v>0</v>
      </c>
      <c r="AB9" s="475">
        <f t="shared" si="3"/>
        <v>0</v>
      </c>
      <c r="AC9" s="475">
        <f t="shared" si="3"/>
        <v>0</v>
      </c>
      <c r="AD9" s="475">
        <f t="shared" si="3"/>
        <v>0</v>
      </c>
      <c r="AE9" s="475">
        <f t="shared" si="3"/>
        <v>0</v>
      </c>
      <c r="AF9" s="475">
        <f t="shared" si="3"/>
        <v>0</v>
      </c>
      <c r="AG9" s="475">
        <f t="shared" si="3"/>
        <v>0</v>
      </c>
      <c r="AH9" s="475">
        <f t="shared" si="3"/>
        <v>0</v>
      </c>
      <c r="AI9" s="475">
        <f t="shared" si="3"/>
        <v>0</v>
      </c>
      <c r="AJ9" s="475">
        <f t="shared" si="3"/>
        <v>0</v>
      </c>
      <c r="AK9" s="475">
        <f t="shared" si="3"/>
        <v>0</v>
      </c>
      <c r="AL9" s="475">
        <f t="shared" si="3"/>
        <v>0</v>
      </c>
      <c r="AM9" s="475">
        <f t="shared" si="3"/>
        <v>0</v>
      </c>
      <c r="AN9" s="475">
        <f t="shared" si="3"/>
        <v>0</v>
      </c>
      <c r="AO9" s="475">
        <f t="shared" si="3"/>
        <v>0</v>
      </c>
      <c r="AP9" s="475">
        <f t="shared" si="3"/>
        <v>0</v>
      </c>
      <c r="AQ9" s="475">
        <f t="shared" si="3"/>
        <v>0</v>
      </c>
      <c r="AR9" s="475">
        <f t="shared" si="3"/>
        <v>0</v>
      </c>
      <c r="AS9" s="475">
        <f t="shared" si="3"/>
        <v>0</v>
      </c>
      <c r="AU9" s="16"/>
      <c r="AV9" s="16"/>
      <c r="AW9" s="16"/>
      <c r="AX9" s="16"/>
      <c r="AY9" s="16"/>
      <c r="AZ9" s="16"/>
      <c r="BA9" s="16"/>
      <c r="BB9" s="16"/>
      <c r="BC9" s="16"/>
    </row>
    <row r="10" spans="1:55">
      <c r="A10" s="3" t="s">
        <v>208</v>
      </c>
      <c r="B10" s="56">
        <f>Assumptions!C19*Assumptions!C17/1000*(1+Assumptions!$C$25)</f>
        <v>965.50403866386125</v>
      </c>
      <c r="C10" s="56">
        <f>B10*(1+Assumptions!$C$25)</f>
        <v>994.46915982377709</v>
      </c>
      <c r="D10" s="56">
        <f>C10*(1+Assumptions!$C$25)</f>
        <v>1024.3032346184905</v>
      </c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8"/>
      <c r="W10" s="91">
        <f>SUM(B10:U10)</f>
        <v>2984.2764331061289</v>
      </c>
      <c r="X10" s="16"/>
      <c r="Y10" s="473"/>
      <c r="Z10" s="475"/>
      <c r="AA10" s="475"/>
      <c r="AB10" s="475"/>
      <c r="AC10" s="475"/>
      <c r="AD10" s="475"/>
      <c r="AE10" s="475"/>
      <c r="AF10" s="475"/>
      <c r="AG10" s="475"/>
      <c r="AH10" s="475"/>
      <c r="AI10" s="475"/>
      <c r="AJ10" s="475"/>
      <c r="AK10" s="475"/>
      <c r="AL10" s="475"/>
      <c r="AM10" s="475"/>
      <c r="AN10" s="475"/>
      <c r="AO10" s="475"/>
      <c r="AP10" s="475"/>
      <c r="AQ10" s="475"/>
      <c r="AR10" s="475"/>
      <c r="AS10" s="475"/>
      <c r="AU10" s="16"/>
      <c r="AV10" s="16"/>
      <c r="AW10" s="16"/>
      <c r="AX10" s="16"/>
      <c r="AY10" s="16"/>
      <c r="AZ10" s="16"/>
      <c r="BA10" s="16"/>
      <c r="BB10" s="16"/>
      <c r="BC10" s="16"/>
    </row>
    <row r="11" spans="1:55">
      <c r="A11" s="3" t="s">
        <v>255</v>
      </c>
      <c r="B11" s="127">
        <f>Assumptions!$C$18*Assumptions!$C$11*Assumptions!$C$8/1000*(1+Assumptions!$C$25)</f>
        <v>463.5</v>
      </c>
      <c r="C11" s="91">
        <f>B11*(1+Assumptions!$C$25)</f>
        <v>477.40500000000003</v>
      </c>
      <c r="D11" s="91">
        <f>C11*(1+Assumptions!$C$25)</f>
        <v>491.72715000000005</v>
      </c>
      <c r="E11" s="56"/>
      <c r="F11" s="56"/>
      <c r="G11" s="56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8"/>
      <c r="W11" s="91">
        <f>SUM(B11:U11)</f>
        <v>1432.6321499999999</v>
      </c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</row>
    <row r="12" spans="1:55">
      <c r="A12" s="3" t="s">
        <v>275</v>
      </c>
      <c r="B12" s="127">
        <f>'Amortization of Power Contract'!$C$11/3</f>
        <v>8116.9579548695401</v>
      </c>
      <c r="C12" s="127">
        <f>'Amortization of Power Contract'!$C$11/3</f>
        <v>8116.9579548695401</v>
      </c>
      <c r="D12" s="127">
        <f>'Amortization of Power Contract'!$C$11/3</f>
        <v>8116.9579548695401</v>
      </c>
      <c r="E12" s="56"/>
      <c r="F12" s="56"/>
      <c r="G12" s="56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8"/>
      <c r="W12" s="91">
        <f>SUM(B12:U12)</f>
        <v>24350.87386460862</v>
      </c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</row>
    <row r="13" spans="1:55">
      <c r="A13" s="1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8"/>
      <c r="W13" s="91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</row>
    <row r="14" spans="1:55">
      <c r="A14" s="347" t="s">
        <v>281</v>
      </c>
      <c r="B14" s="127"/>
      <c r="W14" s="91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</row>
    <row r="15" spans="1:55" s="62" customFormat="1" ht="12" customHeight="1">
      <c r="A15" s="3" t="s">
        <v>58</v>
      </c>
      <c r="B15" s="19">
        <v>0</v>
      </c>
      <c r="C15" s="19">
        <v>0</v>
      </c>
      <c r="D15" s="19">
        <v>0</v>
      </c>
      <c r="E15" s="19">
        <f>'Power Price Assumption'!G27*Assumptions!$C$9*12</f>
        <v>35282.900644089299</v>
      </c>
      <c r="F15" s="19">
        <f>'Power Price Assumption'!H27*Assumptions!$C$9*12</f>
        <v>37032.451918507053</v>
      </c>
      <c r="G15" s="19">
        <f>'Power Price Assumption'!I27*Assumptions!$C$9*12</f>
        <v>37507.345204401674</v>
      </c>
      <c r="H15" s="19">
        <f>'Power Price Assumption'!J27*Assumptions!$C$9*12</f>
        <v>37988.328382304651</v>
      </c>
      <c r="I15" s="19">
        <f>'Power Price Assumption'!K27*Assumptions!$C$9*12</f>
        <v>38475.479547202296</v>
      </c>
      <c r="J15" s="19">
        <f>'Power Price Assumption'!L27*Assumptions!$C$9*12</f>
        <v>38968.877795548135</v>
      </c>
      <c r="K15" s="19">
        <f>'Power Price Assumption'!M27*Assumptions!$C$9*12</f>
        <v>39468.603238105337</v>
      </c>
      <c r="L15" s="19">
        <f>'Power Price Assumption'!N27*Assumptions!$C$9*12</f>
        <v>40215.43427377467</v>
      </c>
      <c r="M15" s="19">
        <f>'Power Price Assumption'!O27*Assumptions!$C$9*12</f>
        <v>40976.396962202896</v>
      </c>
      <c r="N15" s="19">
        <f>'Power Price Assumption'!P27*Assumptions!$C$9*12</f>
        <v>41751.758704716616</v>
      </c>
      <c r="O15" s="19">
        <f>'Power Price Assumption'!Q27*Assumptions!$C$9*12</f>
        <v>42541.791962451833</v>
      </c>
      <c r="P15" s="19">
        <f>'Power Price Assumption'!R27*Assumptions!$C$9*12</f>
        <v>43346.774352096516</v>
      </c>
      <c r="Q15" s="19">
        <f>'Power Price Assumption'!S27*Assumptions!$C$9*12</f>
        <v>43965.220802977667</v>
      </c>
      <c r="R15" s="19">
        <f>'Power Price Assumption'!T27*Assumptions!$C$9*12</f>
        <v>44592.490886489504</v>
      </c>
      <c r="S15" s="19">
        <f>'Power Price Assumption'!U27*Assumptions!$C$9*12</f>
        <v>45228.710493067127</v>
      </c>
      <c r="T15" s="19">
        <f>'Power Price Assumption'!V27*Assumptions!$C$9*12</f>
        <v>45874.007309276829</v>
      </c>
      <c r="U15" s="19">
        <f>'Power Price Assumption'!W27*Assumptions!$C$9*12</f>
        <v>46528.510843442287</v>
      </c>
      <c r="W15" s="91">
        <f>SUM(B15:U15)</f>
        <v>699745.08332065446</v>
      </c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</row>
    <row r="16" spans="1:55" s="62" customFormat="1" ht="12" customHeight="1">
      <c r="A16" s="3" t="s">
        <v>59</v>
      </c>
      <c r="B16" s="19">
        <v>0</v>
      </c>
      <c r="C16" s="19">
        <v>0</v>
      </c>
      <c r="D16" s="19">
        <v>0</v>
      </c>
      <c r="E16" s="127">
        <f>1/3*Assumptions!$C$18*Assumptions!$C$11*Assumptions!$C$8/1000*(1+Assumptions!$C$25)^(E5-2000)+Assumptions!$C$19*Assumptions!$C$17*(1+Assumptions!$C$25)^(E5-2000)/1000</f>
        <v>1223.858653157045</v>
      </c>
      <c r="F16" s="127">
        <f>1/3*Assumptions!$C$18*Assumptions!$C$11*Assumptions!$C$8/1000*(1+Assumptions!$C$25)^(F5-2000)+Assumptions!$C$19*Assumptions!$C$17*(1+Assumptions!$C$25)^(F5-2000)/1000</f>
        <v>1260.5744127517564</v>
      </c>
      <c r="G16" s="127">
        <f>1/3*Assumptions!$C$18*Assumptions!$C$11*Assumptions!$C$8/1000*(1+Assumptions!$C$25)^(G5-2000)+Assumptions!$C$19*Assumptions!$C$17*(1+Assumptions!$C$25)^(G5-2000)/1000</f>
        <v>1298.3916451343091</v>
      </c>
      <c r="H16" s="127">
        <f>1/3*Assumptions!$C$18*Assumptions!$C$11*Assumptions!$C$8/1000*(1+Assumptions!$C$25)^(H5-2000)+Assumptions!$C$19*Assumptions!$C$17*(1+Assumptions!$C$25)^(H5-2000)/1000</f>
        <v>1337.3433944883384</v>
      </c>
      <c r="I16" s="127">
        <f>1/3*Assumptions!$C$18*Assumptions!$C$11*Assumptions!$C$8/1000*(1+Assumptions!$C$25)^(I5-2000)+Assumptions!$C$19*Assumptions!$C$17*(1+Assumptions!$C$25)^(I5-2000)/1000</f>
        <v>1377.4636963229882</v>
      </c>
      <c r="J16" s="127">
        <f>1/3*Assumptions!$C$18*Assumptions!$C$11*Assumptions!$C$8/1000*(1+Assumptions!$C$25)^(J5-2000)+Assumptions!$C$19*Assumptions!$C$17*(1+Assumptions!$C$25)^(J5-2000)/1000</f>
        <v>1418.787607212678</v>
      </c>
      <c r="K16" s="127">
        <f>1/3*Assumptions!$C$18*Assumptions!$C$11*Assumptions!$C$8/1000*(1+Assumptions!$C$25)^(K5-2000)+Assumptions!$C$19*Assumptions!$C$17*(1+Assumptions!$C$25)^(K5-2000)/1000</f>
        <v>1461.3512354290585</v>
      </c>
      <c r="L16" s="127">
        <f>1/3*Assumptions!$C$18*Assumptions!$C$11*Assumptions!$C$8/1000*(1+Assumptions!$C$25)^(L5-2000)+Assumptions!$C$19*Assumptions!$C$17*(1+Assumptions!$C$25)^(L5-2000)/1000</f>
        <v>1505.1917724919304</v>
      </c>
      <c r="M16" s="127">
        <f>1/3*Assumptions!$C$18*Assumptions!$C$11*Assumptions!$C$8/1000*(1+Assumptions!$C$25)^(M5-2000)+Assumptions!$C$19*Assumptions!$C$17*(1+Assumptions!$C$25)^(M5-2000)/1000</f>
        <v>1550.3475256666879</v>
      </c>
      <c r="N16" s="127">
        <f>1/3*Assumptions!$C$18*Assumptions!$C$11*Assumptions!$C$8/1000*(1+Assumptions!$C$25)^(N5-2000)+Assumptions!$C$19*Assumptions!$C$17*(1+Assumptions!$C$25)^(N5-2000)/1000</f>
        <v>1596.8579514366886</v>
      </c>
      <c r="O16" s="127">
        <f>1/3*Assumptions!$C$18*Assumptions!$C$11*Assumptions!$C$8/1000*(1+Assumptions!$C$25)^(O5-2000)+Assumptions!$C$19*Assumptions!$C$17*(1+Assumptions!$C$25)^(O5-2000)/1000</f>
        <v>1644.7636899797892</v>
      </c>
      <c r="P16" s="127">
        <f>1/3*Assumptions!$C$18*Assumptions!$C$11*Assumptions!$C$8/1000*(1+Assumptions!$C$25)^(P5-2000)+Assumptions!$C$19*Assumptions!$C$17*(1+Assumptions!$C$25)^(P5-2000)/1000</f>
        <v>1694.1066006791832</v>
      </c>
      <c r="Q16" s="127">
        <f>1/3*Assumptions!$C$18*Assumptions!$C$11*Assumptions!$C$8/1000*(1+Assumptions!$C$25)^(Q5-2000)+Assumptions!$C$19*Assumptions!$C$17*(1+Assumptions!$C$25)^(Q5-2000)/1000</f>
        <v>1744.9297986995584</v>
      </c>
      <c r="R16" s="127">
        <f>1/3*Assumptions!$C$18*Assumptions!$C$11*Assumptions!$C$8/1000*(1+Assumptions!$C$25)^(R5-2000)+Assumptions!$C$19*Assumptions!$C$17*(1+Assumptions!$C$25)^(R5-2000)/1000</f>
        <v>1797.2776926605452</v>
      </c>
      <c r="S16" s="127">
        <f>1/3*Assumptions!$C$18*Assumptions!$C$11*Assumptions!$C$8/1000*(1+Assumptions!$C$25)^(S5-2000)+Assumptions!$C$19*Assumptions!$C$17*(1+Assumptions!$C$25)^(S5-2000)/1000</f>
        <v>1851.1960234403614</v>
      </c>
      <c r="T16" s="127">
        <f>1/3*Assumptions!$C$18*Assumptions!$C$11*Assumptions!$C$8/1000*(1+Assumptions!$C$25)^(T5-2000)+Assumptions!$C$19*Assumptions!$C$17*(1+Assumptions!$C$25)^(T5-2000)/1000</f>
        <v>1906.7319041435724</v>
      </c>
      <c r="U16" s="127">
        <f>1/3*Assumptions!$C$18*Assumptions!$C$11*Assumptions!$C$8/1000*(1+Assumptions!$C$25)^(U5-2000)+Assumptions!$C$19*Assumptions!$C$17*(1+Assumptions!$C$25)^(U5-2000)/1000</f>
        <v>1963.9338612678794</v>
      </c>
      <c r="W16" s="91">
        <f>SUM(B16:U16)</f>
        <v>26633.10746496237</v>
      </c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</row>
    <row r="17" spans="1:55" s="62" customFormat="1" ht="12" customHeight="1">
      <c r="A17" s="3"/>
      <c r="W17" s="91">
        <f>SUM(B17:U17)</f>
        <v>0</v>
      </c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</row>
    <row r="18" spans="1:55" s="62" customFormat="1" ht="12" customHeight="1">
      <c r="A18" s="3" t="s">
        <v>168</v>
      </c>
      <c r="B18" s="198">
        <f>(SUM(B9:B11)-SUM(B22:B28))*'Summary Output'!$B$29/4</f>
        <v>239.43991298154174</v>
      </c>
      <c r="C18" s="198">
        <f>(SUM(C9:C11)-SUM(C22:C28))*'Summary Output'!$B$29/4</f>
        <v>238.21758323824906</v>
      </c>
      <c r="D18" s="198">
        <f>(SUM(D9:D11)-SUM(D22:D28))*'Summary Output'!$B$29/4</f>
        <v>237.59713160467905</v>
      </c>
      <c r="E18" s="198">
        <f>(SUM(E9:E16)-SUM(E22:E28))*'Summary Output'!$B$29/4</f>
        <v>398.96846443773961</v>
      </c>
      <c r="F18" s="198">
        <f>(SUM(F9:F16)-SUM(F22:F28))*'Summary Output'!$B$29/4</f>
        <v>420.04243843288555</v>
      </c>
      <c r="G18" s="198">
        <f>(SUM(G9:G16)-SUM(G22:G28))*'Summary Output'!$B$29/4</f>
        <v>425.15412306546142</v>
      </c>
      <c r="H18" s="198">
        <f>(SUM(H9:H16)-SUM(H22:H28))*'Summary Output'!$B$29/4</f>
        <v>430.3119949069299</v>
      </c>
      <c r="I18" s="198">
        <f>(SUM(I9:I16)-SUM(I22:I28))*'Summary Output'!$B$29/4</f>
        <v>435.51613205138369</v>
      </c>
      <c r="J18" s="198">
        <f>(SUM(J9:J16)-SUM(J22:J28))*'Summary Output'!$B$29/4</f>
        <v>440.76659816845813</v>
      </c>
      <c r="K18" s="198">
        <f>(SUM(K9:K16)-SUM(K22:K28))*'Summary Output'!$B$29/4</f>
        <v>446.06344185557873</v>
      </c>
      <c r="L18" s="198">
        <f>(SUM(L9:L16)-SUM(L22:L28))*'Summary Output'!$B$29/4</f>
        <v>454.41541172827704</v>
      </c>
      <c r="M18" s="198">
        <f>(SUM(M9:M16)-SUM(M22:M28))*'Summary Output'!$B$29/4</f>
        <v>462.90932272028778</v>
      </c>
      <c r="N18" s="198">
        <f>(SUM(N9:N16)-SUM(N22:N28))*'Summary Output'!$B$29/4</f>
        <v>471.54747621198834</v>
      </c>
      <c r="O18" s="198">
        <f>(SUM(O9:O16)-SUM(O22:O28))*'Summary Output'!$B$29/4</f>
        <v>480.33220559728744</v>
      </c>
      <c r="P18" s="198">
        <f>(SUM(P9:P16)-SUM(P22:P28))*'Summary Output'!$B$29/4</f>
        <v>488.60777277863917</v>
      </c>
      <c r="Q18" s="198">
        <f>(SUM(Q9:Q16)-SUM(Q22:Q28))*'Summary Output'!$B$29/4</f>
        <v>495.06377214918484</v>
      </c>
      <c r="R18" s="198">
        <f>(SUM(R9:R16)-SUM(R22:R28))*'Summary Output'!$B$29/4</f>
        <v>501.58769661242422</v>
      </c>
      <c r="S18" s="198">
        <f>(SUM(S9:S16)-SUM(S22:S28))*'Summary Output'!$B$29/4</f>
        <v>508.17987007175566</v>
      </c>
      <c r="T18" s="198">
        <f>(SUM(T9:T16)-SUM(T22:T28))*'Summary Output'!$B$29/4</f>
        <v>514.84060181805421</v>
      </c>
      <c r="U18" s="198">
        <f>(SUM(U9:U16)-SUM(U22:U28))*'Summary Output'!$B$29/4</f>
        <v>521.6859108152189</v>
      </c>
      <c r="W18" s="91">
        <f>SUM(B18:U18)</f>
        <v>8611.2478612460236</v>
      </c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</row>
    <row r="19" spans="1:55" s="62" customFormat="1" ht="12" customHeight="1">
      <c r="A19" s="3" t="s">
        <v>60</v>
      </c>
      <c r="B19" s="56">
        <f>SUM(B9:B18)</f>
        <v>31769.401906514944</v>
      </c>
      <c r="C19" s="56">
        <f t="shared" ref="C19:U19" si="4">SUM(C9:C18)</f>
        <v>31811.049697931565</v>
      </c>
      <c r="D19" s="56">
        <f t="shared" si="4"/>
        <v>31854.585471092709</v>
      </c>
      <c r="E19" s="56">
        <f t="shared" si="4"/>
        <v>36905.727761684087</v>
      </c>
      <c r="F19" s="56">
        <f t="shared" si="4"/>
        <v>38713.068769691694</v>
      </c>
      <c r="G19" s="56">
        <f t="shared" si="4"/>
        <v>39230.890972601446</v>
      </c>
      <c r="H19" s="56">
        <f t="shared" si="4"/>
        <v>39755.983771699917</v>
      </c>
      <c r="I19" s="56">
        <f t="shared" si="4"/>
        <v>40288.459375576669</v>
      </c>
      <c r="J19" s="56">
        <f t="shared" si="4"/>
        <v>40828.432000929264</v>
      </c>
      <c r="K19" s="56">
        <f t="shared" si="4"/>
        <v>41376.017915389973</v>
      </c>
      <c r="L19" s="56">
        <f t="shared" si="4"/>
        <v>42175.041457994877</v>
      </c>
      <c r="M19" s="56">
        <f t="shared" si="4"/>
        <v>42989.653810589873</v>
      </c>
      <c r="N19" s="56">
        <f t="shared" si="4"/>
        <v>43820.164132365288</v>
      </c>
      <c r="O19" s="56">
        <f t="shared" si="4"/>
        <v>44666.887858028909</v>
      </c>
      <c r="P19" s="56">
        <f t="shared" si="4"/>
        <v>45529.488725554336</v>
      </c>
      <c r="Q19" s="56">
        <f t="shared" si="4"/>
        <v>46205.214373826413</v>
      </c>
      <c r="R19" s="56">
        <f t="shared" si="4"/>
        <v>46891.356275762475</v>
      </c>
      <c r="S19" s="56">
        <f t="shared" si="4"/>
        <v>47588.086386579242</v>
      </c>
      <c r="T19" s="56">
        <f t="shared" si="4"/>
        <v>48295.579815238452</v>
      </c>
      <c r="U19" s="56">
        <f t="shared" si="4"/>
        <v>49014.130615525384</v>
      </c>
      <c r="W19" s="91">
        <f>SUM(B19:U19)</f>
        <v>829709.22109457746</v>
      </c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</row>
    <row r="20" spans="1:55" s="62" customFormat="1" ht="12" customHeight="1">
      <c r="A20" s="4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W20" s="91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</row>
    <row r="21" spans="1:55">
      <c r="A21" s="1" t="s">
        <v>61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W21" s="91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</row>
    <row r="22" spans="1:55">
      <c r="A22" s="3" t="s">
        <v>48</v>
      </c>
      <c r="B22" s="127">
        <f>Assumptions!C28*(1+Assumptions!$C$25)</f>
        <v>1610.5404141000004</v>
      </c>
      <c r="C22" s="91">
        <f>B22*(1+Assumptions!$C$25)</f>
        <v>1658.8566265230004</v>
      </c>
      <c r="D22" s="91">
        <f>C22*(1+Assumptions!$C$25)</f>
        <v>1708.6223253186904</v>
      </c>
      <c r="E22" s="91">
        <f>D22*(1+Assumptions!$C$25)</f>
        <v>1759.8809950782511</v>
      </c>
      <c r="F22" s="91">
        <f>E22*(1+Assumptions!$C$25)</f>
        <v>1812.6774249305986</v>
      </c>
      <c r="G22" s="91">
        <f>F22*(1+Assumptions!$C$25)</f>
        <v>1867.0577476785165</v>
      </c>
      <c r="H22" s="91">
        <f>G22*(1+Assumptions!$C$25)</f>
        <v>1923.0694801088721</v>
      </c>
      <c r="I22" s="91">
        <f>H22*(1+Assumptions!$C$25)</f>
        <v>1980.7615645121382</v>
      </c>
      <c r="J22" s="91">
        <f>I22*(1+Assumptions!$C$25)</f>
        <v>2040.1844114475025</v>
      </c>
      <c r="K22" s="91">
        <f>J22*(1+Assumptions!$C$25)</f>
        <v>2101.3899437909276</v>
      </c>
      <c r="L22" s="91">
        <f>K22*(1+Assumptions!$C$25)</f>
        <v>2164.4316421046556</v>
      </c>
      <c r="M22" s="91">
        <f>L22*(1+Assumptions!$C$25)</f>
        <v>2229.3645913677951</v>
      </c>
      <c r="N22" s="91">
        <f>M22*(1+Assumptions!$C$25)</f>
        <v>2296.245529108829</v>
      </c>
      <c r="O22" s="91">
        <f>N22*(1+Assumptions!$C$25)</f>
        <v>2365.1328949820941</v>
      </c>
      <c r="P22" s="91">
        <f>O22*(1+Assumptions!$C$25)</f>
        <v>2436.0868818315571</v>
      </c>
      <c r="Q22" s="91">
        <f>P22*(1+Assumptions!$C$25)</f>
        <v>2509.169488286504</v>
      </c>
      <c r="R22" s="91">
        <f>Q22*(1+Assumptions!$C$25)</f>
        <v>2584.4445729350991</v>
      </c>
      <c r="S22" s="91">
        <f>R22*(1+Assumptions!$C$25)</f>
        <v>2661.977910123152</v>
      </c>
      <c r="T22" s="91">
        <f>S22*(1+Assumptions!$C$25)</f>
        <v>2741.8372474268467</v>
      </c>
      <c r="U22" s="91">
        <f>T22*(1+Assumptions!$C$25)</f>
        <v>2824.0923648496523</v>
      </c>
      <c r="W22" s="91">
        <f t="shared" ref="W22:W29" si="5">SUM(B22:U22)</f>
        <v>43275.824056504687</v>
      </c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</row>
    <row r="23" spans="1:55">
      <c r="A23" s="3" t="s">
        <v>49</v>
      </c>
      <c r="B23" s="127">
        <f>Assumptions!$C$29*(1+Assumptions!$C$25)</f>
        <v>965.50403866386125</v>
      </c>
      <c r="C23" s="127">
        <f>B23*(1+Assumptions!$C$25)</f>
        <v>994.46915982377709</v>
      </c>
      <c r="D23" s="127">
        <f>C23*(1+Assumptions!$C$25)</f>
        <v>1024.3032346184905</v>
      </c>
      <c r="E23" s="127">
        <f>Assumptions!$C$19*Assumptions!$C$23*(1+Assumptions!$C$25)^(E5-2000)/1000</f>
        <v>1055.032331657045</v>
      </c>
      <c r="F23" s="127">
        <f>Assumptions!$C$19*Assumptions!$C$23*(1+Assumptions!$C$25)^(F5-2000)/1000</f>
        <v>1086.6833016067565</v>
      </c>
      <c r="G23" s="127">
        <f>Assumptions!$C$19*Assumptions!$C$23*(1+Assumptions!$C$25)^(G5-2000)/1000</f>
        <v>1119.2838006549591</v>
      </c>
      <c r="H23" s="127">
        <f>Assumptions!$C$19*Assumptions!$C$23*(1+Assumptions!$C$25)^(H5-2000)/1000</f>
        <v>1152.8623146746079</v>
      </c>
      <c r="I23" s="127">
        <f>Assumptions!$C$19*Assumptions!$C$23*(1+Assumptions!$C$25)^(I5-2000)/1000</f>
        <v>1187.4481841148458</v>
      </c>
      <c r="J23" s="127">
        <f>Assumptions!$C$19*Assumptions!$C$23*(1+Assumptions!$C$25)^(J5-2000)/1000</f>
        <v>1223.0716296382914</v>
      </c>
      <c r="K23" s="127">
        <f>Assumptions!$C$19*Assumptions!$C$23*(1+Assumptions!$C$25)^(K5-2000)/1000</f>
        <v>1259.7637785274403</v>
      </c>
      <c r="L23" s="127">
        <f>Assumptions!$C$19*Assumptions!$C$23*(1+Assumptions!$C$25)^(L5-2000)/1000</f>
        <v>1297.5566918832635</v>
      </c>
      <c r="M23" s="127">
        <f>Assumptions!$C$19*Assumptions!$C$23*(1+Assumptions!$C$25)^(M5-2000)/1000</f>
        <v>1336.4833926397612</v>
      </c>
      <c r="N23" s="127">
        <f>Assumptions!$C$19*Assumptions!$C$23*(1+Assumptions!$C$25)^(N5-2000)/1000</f>
        <v>1376.577894418954</v>
      </c>
      <c r="O23" s="127">
        <f>Assumptions!$C$19*Assumptions!$C$23*(1+Assumptions!$C$25)^(O5-2000)/1000</f>
        <v>1417.8752312515226</v>
      </c>
      <c r="P23" s="127">
        <f>Assumptions!$C$19*Assumptions!$C$23*(1+Assumptions!$C$25)^(P5-2000)/1000</f>
        <v>1460.4114881890685</v>
      </c>
      <c r="Q23" s="127">
        <f>Assumptions!$C$19*Assumptions!$C$23*(1+Assumptions!$C$25)^(Q5-2000)/1000</f>
        <v>1504.2238328347403</v>
      </c>
      <c r="R23" s="127">
        <f>Assumptions!$C$19*Assumptions!$C$23*(1+Assumptions!$C$25)^(R5-2000)/1000</f>
        <v>1549.3505478197826</v>
      </c>
      <c r="S23" s="127">
        <f>Assumptions!$C$19*Assumptions!$C$23*(1+Assumptions!$C$25)^(S5-2000)/1000</f>
        <v>1595.8310642543759</v>
      </c>
      <c r="T23" s="127">
        <f>Assumptions!$C$19*Assumptions!$C$23*(1+Assumptions!$C$25)^(T5-2000)/1000</f>
        <v>1643.7059961820073</v>
      </c>
      <c r="U23" s="127">
        <f>Assumptions!$C$19*Assumptions!$C$23*(1+Assumptions!$C$25)^(U5-2000)/1000</f>
        <v>1693.0171760674673</v>
      </c>
      <c r="W23" s="91">
        <f t="shared" si="5"/>
        <v>25943.455089521016</v>
      </c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</row>
    <row r="24" spans="1:55">
      <c r="A24" s="3" t="s">
        <v>262</v>
      </c>
      <c r="B24" s="127">
        <f>Assumptions!$C$24*Assumptions!$C$11*Assumptions!$C$8/1000*(1+Assumptions!$C$25)</f>
        <v>463.5</v>
      </c>
      <c r="C24" s="91">
        <f>B24*(1+Assumptions!$C$25)</f>
        <v>477.40500000000003</v>
      </c>
      <c r="D24" s="91">
        <f>C24*(1+Assumptions!$C$25)</f>
        <v>491.72715000000005</v>
      </c>
      <c r="E24" s="91">
        <f>D24*(1+Assumptions!$C$25)</f>
        <v>506.47896450000007</v>
      </c>
      <c r="F24" s="91">
        <f>E24*(1+Assumptions!$C$25)</f>
        <v>521.67333343500013</v>
      </c>
      <c r="G24" s="91">
        <f>F24*(1+Assumptions!$C$25)</f>
        <v>537.32353343805016</v>
      </c>
      <c r="H24" s="91">
        <f>G24*(1+Assumptions!$C$25)</f>
        <v>553.44323944119174</v>
      </c>
      <c r="I24" s="91">
        <f>H24*(1+Assumptions!$C$25)</f>
        <v>570.04653662442752</v>
      </c>
      <c r="J24" s="91">
        <f>I24*(1+Assumptions!$C$25)</f>
        <v>587.14793272316035</v>
      </c>
      <c r="K24" s="91">
        <f>J24*(1+Assumptions!$C$25)</f>
        <v>604.76237070485513</v>
      </c>
      <c r="L24" s="91">
        <f>K24*(1+Assumptions!$C$25)</f>
        <v>622.90524182600075</v>
      </c>
      <c r="M24" s="91">
        <f>L24*(1+Assumptions!$C$25)</f>
        <v>641.59239908078075</v>
      </c>
      <c r="N24" s="91">
        <f>M24*(1+Assumptions!$C$25)</f>
        <v>660.84017105320424</v>
      </c>
      <c r="O24" s="91">
        <f>N24*(1+Assumptions!$C$25)</f>
        <v>680.66537618480038</v>
      </c>
      <c r="P24" s="91">
        <f>O24*(1+Assumptions!$C$25)</f>
        <v>701.08533747034437</v>
      </c>
      <c r="Q24" s="91">
        <f>P24*(1+Assumptions!$C$25)</f>
        <v>722.11789759445469</v>
      </c>
      <c r="R24" s="91">
        <f>Q24*(1+Assumptions!$C$25)</f>
        <v>743.78143452228835</v>
      </c>
      <c r="S24" s="91">
        <f>R24*(1+Assumptions!$C$25)</f>
        <v>766.09487755795703</v>
      </c>
      <c r="T24" s="91">
        <f>S24*(1+Assumptions!$C$25)</f>
        <v>789.07772388469573</v>
      </c>
      <c r="U24" s="91">
        <f>T24*(1+Assumptions!$C$25)</f>
        <v>812.75005560123657</v>
      </c>
      <c r="W24" s="91">
        <f t="shared" si="5"/>
        <v>12454.418575642445</v>
      </c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</row>
    <row r="25" spans="1:55">
      <c r="A25" s="3" t="s">
        <v>112</v>
      </c>
      <c r="B25" s="127">
        <f>Assumptions!C31*(1+Assumptions!$C$25)</f>
        <v>0</v>
      </c>
      <c r="C25" s="91">
        <f>B25*(1+Assumptions!$C$25)</f>
        <v>0</v>
      </c>
      <c r="D25" s="91">
        <f>C25*(1+Assumptions!$C$25)</f>
        <v>0</v>
      </c>
      <c r="E25" s="91">
        <f>D25*(1+Assumptions!$C$25)</f>
        <v>0</v>
      </c>
      <c r="F25" s="91">
        <f>E25*(1+Assumptions!$C$25)</f>
        <v>0</v>
      </c>
      <c r="G25" s="91">
        <f>F25*(1+Assumptions!$C$25)</f>
        <v>0</v>
      </c>
      <c r="H25" s="91">
        <f>G25*(1+Assumptions!$C$25)</f>
        <v>0</v>
      </c>
      <c r="I25" s="91">
        <f>H25*(1+Assumptions!$C$25)</f>
        <v>0</v>
      </c>
      <c r="J25" s="91">
        <f>I25*(1+Assumptions!$C$25)</f>
        <v>0</v>
      </c>
      <c r="K25" s="91">
        <f>J25*(1+Assumptions!$C$25)</f>
        <v>0</v>
      </c>
      <c r="L25" s="91">
        <f>K25*(1+Assumptions!$C$25)</f>
        <v>0</v>
      </c>
      <c r="M25" s="91">
        <f>L25*(1+Assumptions!$C$25)</f>
        <v>0</v>
      </c>
      <c r="N25" s="91">
        <f>M25*(1+Assumptions!$C$25)</f>
        <v>0</v>
      </c>
      <c r="O25" s="91">
        <f>N25*(1+Assumptions!$C$25)</f>
        <v>0</v>
      </c>
      <c r="P25" s="91">
        <f>O25*(1+Assumptions!$C$25)</f>
        <v>0</v>
      </c>
      <c r="Q25" s="91">
        <f>P25*(1+Assumptions!$C$25)</f>
        <v>0</v>
      </c>
      <c r="R25" s="91">
        <f>Q25*(1+Assumptions!$C$25)</f>
        <v>0</v>
      </c>
      <c r="S25" s="91">
        <f>R25*(1+Assumptions!$C$25)</f>
        <v>0</v>
      </c>
      <c r="T25" s="91">
        <f>S25*(1+Assumptions!$C$25)</f>
        <v>0</v>
      </c>
      <c r="U25" s="91">
        <f>T25*(1+Assumptions!$C$25)</f>
        <v>0</v>
      </c>
      <c r="W25" s="91">
        <f t="shared" si="5"/>
        <v>0</v>
      </c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</row>
    <row r="26" spans="1:55">
      <c r="A26" s="3" t="s">
        <v>113</v>
      </c>
      <c r="B26" s="127">
        <f>Assumptions!C32*(1+Assumptions!$C$25)</f>
        <v>444.73872166666666</v>
      </c>
      <c r="C26" s="91">
        <f>B26*(1+Assumptions!$C$25)</f>
        <v>458.0808833166667</v>
      </c>
      <c r="D26" s="91">
        <f>C26*(1+Assumptions!$C$25)</f>
        <v>471.82330981616673</v>
      </c>
      <c r="E26" s="91">
        <f>D26*(1+Assumptions!$C$25)</f>
        <v>485.97800911065173</v>
      </c>
      <c r="F26" s="91">
        <f>E26*(1+Assumptions!$C$25)</f>
        <v>500.55734938397131</v>
      </c>
      <c r="G26" s="91">
        <f>F26*(1+Assumptions!$C$25)</f>
        <v>515.57406986549051</v>
      </c>
      <c r="H26" s="91">
        <f>G26*(1+Assumptions!$C$25)</f>
        <v>531.04129196145527</v>
      </c>
      <c r="I26" s="91">
        <f>H26*(1+Assumptions!$C$25)</f>
        <v>546.97253072029889</v>
      </c>
      <c r="J26" s="91">
        <f>I26*(1+Assumptions!$C$25)</f>
        <v>563.38170664190784</v>
      </c>
      <c r="K26" s="91">
        <f>J26*(1+Assumptions!$C$25)</f>
        <v>580.28315784116512</v>
      </c>
      <c r="L26" s="91">
        <f>K26*(1+Assumptions!$C$25)</f>
        <v>597.69165257640009</v>
      </c>
      <c r="M26" s="91">
        <f>L26*(1+Assumptions!$C$25)</f>
        <v>615.62240215369206</v>
      </c>
      <c r="N26" s="91">
        <f>M26*(1+Assumptions!$C$25)</f>
        <v>634.09107421830288</v>
      </c>
      <c r="O26" s="91">
        <f>N26*(1+Assumptions!$C$25)</f>
        <v>653.113806444852</v>
      </c>
      <c r="P26" s="91">
        <f>O26*(1+Assumptions!$C$25)</f>
        <v>672.70722063819755</v>
      </c>
      <c r="Q26" s="91">
        <f>P26*(1+Assumptions!$C$25)</f>
        <v>692.88843725734353</v>
      </c>
      <c r="R26" s="91">
        <f>Q26*(1+Assumptions!$C$25)</f>
        <v>713.67509037506386</v>
      </c>
      <c r="S26" s="91">
        <f>R26*(1+Assumptions!$C$25)</f>
        <v>735.08534308631579</v>
      </c>
      <c r="T26" s="91">
        <f>S26*(1+Assumptions!$C$25)</f>
        <v>757.13790337890532</v>
      </c>
      <c r="U26" s="91">
        <f>T26*(1+Assumptions!$C$25)</f>
        <v>779.85204048027254</v>
      </c>
      <c r="W26" s="91">
        <f t="shared" si="5"/>
        <v>11950.296000933786</v>
      </c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</row>
    <row r="27" spans="1:55">
      <c r="A27" s="3" t="s">
        <v>190</v>
      </c>
      <c r="B27" s="460">
        <v>325</v>
      </c>
      <c r="C27" s="460">
        <v>375</v>
      </c>
      <c r="D27" s="460">
        <v>375</v>
      </c>
      <c r="E27" s="460">
        <v>375</v>
      </c>
      <c r="F27" s="460">
        <v>375</v>
      </c>
      <c r="G27" s="460">
        <v>375</v>
      </c>
      <c r="H27" s="460">
        <v>375</v>
      </c>
      <c r="I27" s="460">
        <v>375</v>
      </c>
      <c r="J27" s="460">
        <v>375</v>
      </c>
      <c r="K27" s="460">
        <v>375</v>
      </c>
      <c r="L27" s="460">
        <v>375</v>
      </c>
      <c r="M27" s="460">
        <v>375</v>
      </c>
      <c r="N27" s="460">
        <v>375</v>
      </c>
      <c r="O27" s="460">
        <v>375</v>
      </c>
      <c r="P27" s="460">
        <v>427.64830117962356</v>
      </c>
      <c r="Q27" s="460">
        <v>436.20126720321605</v>
      </c>
      <c r="R27" s="460">
        <v>444.92529254728038</v>
      </c>
      <c r="S27" s="460">
        <v>453.82379839822596</v>
      </c>
      <c r="T27" s="460">
        <v>462.9002743661905</v>
      </c>
      <c r="U27" s="460">
        <f>T27</f>
        <v>462.9002743661905</v>
      </c>
      <c r="W27" s="91">
        <f t="shared" si="5"/>
        <v>7888.3992080607268</v>
      </c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</row>
    <row r="28" spans="1:55" s="16" customFormat="1">
      <c r="A28" s="3" t="s">
        <v>186</v>
      </c>
      <c r="B28" s="146">
        <f>B85</f>
        <v>448.52782570999369</v>
      </c>
      <c r="C28" s="146">
        <f t="shared" ref="C28:U28" si="6">C85</f>
        <v>434.65583110040632</v>
      </c>
      <c r="D28" s="146">
        <f t="shared" si="6"/>
        <v>420.78383649081889</v>
      </c>
      <c r="E28" s="146">
        <f t="shared" si="6"/>
        <v>406.91184188123145</v>
      </c>
      <c r="F28" s="146">
        <f t="shared" si="6"/>
        <v>393.03984727164402</v>
      </c>
      <c r="G28" s="146">
        <f t="shared" si="6"/>
        <v>379.16785266205665</v>
      </c>
      <c r="H28" s="146">
        <f t="shared" si="6"/>
        <v>365.29585805246921</v>
      </c>
      <c r="I28" s="146">
        <f t="shared" si="6"/>
        <v>351.42386344288178</v>
      </c>
      <c r="J28" s="146">
        <f t="shared" si="6"/>
        <v>337.55186883329435</v>
      </c>
      <c r="K28" s="146">
        <f t="shared" si="6"/>
        <v>323.67987422370692</v>
      </c>
      <c r="L28" s="146">
        <f t="shared" si="6"/>
        <v>309.80787961411954</v>
      </c>
      <c r="M28" s="146">
        <f t="shared" si="6"/>
        <v>295.93588500453211</v>
      </c>
      <c r="N28" s="146">
        <f t="shared" si="6"/>
        <v>282.06389039494468</v>
      </c>
      <c r="O28" s="146">
        <f t="shared" si="6"/>
        <v>268.19189578535725</v>
      </c>
      <c r="P28" s="146">
        <f t="shared" si="6"/>
        <v>254.31990117576984</v>
      </c>
      <c r="Q28" s="146">
        <f t="shared" si="6"/>
        <v>240.44790656618244</v>
      </c>
      <c r="R28" s="146">
        <f t="shared" si="6"/>
        <v>226.57591195659501</v>
      </c>
      <c r="S28" s="146">
        <f t="shared" si="6"/>
        <v>212.7039173470076</v>
      </c>
      <c r="T28" s="146">
        <f t="shared" si="6"/>
        <v>198.83192273742017</v>
      </c>
      <c r="U28" s="146">
        <f t="shared" si="6"/>
        <v>184.95992812783277</v>
      </c>
      <c r="V28" s="91"/>
      <c r="W28" s="91">
        <f t="shared" si="5"/>
        <v>6334.8775383782631</v>
      </c>
    </row>
    <row r="29" spans="1:55">
      <c r="A29" s="3" t="s">
        <v>62</v>
      </c>
      <c r="B29" s="127">
        <f t="shared" ref="B29:U29" si="7">SUM(B22:B28)</f>
        <v>4257.8110001405221</v>
      </c>
      <c r="C29" s="127">
        <f t="shared" si="7"/>
        <v>4398.4675007638507</v>
      </c>
      <c r="D29" s="127">
        <f t="shared" si="7"/>
        <v>4492.2598562441672</v>
      </c>
      <c r="E29" s="127">
        <f t="shared" si="7"/>
        <v>4589.28214222718</v>
      </c>
      <c r="F29" s="127">
        <f t="shared" si="7"/>
        <v>4689.6312566279703</v>
      </c>
      <c r="G29" s="127">
        <f t="shared" si="7"/>
        <v>4793.4070042990725</v>
      </c>
      <c r="H29" s="127">
        <f t="shared" si="7"/>
        <v>4900.7121842385959</v>
      </c>
      <c r="I29" s="127">
        <f t="shared" si="7"/>
        <v>5011.6526794145921</v>
      </c>
      <c r="J29" s="127">
        <f t="shared" si="7"/>
        <v>5126.3375492841569</v>
      </c>
      <c r="K29" s="127">
        <f t="shared" si="7"/>
        <v>5244.879125088095</v>
      </c>
      <c r="L29" s="127">
        <f t="shared" si="7"/>
        <v>5367.3931080044395</v>
      </c>
      <c r="M29" s="127">
        <f t="shared" si="7"/>
        <v>5493.9986702465603</v>
      </c>
      <c r="N29" s="127">
        <f t="shared" si="7"/>
        <v>5624.8185591942356</v>
      </c>
      <c r="O29" s="127">
        <f t="shared" si="7"/>
        <v>5759.9792046486273</v>
      </c>
      <c r="P29" s="127">
        <f t="shared" si="7"/>
        <v>5952.259130484561</v>
      </c>
      <c r="Q29" s="127">
        <f t="shared" si="7"/>
        <v>6105.0488297424417</v>
      </c>
      <c r="R29" s="127">
        <f t="shared" si="7"/>
        <v>6262.7528501561083</v>
      </c>
      <c r="S29" s="127">
        <f t="shared" si="7"/>
        <v>6425.5169107670345</v>
      </c>
      <c r="T29" s="127">
        <f t="shared" si="7"/>
        <v>6593.491067976066</v>
      </c>
      <c r="U29" s="127">
        <f t="shared" si="7"/>
        <v>6757.5718394926516</v>
      </c>
      <c r="W29" s="91">
        <f t="shared" si="5"/>
        <v>107847.27046904093</v>
      </c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</row>
    <row r="30" spans="1:55" s="62" customFormat="1">
      <c r="A30" s="5"/>
      <c r="B30" s="130"/>
      <c r="C30" s="131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W30" s="91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</row>
    <row r="31" spans="1:55" s="62" customFormat="1" ht="6.75" customHeight="1">
      <c r="A31" s="5"/>
      <c r="B31" s="130"/>
      <c r="C31" s="131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W31" s="91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</row>
    <row r="32" spans="1:55" s="57" customFormat="1">
      <c r="A32" s="1" t="s">
        <v>63</v>
      </c>
      <c r="B32" s="132">
        <f t="shared" ref="B32:U32" si="8">B19-B29</f>
        <v>27511.590906374422</v>
      </c>
      <c r="C32" s="133">
        <f t="shared" si="8"/>
        <v>27412.582197167714</v>
      </c>
      <c r="D32" s="132">
        <f t="shared" si="8"/>
        <v>27362.325614848542</v>
      </c>
      <c r="E32" s="132">
        <f t="shared" si="8"/>
        <v>32316.445619456907</v>
      </c>
      <c r="F32" s="132">
        <f t="shared" si="8"/>
        <v>34023.43751306372</v>
      </c>
      <c r="G32" s="132">
        <f t="shared" si="8"/>
        <v>34437.483968302375</v>
      </c>
      <c r="H32" s="132">
        <f t="shared" si="8"/>
        <v>34855.27158746132</v>
      </c>
      <c r="I32" s="132">
        <f t="shared" si="8"/>
        <v>35276.806696162079</v>
      </c>
      <c r="J32" s="132">
        <f t="shared" si="8"/>
        <v>35702.094451645105</v>
      </c>
      <c r="K32" s="132">
        <f t="shared" si="8"/>
        <v>36131.138790301877</v>
      </c>
      <c r="L32" s="132">
        <f t="shared" si="8"/>
        <v>36807.648349990435</v>
      </c>
      <c r="M32" s="132">
        <f t="shared" si="8"/>
        <v>37495.655140343311</v>
      </c>
      <c r="N32" s="132">
        <f t="shared" si="8"/>
        <v>38195.345573171049</v>
      </c>
      <c r="O32" s="132">
        <f t="shared" si="8"/>
        <v>38906.908653380284</v>
      </c>
      <c r="P32" s="132">
        <f t="shared" si="8"/>
        <v>39577.229595069773</v>
      </c>
      <c r="Q32" s="132">
        <f t="shared" si="8"/>
        <v>40100.165544083968</v>
      </c>
      <c r="R32" s="132">
        <f t="shared" si="8"/>
        <v>40628.603425606365</v>
      </c>
      <c r="S32" s="132">
        <f t="shared" si="8"/>
        <v>41162.569475812204</v>
      </c>
      <c r="T32" s="132">
        <f t="shared" si="8"/>
        <v>41702.088747262387</v>
      </c>
      <c r="U32" s="132">
        <f t="shared" si="8"/>
        <v>42256.558776032733</v>
      </c>
      <c r="W32" s="91">
        <f>SUM(B32:U32)</f>
        <v>721861.95062553661</v>
      </c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</row>
    <row r="33" spans="1:55" s="57" customFormat="1">
      <c r="A33" s="1"/>
      <c r="B33" s="132"/>
      <c r="C33" s="133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W33" s="91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</row>
    <row r="34" spans="1:55">
      <c r="A34" s="3" t="s">
        <v>64</v>
      </c>
      <c r="B34" s="127">
        <f>Depreciation!C13</f>
        <v>4764.6648668327362</v>
      </c>
      <c r="C34" s="127">
        <f>Depreciation!D13</f>
        <v>4764.6648668327362</v>
      </c>
      <c r="D34" s="127">
        <f>Depreciation!E13</f>
        <v>4764.6648668327362</v>
      </c>
      <c r="E34" s="127">
        <f>Depreciation!F13</f>
        <v>4764.6648668327362</v>
      </c>
      <c r="F34" s="127">
        <f>Depreciation!G13</f>
        <v>4764.6648668327362</v>
      </c>
      <c r="G34" s="127">
        <f>Depreciation!H13</f>
        <v>4764.6648668327362</v>
      </c>
      <c r="H34" s="127">
        <f>Depreciation!I13</f>
        <v>4764.6648668327362</v>
      </c>
      <c r="I34" s="127">
        <f>Depreciation!J13</f>
        <v>4764.6648668327362</v>
      </c>
      <c r="J34" s="127">
        <f>Depreciation!K13</f>
        <v>4764.6648668327362</v>
      </c>
      <c r="K34" s="127">
        <f>Depreciation!L13</f>
        <v>4764.6648668327362</v>
      </c>
      <c r="L34" s="127">
        <f>Depreciation!M13</f>
        <v>4764.6648668327362</v>
      </c>
      <c r="M34" s="127">
        <f>Depreciation!N13</f>
        <v>4764.6648668327362</v>
      </c>
      <c r="N34" s="127">
        <f>Depreciation!O13</f>
        <v>4764.6648668327362</v>
      </c>
      <c r="O34" s="127">
        <f>Depreciation!P13</f>
        <v>4764.6648668327362</v>
      </c>
      <c r="P34" s="127">
        <f>Depreciation!Q13</f>
        <v>4764.6648668327362</v>
      </c>
      <c r="Q34" s="127">
        <f>Depreciation!R13</f>
        <v>4764.6648668327362</v>
      </c>
      <c r="R34" s="127">
        <f>Depreciation!S13</f>
        <v>4764.6648668327362</v>
      </c>
      <c r="S34" s="127">
        <f>Depreciation!T13</f>
        <v>4764.6648668327362</v>
      </c>
      <c r="T34" s="127">
        <f>Depreciation!U13</f>
        <v>4764.6648668327362</v>
      </c>
      <c r="U34" s="127">
        <f>Depreciation!V13</f>
        <v>4764.6648668327362</v>
      </c>
      <c r="W34" s="91">
        <f>SUM(B34:U34)</f>
        <v>95293.297336654767</v>
      </c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</row>
    <row r="35" spans="1:55" ht="7.5" customHeight="1">
      <c r="A35" s="3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W35" s="91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</row>
    <row r="36" spans="1:55" s="57" customFormat="1">
      <c r="A36" s="1" t="s">
        <v>65</v>
      </c>
      <c r="B36" s="132">
        <f t="shared" ref="B36:U36" si="9">B32-B34</f>
        <v>22746.926039541686</v>
      </c>
      <c r="C36" s="132">
        <f t="shared" si="9"/>
        <v>22647.917330334978</v>
      </c>
      <c r="D36" s="132">
        <f t="shared" si="9"/>
        <v>22597.660748015805</v>
      </c>
      <c r="E36" s="132">
        <f t="shared" si="9"/>
        <v>27551.78075262417</v>
      </c>
      <c r="F36" s="132">
        <f t="shared" si="9"/>
        <v>29258.772646230984</v>
      </c>
      <c r="G36" s="132">
        <f t="shared" si="9"/>
        <v>29672.819101469639</v>
      </c>
      <c r="H36" s="132">
        <f t="shared" si="9"/>
        <v>30090.606720628584</v>
      </c>
      <c r="I36" s="132">
        <f t="shared" si="9"/>
        <v>30512.141829329343</v>
      </c>
      <c r="J36" s="132">
        <f t="shared" si="9"/>
        <v>30937.429584812369</v>
      </c>
      <c r="K36" s="132">
        <f t="shared" si="9"/>
        <v>31366.473923469141</v>
      </c>
      <c r="L36" s="132">
        <f t="shared" si="9"/>
        <v>32042.983483157699</v>
      </c>
      <c r="M36" s="132">
        <f t="shared" si="9"/>
        <v>32730.990273510575</v>
      </c>
      <c r="N36" s="132">
        <f t="shared" si="9"/>
        <v>33430.680706338317</v>
      </c>
      <c r="O36" s="132">
        <f t="shared" si="9"/>
        <v>34142.243786547551</v>
      </c>
      <c r="P36" s="132">
        <f t="shared" si="9"/>
        <v>34812.564728237034</v>
      </c>
      <c r="Q36" s="132">
        <f t="shared" si="9"/>
        <v>35335.500677251228</v>
      </c>
      <c r="R36" s="132">
        <f t="shared" si="9"/>
        <v>35863.938558773632</v>
      </c>
      <c r="S36" s="132">
        <f t="shared" si="9"/>
        <v>36397.904608979472</v>
      </c>
      <c r="T36" s="132">
        <f t="shared" si="9"/>
        <v>36937.423880429647</v>
      </c>
      <c r="U36" s="132">
        <f t="shared" si="9"/>
        <v>37491.893909199993</v>
      </c>
      <c r="W36" s="91">
        <f>SUM(B36:U36)</f>
        <v>626568.65328888188</v>
      </c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</row>
    <row r="37" spans="1:55" s="57" customFormat="1">
      <c r="A37" s="1"/>
      <c r="B37" s="132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W37" s="91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</row>
    <row r="38" spans="1:55">
      <c r="A38" s="6" t="s">
        <v>66</v>
      </c>
      <c r="B38" s="127">
        <f>IS!B39*Allocation!$E$7</f>
        <v>12382.562267653238</v>
      </c>
      <c r="C38" s="127">
        <f>IS!C39*Allocation!$E$7</f>
        <v>12196.766322065658</v>
      </c>
      <c r="D38" s="127">
        <f>IS!D39*Allocation!$E$7</f>
        <v>11934.694857798173</v>
      </c>
      <c r="E38" s="127">
        <f>IS!E39*Allocation!$E$7</f>
        <v>11728.969632493878</v>
      </c>
      <c r="F38" s="127">
        <f>IS!F39*Allocation!$E$7</f>
        <v>11364.997871469264</v>
      </c>
      <c r="G38" s="127">
        <f>IS!G39*Allocation!$E$7</f>
        <v>10933.597157420234</v>
      </c>
      <c r="H38" s="127">
        <f>IS!H39*Allocation!$E$7</f>
        <v>10448.760838706417</v>
      </c>
      <c r="I38" s="127">
        <f>IS!I39*Allocation!$E$7</f>
        <v>9941.5330320109479</v>
      </c>
      <c r="J38" s="127">
        <f>IS!J39*Allocation!$E$7</f>
        <v>9311.4769588689869</v>
      </c>
      <c r="K38" s="127">
        <f>IS!K39*Allocation!$E$7</f>
        <v>8613.3278937557552</v>
      </c>
      <c r="L38" s="127">
        <f>IS!L39*Allocation!$E$7</f>
        <v>7878.715574154663</v>
      </c>
      <c r="M38" s="127">
        <f>IS!M39*Allocation!$E$7</f>
        <v>7077.7437474979342</v>
      </c>
      <c r="N38" s="127">
        <f>IS!N39*Allocation!$E$7</f>
        <v>6236.9650941338523</v>
      </c>
      <c r="O38" s="127">
        <f>IS!O39*Allocation!$E$7</f>
        <v>5416.0898541234474</v>
      </c>
      <c r="P38" s="127">
        <f>IS!P39*Allocation!$E$7</f>
        <v>4584.8693371156514</v>
      </c>
      <c r="Q38" s="127">
        <f>IS!Q39*Allocation!$E$7</f>
        <v>3723.4001297567856</v>
      </c>
      <c r="R38" s="127">
        <f>IS!R39*Allocation!$E$7</f>
        <v>2809.6422940958882</v>
      </c>
      <c r="S38" s="127">
        <f>IS!S39*Allocation!$E$7</f>
        <v>1948.0606380740085</v>
      </c>
      <c r="T38" s="127">
        <f>IS!T39*Allocation!$E$7</f>
        <v>1209.2729220646436</v>
      </c>
      <c r="U38" s="127">
        <f>IS!U39*Allocation!$E$7</f>
        <v>472.28438466352077</v>
      </c>
      <c r="W38" s="91">
        <f>SUM(B38:U38)</f>
        <v>150213.7308079229</v>
      </c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</row>
    <row r="39" spans="1:55" ht="6" customHeight="1">
      <c r="B39" s="67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W39" s="91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</row>
    <row r="40" spans="1:55" s="57" customFormat="1">
      <c r="A40" s="1" t="s">
        <v>67</v>
      </c>
      <c r="B40" s="132">
        <f t="shared" ref="B40:U40" si="10">B36-B38</f>
        <v>10364.363771888447</v>
      </c>
      <c r="C40" s="132">
        <f t="shared" si="10"/>
        <v>10451.15100826932</v>
      </c>
      <c r="D40" s="132">
        <f t="shared" si="10"/>
        <v>10662.965890217632</v>
      </c>
      <c r="E40" s="132">
        <f t="shared" si="10"/>
        <v>15822.811120130293</v>
      </c>
      <c r="F40" s="132">
        <f t="shared" si="10"/>
        <v>17893.774774761718</v>
      </c>
      <c r="G40" s="132">
        <f t="shared" si="10"/>
        <v>18739.221944049405</v>
      </c>
      <c r="H40" s="132">
        <f t="shared" si="10"/>
        <v>19641.845881922167</v>
      </c>
      <c r="I40" s="132">
        <f t="shared" si="10"/>
        <v>20570.608797318397</v>
      </c>
      <c r="J40" s="132">
        <f t="shared" si="10"/>
        <v>21625.952625943384</v>
      </c>
      <c r="K40" s="132">
        <f t="shared" si="10"/>
        <v>22753.146029713385</v>
      </c>
      <c r="L40" s="132">
        <f t="shared" si="10"/>
        <v>24164.267909003036</v>
      </c>
      <c r="M40" s="132">
        <f t="shared" si="10"/>
        <v>25653.246526012641</v>
      </c>
      <c r="N40" s="132">
        <f t="shared" si="10"/>
        <v>27193.715612204465</v>
      </c>
      <c r="O40" s="132">
        <f t="shared" si="10"/>
        <v>28726.153932424102</v>
      </c>
      <c r="P40" s="132">
        <f t="shared" si="10"/>
        <v>30227.695391121382</v>
      </c>
      <c r="Q40" s="132">
        <f t="shared" si="10"/>
        <v>31612.100547494443</v>
      </c>
      <c r="R40" s="132">
        <f t="shared" si="10"/>
        <v>33054.296264677745</v>
      </c>
      <c r="S40" s="132">
        <f t="shared" si="10"/>
        <v>34449.843970905466</v>
      </c>
      <c r="T40" s="132">
        <f t="shared" si="10"/>
        <v>35728.150958365004</v>
      </c>
      <c r="U40" s="132">
        <f t="shared" si="10"/>
        <v>37019.60952453647</v>
      </c>
      <c r="W40" s="91">
        <f>SUM(B40:U40)</f>
        <v>476354.92248095892</v>
      </c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</row>
    <row r="41" spans="1:55" s="57" customFormat="1">
      <c r="A41" s="1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W41" s="91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</row>
    <row r="42" spans="1:55">
      <c r="A42" s="3" t="s">
        <v>68</v>
      </c>
      <c r="B42" s="127">
        <f>B40*-Assumptions!$C$39</f>
        <v>-621.86182631330678</v>
      </c>
      <c r="C42" s="127">
        <f>C40*-Assumptions!$C$39</f>
        <v>-627.06906049615918</v>
      </c>
      <c r="D42" s="127">
        <f>D40*-Assumptions!$C$39</f>
        <v>-639.77795341305796</v>
      </c>
      <c r="E42" s="127">
        <f>E40*-Assumptions!$C$39</f>
        <v>-949.36866720781757</v>
      </c>
      <c r="F42" s="127">
        <f>F40*-Assumptions!$C$39</f>
        <v>-1073.626486485703</v>
      </c>
      <c r="G42" s="127">
        <f>G40*-Assumptions!$C$39</f>
        <v>-1124.3533166429643</v>
      </c>
      <c r="H42" s="127">
        <f>H40*-Assumptions!$C$39</f>
        <v>-1178.5107529153299</v>
      </c>
      <c r="I42" s="127">
        <f>I40*-Assumptions!$C$39</f>
        <v>-1234.2365278391037</v>
      </c>
      <c r="J42" s="127">
        <f>J40*-Assumptions!$C$39</f>
        <v>-1297.557157556603</v>
      </c>
      <c r="K42" s="127">
        <f>K40*-Assumptions!$C$39</f>
        <v>-1365.1887617828031</v>
      </c>
      <c r="L42" s="127">
        <f>L40*-Assumptions!$C$39</f>
        <v>-1449.8560745401821</v>
      </c>
      <c r="M42" s="127">
        <f>M40*-Assumptions!$C$39</f>
        <v>-1539.1947915607584</v>
      </c>
      <c r="N42" s="127">
        <f>N40*-Assumptions!$C$39</f>
        <v>-1631.6229367322678</v>
      </c>
      <c r="O42" s="127">
        <f>O40*-Assumptions!$C$39</f>
        <v>-1723.5692359454461</v>
      </c>
      <c r="P42" s="127">
        <f>P40*-Assumptions!$C$39</f>
        <v>-1813.6617234672829</v>
      </c>
      <c r="Q42" s="127">
        <f>Q40*-Assumptions!$C$39</f>
        <v>-1896.7260328496666</v>
      </c>
      <c r="R42" s="127">
        <f>R40*-Assumptions!$C$39</f>
        <v>-1983.2577758806647</v>
      </c>
      <c r="S42" s="127">
        <f>S40*-Assumptions!$C$39</f>
        <v>-2066.9906382543277</v>
      </c>
      <c r="T42" s="127">
        <f>T40*-Assumptions!$C$39</f>
        <v>-2143.6890575019002</v>
      </c>
      <c r="U42" s="127">
        <f>U40*-Assumptions!$C$39</f>
        <v>-2221.1765714721882</v>
      </c>
      <c r="W42" s="91">
        <f>SUM(B42:U42)</f>
        <v>-28581.295348857529</v>
      </c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</row>
    <row r="43" spans="1:55">
      <c r="A43" s="3" t="s">
        <v>69</v>
      </c>
      <c r="B43" s="121">
        <f>(B40+B42)*-Assumptions!$C$38</f>
        <v>-3409.8756809512993</v>
      </c>
      <c r="C43" s="121">
        <f>(C40+C42)*-Assumptions!$C$38</f>
        <v>-3438.4286817206057</v>
      </c>
      <c r="D43" s="121">
        <f>(D40+D42)*-Assumptions!$C$38</f>
        <v>-3508.1157778816005</v>
      </c>
      <c r="E43" s="121">
        <f>(E40+E42)*-Assumptions!$C$38</f>
        <v>-5205.7048585228658</v>
      </c>
      <c r="F43" s="121">
        <f>(F40+F42)*-Assumptions!$C$38</f>
        <v>-5887.0519008966048</v>
      </c>
      <c r="G43" s="121">
        <f>(G40+G42)*-Assumptions!$C$38</f>
        <v>-6165.2040195922527</v>
      </c>
      <c r="H43" s="121">
        <f>(H40+H42)*-Assumptions!$C$38</f>
        <v>-6462.1672951523933</v>
      </c>
      <c r="I43" s="121">
        <f>(I40+I42)*-Assumptions!$C$38</f>
        <v>-6767.7302943177519</v>
      </c>
      <c r="J43" s="121">
        <f>(J40+J42)*-Assumptions!$C$38</f>
        <v>-7114.9384139353733</v>
      </c>
      <c r="K43" s="121">
        <f>(K40+K42)*-Assumptions!$C$38</f>
        <v>-7485.7850437757033</v>
      </c>
      <c r="L43" s="121">
        <f>(L40+L42)*-Assumptions!$C$38</f>
        <v>-7950.0441420619991</v>
      </c>
      <c r="M43" s="121">
        <f>(M40+M42)*-Assumptions!$C$38</f>
        <v>-8439.9181070581581</v>
      </c>
      <c r="N43" s="121">
        <f>(N40+N42)*-Assumptions!$C$38</f>
        <v>-8946.7324364152682</v>
      </c>
      <c r="O43" s="121">
        <f>(O40+O42)*-Assumptions!$C$38</f>
        <v>-9450.9046437675279</v>
      </c>
      <c r="P43" s="121">
        <f>(P40+P42)*-Assumptions!$C$38</f>
        <v>-9944.9117836789355</v>
      </c>
      <c r="Q43" s="121">
        <f>(Q40+Q42)*-Assumptions!$C$38</f>
        <v>-10400.381080125671</v>
      </c>
      <c r="R43" s="121">
        <f>(R40+R42)*-Assumptions!$C$38</f>
        <v>-10874.863471078977</v>
      </c>
      <c r="S43" s="121">
        <f>(S40+S42)*-Assumptions!$C$38</f>
        <v>-11333.998666427899</v>
      </c>
      <c r="T43" s="121">
        <f>(T40+T42)*-Assumptions!$C$38</f>
        <v>-11754.561665302086</v>
      </c>
      <c r="U43" s="121">
        <f>(U40+U42)*-Assumptions!$C$38</f>
        <v>-12179.451533572497</v>
      </c>
      <c r="W43" s="91">
        <f>SUM(B43:U43)</f>
        <v>-156720.76949623544</v>
      </c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</row>
    <row r="44" spans="1:55" ht="6" customHeight="1"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W44" s="91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</row>
    <row r="45" spans="1:55" s="64" customFormat="1" ht="15.75">
      <c r="A45" s="45" t="s">
        <v>220</v>
      </c>
      <c r="B45" s="134">
        <f t="shared" ref="B45:U45" si="11">SUM(B40:B43)</f>
        <v>6332.6262646238411</v>
      </c>
      <c r="C45" s="134">
        <f t="shared" si="11"/>
        <v>6385.6532660525545</v>
      </c>
      <c r="D45" s="134">
        <f t="shared" si="11"/>
        <v>6515.0721589229734</v>
      </c>
      <c r="E45" s="134">
        <f t="shared" si="11"/>
        <v>9667.7375943996085</v>
      </c>
      <c r="F45" s="134">
        <f t="shared" si="11"/>
        <v>10933.09638737941</v>
      </c>
      <c r="G45" s="134">
        <f t="shared" si="11"/>
        <v>11449.664607814186</v>
      </c>
      <c r="H45" s="134">
        <f t="shared" si="11"/>
        <v>12001.167833854444</v>
      </c>
      <c r="I45" s="134">
        <f t="shared" si="11"/>
        <v>12568.641975161539</v>
      </c>
      <c r="J45" s="134">
        <f t="shared" si="11"/>
        <v>13213.457054451408</v>
      </c>
      <c r="K45" s="134">
        <f t="shared" si="11"/>
        <v>13902.172224154878</v>
      </c>
      <c r="L45" s="134">
        <f t="shared" si="11"/>
        <v>14764.367692400856</v>
      </c>
      <c r="M45" s="134">
        <f t="shared" si="11"/>
        <v>15674.133627393723</v>
      </c>
      <c r="N45" s="134">
        <f t="shared" si="11"/>
        <v>16615.360239056929</v>
      </c>
      <c r="O45" s="134">
        <f t="shared" si="11"/>
        <v>17551.680052711126</v>
      </c>
      <c r="P45" s="134">
        <f t="shared" si="11"/>
        <v>18469.121883975167</v>
      </c>
      <c r="Q45" s="134">
        <f t="shared" si="11"/>
        <v>19314.993434519107</v>
      </c>
      <c r="R45" s="134">
        <f t="shared" si="11"/>
        <v>20196.175017718102</v>
      </c>
      <c r="S45" s="134">
        <f t="shared" si="11"/>
        <v>21048.85466622324</v>
      </c>
      <c r="T45" s="134">
        <f t="shared" si="11"/>
        <v>21829.900235561021</v>
      </c>
      <c r="U45" s="134">
        <f t="shared" si="11"/>
        <v>22618.981419491782</v>
      </c>
      <c r="W45" s="91">
        <f>SUM(B45:U45)</f>
        <v>291052.85763586592</v>
      </c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</row>
    <row r="46" spans="1:55" s="62" customFormat="1">
      <c r="A46" s="4"/>
      <c r="B46" s="60"/>
      <c r="C46" s="61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</row>
    <row r="47" spans="1:55">
      <c r="A47" s="1"/>
      <c r="B47" s="56"/>
      <c r="C47" s="59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</row>
    <row r="48" spans="1:55">
      <c r="A48" s="13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</row>
    <row r="49" spans="1:55" ht="18.75">
      <c r="A49" s="55" t="s">
        <v>217</v>
      </c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</row>
    <row r="50" spans="1:55">
      <c r="A50" s="1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</row>
    <row r="51" spans="1:55" ht="12.75" customHeight="1">
      <c r="A51" s="1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</row>
    <row r="52" spans="1:55" ht="12.75" customHeight="1">
      <c r="A52" s="1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</row>
    <row r="53" spans="1:55" ht="13.5" thickBot="1">
      <c r="A53" s="194" t="s">
        <v>56</v>
      </c>
      <c r="B53" s="8">
        <v>2001</v>
      </c>
      <c r="C53" s="8">
        <f t="shared" ref="C53:U53" si="12">B53+1</f>
        <v>2002</v>
      </c>
      <c r="D53" s="8">
        <f t="shared" si="12"/>
        <v>2003</v>
      </c>
      <c r="E53" s="8">
        <f t="shared" si="12"/>
        <v>2004</v>
      </c>
      <c r="F53" s="8">
        <f t="shared" si="12"/>
        <v>2005</v>
      </c>
      <c r="G53" s="8">
        <f t="shared" si="12"/>
        <v>2006</v>
      </c>
      <c r="H53" s="8">
        <f t="shared" si="12"/>
        <v>2007</v>
      </c>
      <c r="I53" s="8">
        <f t="shared" si="12"/>
        <v>2008</v>
      </c>
      <c r="J53" s="8">
        <f t="shared" si="12"/>
        <v>2009</v>
      </c>
      <c r="K53" s="8">
        <f t="shared" si="12"/>
        <v>2010</v>
      </c>
      <c r="L53" s="8">
        <f t="shared" si="12"/>
        <v>2011</v>
      </c>
      <c r="M53" s="8">
        <f t="shared" si="12"/>
        <v>2012</v>
      </c>
      <c r="N53" s="8">
        <f t="shared" si="12"/>
        <v>2013</v>
      </c>
      <c r="O53" s="8">
        <f t="shared" si="12"/>
        <v>2014</v>
      </c>
      <c r="P53" s="8">
        <f t="shared" si="12"/>
        <v>2015</v>
      </c>
      <c r="Q53" s="8">
        <f t="shared" si="12"/>
        <v>2016</v>
      </c>
      <c r="R53" s="8">
        <f t="shared" si="12"/>
        <v>2017</v>
      </c>
      <c r="S53" s="8">
        <f t="shared" si="12"/>
        <v>2018</v>
      </c>
      <c r="T53" s="8">
        <f t="shared" si="12"/>
        <v>2019</v>
      </c>
      <c r="U53" s="8">
        <f t="shared" si="12"/>
        <v>2020</v>
      </c>
      <c r="W53" s="403" t="s">
        <v>161</v>
      </c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</row>
    <row r="54" spans="1:55">
      <c r="A54" s="12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W54" s="44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</row>
    <row r="55" spans="1:55">
      <c r="A55" s="13" t="s">
        <v>276</v>
      </c>
      <c r="B55" s="67">
        <f>B32-B12</f>
        <v>19394.632951504882</v>
      </c>
      <c r="C55" s="67">
        <f>C32-C12</f>
        <v>19295.624242298174</v>
      </c>
      <c r="D55" s="67">
        <f>D32-D12</f>
        <v>19245.367659979001</v>
      </c>
      <c r="E55" s="67">
        <f t="shared" ref="E55:U55" si="13">E32</f>
        <v>32316.445619456907</v>
      </c>
      <c r="F55" s="67">
        <f t="shared" si="13"/>
        <v>34023.43751306372</v>
      </c>
      <c r="G55" s="67">
        <f t="shared" si="13"/>
        <v>34437.483968302375</v>
      </c>
      <c r="H55" s="67">
        <f t="shared" si="13"/>
        <v>34855.27158746132</v>
      </c>
      <c r="I55" s="67">
        <f t="shared" si="13"/>
        <v>35276.806696162079</v>
      </c>
      <c r="J55" s="67">
        <f t="shared" si="13"/>
        <v>35702.094451645105</v>
      </c>
      <c r="K55" s="67">
        <f t="shared" si="13"/>
        <v>36131.138790301877</v>
      </c>
      <c r="L55" s="67">
        <f t="shared" si="13"/>
        <v>36807.648349990435</v>
      </c>
      <c r="M55" s="67">
        <f t="shared" si="13"/>
        <v>37495.655140343311</v>
      </c>
      <c r="N55" s="67">
        <f t="shared" si="13"/>
        <v>38195.345573171049</v>
      </c>
      <c r="O55" s="67">
        <f t="shared" si="13"/>
        <v>38906.908653380284</v>
      </c>
      <c r="P55" s="67">
        <f t="shared" si="13"/>
        <v>39577.229595069773</v>
      </c>
      <c r="Q55" s="67">
        <f t="shared" si="13"/>
        <v>40100.165544083968</v>
      </c>
      <c r="R55" s="67">
        <f t="shared" si="13"/>
        <v>40628.603425606365</v>
      </c>
      <c r="S55" s="67">
        <f t="shared" si="13"/>
        <v>41162.569475812204</v>
      </c>
      <c r="T55" s="67">
        <f t="shared" si="13"/>
        <v>41702.088747262387</v>
      </c>
      <c r="U55" s="67">
        <f t="shared" si="13"/>
        <v>42256.558776032733</v>
      </c>
      <c r="W55" s="404">
        <f>SUM(B55:U55)</f>
        <v>697511.07676092803</v>
      </c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</row>
    <row r="56" spans="1:55" ht="12" customHeight="1">
      <c r="A56" s="13" t="s">
        <v>169</v>
      </c>
      <c r="B56" s="67">
        <f>B27</f>
        <v>325</v>
      </c>
      <c r="C56" s="67">
        <f t="shared" ref="C56:T56" si="14">C27</f>
        <v>375</v>
      </c>
      <c r="D56" s="67">
        <f t="shared" si="14"/>
        <v>375</v>
      </c>
      <c r="E56" s="67">
        <f t="shared" si="14"/>
        <v>375</v>
      </c>
      <c r="F56" s="67">
        <f t="shared" si="14"/>
        <v>375</v>
      </c>
      <c r="G56" s="67">
        <f t="shared" si="14"/>
        <v>375</v>
      </c>
      <c r="H56" s="67">
        <f t="shared" si="14"/>
        <v>375</v>
      </c>
      <c r="I56" s="67">
        <f t="shared" si="14"/>
        <v>375</v>
      </c>
      <c r="J56" s="67">
        <f t="shared" si="14"/>
        <v>375</v>
      </c>
      <c r="K56" s="67">
        <f t="shared" si="14"/>
        <v>375</v>
      </c>
      <c r="L56" s="67">
        <f t="shared" si="14"/>
        <v>375</v>
      </c>
      <c r="M56" s="67">
        <f t="shared" si="14"/>
        <v>375</v>
      </c>
      <c r="N56" s="67">
        <f t="shared" si="14"/>
        <v>375</v>
      </c>
      <c r="O56" s="67">
        <f t="shared" si="14"/>
        <v>375</v>
      </c>
      <c r="P56" s="67">
        <f t="shared" si="14"/>
        <v>427.64830117962356</v>
      </c>
      <c r="Q56" s="67">
        <f t="shared" si="14"/>
        <v>436.20126720321605</v>
      </c>
      <c r="R56" s="67">
        <f t="shared" si="14"/>
        <v>444.92529254728038</v>
      </c>
      <c r="S56" s="67">
        <f t="shared" si="14"/>
        <v>453.82379839822596</v>
      </c>
      <c r="T56" s="67">
        <f t="shared" si="14"/>
        <v>462.9002743661905</v>
      </c>
      <c r="U56" s="67">
        <f>T56</f>
        <v>462.9002743661905</v>
      </c>
      <c r="W56" s="404">
        <f>SUM(B56:U56)</f>
        <v>7888.3992080607268</v>
      </c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</row>
    <row r="57" spans="1:55">
      <c r="A57" s="13" t="s">
        <v>170</v>
      </c>
      <c r="B57" s="466">
        <v>-250</v>
      </c>
      <c r="C57" s="67">
        <f>-B56</f>
        <v>-325</v>
      </c>
      <c r="D57" s="67">
        <f t="shared" ref="D57:U57" si="15">-C56</f>
        <v>-375</v>
      </c>
      <c r="E57" s="67">
        <f t="shared" si="15"/>
        <v>-375</v>
      </c>
      <c r="F57" s="67">
        <f t="shared" si="15"/>
        <v>-375</v>
      </c>
      <c r="G57" s="67">
        <f t="shared" si="15"/>
        <v>-375</v>
      </c>
      <c r="H57" s="67">
        <f t="shared" si="15"/>
        <v>-375</v>
      </c>
      <c r="I57" s="67">
        <f t="shared" si="15"/>
        <v>-375</v>
      </c>
      <c r="J57" s="67">
        <f t="shared" si="15"/>
        <v>-375</v>
      </c>
      <c r="K57" s="67">
        <f t="shared" si="15"/>
        <v>-375</v>
      </c>
      <c r="L57" s="67">
        <f t="shared" si="15"/>
        <v>-375</v>
      </c>
      <c r="M57" s="67">
        <f t="shared" si="15"/>
        <v>-375</v>
      </c>
      <c r="N57" s="67">
        <f t="shared" si="15"/>
        <v>-375</v>
      </c>
      <c r="O57" s="67">
        <f t="shared" si="15"/>
        <v>-375</v>
      </c>
      <c r="P57" s="67">
        <f t="shared" si="15"/>
        <v>-375</v>
      </c>
      <c r="Q57" s="67">
        <f t="shared" si="15"/>
        <v>-427.64830117962356</v>
      </c>
      <c r="R57" s="67">
        <f t="shared" si="15"/>
        <v>-436.20126720321605</v>
      </c>
      <c r="S57" s="67">
        <f t="shared" si="15"/>
        <v>-444.92529254728038</v>
      </c>
      <c r="T57" s="67">
        <f t="shared" si="15"/>
        <v>-453.82379839822596</v>
      </c>
      <c r="U57" s="67">
        <f t="shared" si="15"/>
        <v>-462.9002743661905</v>
      </c>
      <c r="W57" s="404">
        <f>SUM(B57:U57)</f>
        <v>-7675.4989336945364</v>
      </c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</row>
    <row r="58" spans="1:55">
      <c r="A58" s="13" t="s">
        <v>71</v>
      </c>
      <c r="B58" s="402">
        <f>-Debt!B77*Allocation!$E$7</f>
        <v>-14775.848168319584</v>
      </c>
      <c r="C58" s="402">
        <f>-Debt!C77*Allocation!$E$7</f>
        <v>-14763.758457457789</v>
      </c>
      <c r="D58" s="402">
        <f>-Debt!D77*Allocation!$E$7</f>
        <v>-14694.693920663392</v>
      </c>
      <c r="E58" s="402">
        <f>-Debt!E77*Allocation!$E$7</f>
        <v>-14485.108556809637</v>
      </c>
      <c r="F58" s="402">
        <f>-Debt!F77*Allocation!$E$7</f>
        <v>-15158.742037880367</v>
      </c>
      <c r="G58" s="402">
        <f>-Debt!G77*Allocation!$E$7</f>
        <v>-15246.14394487901</v>
      </c>
      <c r="H58" s="402">
        <f>-Debt!H77*Allocation!$E$7</f>
        <v>-15150.409591950945</v>
      </c>
      <c r="I58" s="402">
        <f>-Debt!I77*Allocation!$E$7</f>
        <v>-15291.685061565064</v>
      </c>
      <c r="J58" s="402">
        <f>-Debt!J77*Allocation!$E$7</f>
        <v>-15180.431609470777</v>
      </c>
      <c r="K58" s="402">
        <f>-Debt!K77*Allocation!$E$7</f>
        <v>-15355.445884245812</v>
      </c>
      <c r="L58" s="402">
        <f>-Debt!L77*Allocation!$E$7</f>
        <v>-15212.978818132169</v>
      </c>
      <c r="M58" s="402">
        <f>-Debt!M77*Allocation!$E$7</f>
        <v>-14412.006991475442</v>
      </c>
      <c r="N58" s="402">
        <f>-Debt!N77*Allocation!$E$7</f>
        <v>-13571.228338111359</v>
      </c>
      <c r="O58" s="402">
        <f>-Debt!O77*Allocation!$E$7</f>
        <v>-12750.353098100954</v>
      </c>
      <c r="P58" s="402">
        <f>-Debt!P77*Allocation!$E$7</f>
        <v>-12285.845743292033</v>
      </c>
      <c r="Q58" s="402">
        <f>-Debt!Q77*Allocation!$E$7</f>
        <v>-11791.089698132044</v>
      </c>
      <c r="R58" s="402">
        <f>-Debt!R77*Allocation!$E$7</f>
        <v>-10877.331862471148</v>
      </c>
      <c r="S58" s="402">
        <f>-Debt!S77*Allocation!$E$7</f>
        <v>-8548.897557653765</v>
      </c>
      <c r="T58" s="402">
        <f>-Debt!T77*Allocation!$E$7</f>
        <v>-7810.1098416444001</v>
      </c>
      <c r="U58" s="402">
        <f>-Debt!U77*Allocation!$E$7</f>
        <v>-6339.6949798455335</v>
      </c>
      <c r="W58" s="404">
        <f>SUM(B58:U58)</f>
        <v>-263701.8041621013</v>
      </c>
    </row>
    <row r="59" spans="1:55">
      <c r="A59" s="13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W59" s="405"/>
    </row>
    <row r="60" spans="1:55" s="57" customFormat="1">
      <c r="A60" s="12" t="s">
        <v>72</v>
      </c>
      <c r="B60" s="136">
        <f t="shared" ref="B60:U60" si="16">SUM(B55:B58)</f>
        <v>4693.7847831852978</v>
      </c>
      <c r="C60" s="136">
        <f t="shared" si="16"/>
        <v>4581.8657848403855</v>
      </c>
      <c r="D60" s="136">
        <f t="shared" si="16"/>
        <v>4550.6737393156091</v>
      </c>
      <c r="E60" s="136">
        <f t="shared" si="16"/>
        <v>17831.337062647268</v>
      </c>
      <c r="F60" s="136">
        <f t="shared" si="16"/>
        <v>18864.695475183355</v>
      </c>
      <c r="G60" s="136">
        <f t="shared" si="16"/>
        <v>19191.340023423363</v>
      </c>
      <c r="H60" s="136">
        <f t="shared" si="16"/>
        <v>19704.861995510375</v>
      </c>
      <c r="I60" s="136">
        <f t="shared" si="16"/>
        <v>19985.121634597017</v>
      </c>
      <c r="J60" s="136">
        <f t="shared" si="16"/>
        <v>20521.66284217433</v>
      </c>
      <c r="K60" s="136">
        <f t="shared" si="16"/>
        <v>20775.692906056065</v>
      </c>
      <c r="L60" s="136">
        <f t="shared" si="16"/>
        <v>21594.669531858264</v>
      </c>
      <c r="M60" s="136">
        <f t="shared" si="16"/>
        <v>23083.648148867869</v>
      </c>
      <c r="N60" s="136">
        <f t="shared" si="16"/>
        <v>24624.11723505969</v>
      </c>
      <c r="O60" s="136">
        <f t="shared" si="16"/>
        <v>26156.55555527933</v>
      </c>
      <c r="P60" s="136">
        <f t="shared" si="16"/>
        <v>27344.032152957363</v>
      </c>
      <c r="Q60" s="136">
        <f t="shared" si="16"/>
        <v>28317.628811975515</v>
      </c>
      <c r="R60" s="136">
        <f t="shared" si="16"/>
        <v>29759.995588479287</v>
      </c>
      <c r="S60" s="136">
        <f t="shared" si="16"/>
        <v>32622.570424009384</v>
      </c>
      <c r="T60" s="136">
        <f t="shared" si="16"/>
        <v>33901.055381585953</v>
      </c>
      <c r="U60" s="136">
        <f t="shared" si="16"/>
        <v>35916.863796187201</v>
      </c>
      <c r="W60" s="404">
        <f>SUM(B60:U60)</f>
        <v>434022.17287319299</v>
      </c>
    </row>
    <row r="61" spans="1:55">
      <c r="A61" s="12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W61" s="405"/>
    </row>
    <row r="62" spans="1:55">
      <c r="A62" s="13" t="s">
        <v>99</v>
      </c>
      <c r="B62" s="129">
        <f>-B104</f>
        <v>-17.310375941650854</v>
      </c>
      <c r="C62" s="129">
        <f t="shared" ref="C62:U62" si="17">-C104</f>
        <v>0</v>
      </c>
      <c r="D62" s="129">
        <f t="shared" si="17"/>
        <v>0</v>
      </c>
      <c r="E62" s="129">
        <f t="shared" si="17"/>
        <v>-22.238997351926514</v>
      </c>
      <c r="F62" s="129">
        <f t="shared" si="17"/>
        <v>-800.37476148169264</v>
      </c>
      <c r="G62" s="129">
        <f t="shared" si="17"/>
        <v>-907.57953275147656</v>
      </c>
      <c r="H62" s="129">
        <f t="shared" si="17"/>
        <v>-988.36228411974582</v>
      </c>
      <c r="I62" s="129">
        <f t="shared" si="17"/>
        <v>-1043.2812313133406</v>
      </c>
      <c r="J62" s="129">
        <f t="shared" si="17"/>
        <v>-1107.408688761019</v>
      </c>
      <c r="K62" s="129">
        <f t="shared" si="17"/>
        <v>-1174.2334652570401</v>
      </c>
      <c r="L62" s="129">
        <f t="shared" si="17"/>
        <v>-1259.7076057445979</v>
      </c>
      <c r="M62" s="129">
        <f t="shared" si="17"/>
        <v>-1348.2394950349953</v>
      </c>
      <c r="N62" s="129">
        <f t="shared" si="17"/>
        <v>-1441.4744679366838</v>
      </c>
      <c r="O62" s="129">
        <f t="shared" si="17"/>
        <v>-1532.6139394196832</v>
      </c>
      <c r="P62" s="129">
        <f t="shared" si="17"/>
        <v>-1623.5132546716989</v>
      </c>
      <c r="Q62" s="129">
        <f t="shared" si="17"/>
        <v>-1944.5917444568565</v>
      </c>
      <c r="R62" s="129">
        <f t="shared" si="17"/>
        <v>-2269.137667890629</v>
      </c>
      <c r="S62" s="129">
        <f t="shared" si="17"/>
        <v>-2352.870530264292</v>
      </c>
      <c r="T62" s="129">
        <f t="shared" si="17"/>
        <v>-2429.5689495118645</v>
      </c>
      <c r="U62" s="129">
        <f t="shared" si="17"/>
        <v>-2507.0564634821526</v>
      </c>
      <c r="W62" s="404">
        <f>SUM(B62:U62)</f>
        <v>-24769.563455391344</v>
      </c>
    </row>
    <row r="63" spans="1:55">
      <c r="A63" s="13" t="s">
        <v>100</v>
      </c>
      <c r="B63" s="128">
        <f>-Allocation!$E$7*Tax!B24</f>
        <v>0</v>
      </c>
      <c r="C63" s="128">
        <f>-Allocation!$E$7*Tax!C24</f>
        <v>0</v>
      </c>
      <c r="D63" s="128">
        <f>-Allocation!$E$7*Tax!D24</f>
        <v>0</v>
      </c>
      <c r="E63" s="128">
        <f>-Allocation!$E$7*Tax!E24</f>
        <v>0</v>
      </c>
      <c r="F63" s="128">
        <f>-Allocation!$E$7*Tax!F24</f>
        <v>-168.10258653388721</v>
      </c>
      <c r="G63" s="128">
        <f>-Allocation!$E$7*Tax!G24</f>
        <v>-4381.4789580445949</v>
      </c>
      <c r="H63" s="128">
        <f>-Allocation!$E$7*Tax!H24</f>
        <v>-4814.0368880850619</v>
      </c>
      <c r="I63" s="128">
        <f>-Allocation!$E$7*Tax!I24</f>
        <v>-5144.9312196155188</v>
      </c>
      <c r="J63" s="128">
        <f>-Allocation!$E$7*Tax!J24</f>
        <v>-5537.1920668605271</v>
      </c>
      <c r="K63" s="128">
        <f>-Allocation!$E$7*Tax!K24</f>
        <v>-5897.0990850025446</v>
      </c>
      <c r="L63" s="128">
        <f>-Allocation!$E$7*Tax!L24</f>
        <v>-6367.8566492521395</v>
      </c>
      <c r="M63" s="128">
        <f>-Allocation!$E$7*Tax!M24</f>
        <v>-6862.6690680646643</v>
      </c>
      <c r="N63" s="128">
        <f>-Allocation!$E$7*Tax!N24</f>
        <v>-7359.5453953897722</v>
      </c>
      <c r="O63" s="128">
        <f>-Allocation!$E$7*Tax!O24</f>
        <v>-7847.2490171148975</v>
      </c>
      <c r="P63" s="128">
        <f>-Allocation!$E$7*Tax!P24</f>
        <v>-8327.8569476160355</v>
      </c>
      <c r="Q63" s="128">
        <f>-Allocation!$E$7*Tax!Q24</f>
        <v>-10436.346012106271</v>
      </c>
      <c r="R63" s="128">
        <f>-Allocation!$E$7*Tax!R24</f>
        <v>-12533.776816711452</v>
      </c>
      <c r="S63" s="128">
        <f>-Allocation!$E$7*Tax!S24</f>
        <v>-13000.580662117745</v>
      </c>
      <c r="T63" s="128">
        <f>-Allocation!$E$7*Tax!T24</f>
        <v>-13429.254302365096</v>
      </c>
      <c r="U63" s="128">
        <f>-Allocation!$E$7*Tax!U24</f>
        <v>-13859.963515068594</v>
      </c>
      <c r="W63" s="404">
        <f>SUM(B63:U63)</f>
        <v>-125967.93918994881</v>
      </c>
    </row>
    <row r="64" spans="1:55">
      <c r="A64" s="13"/>
      <c r="B64" s="135"/>
      <c r="C64" s="135"/>
      <c r="D64" s="135"/>
      <c r="E64" s="135"/>
      <c r="F64" s="135"/>
      <c r="G64" s="135"/>
      <c r="H64" s="135"/>
      <c r="I64" s="135"/>
      <c r="J64" s="135"/>
      <c r="K64" s="135"/>
      <c r="L64" s="135"/>
      <c r="M64" s="135"/>
      <c r="N64" s="135"/>
      <c r="O64" s="135"/>
      <c r="P64" s="135"/>
      <c r="Q64" s="135"/>
      <c r="R64" s="135"/>
      <c r="S64" s="135"/>
      <c r="T64" s="135"/>
      <c r="U64" s="135"/>
      <c r="W64" s="405"/>
    </row>
    <row r="65" spans="1:23" s="64" customFormat="1" ht="15.75">
      <c r="A65" s="224" t="s">
        <v>73</v>
      </c>
      <c r="B65" s="137">
        <f t="shared" ref="B65:U65" si="18">B60+B63+B62</f>
        <v>4676.474407243647</v>
      </c>
      <c r="C65" s="137">
        <f t="shared" si="18"/>
        <v>4581.8657848403855</v>
      </c>
      <c r="D65" s="137">
        <f t="shared" si="18"/>
        <v>4550.6737393156091</v>
      </c>
      <c r="E65" s="137">
        <f t="shared" si="18"/>
        <v>17809.09806529534</v>
      </c>
      <c r="F65" s="137">
        <f t="shared" si="18"/>
        <v>17896.218127167773</v>
      </c>
      <c r="G65" s="137">
        <f t="shared" si="18"/>
        <v>13902.281532627292</v>
      </c>
      <c r="H65" s="137">
        <f t="shared" si="18"/>
        <v>13902.462823305566</v>
      </c>
      <c r="I65" s="137">
        <f t="shared" si="18"/>
        <v>13796.909183668158</v>
      </c>
      <c r="J65" s="137">
        <f t="shared" si="18"/>
        <v>13877.062086552784</v>
      </c>
      <c r="K65" s="137">
        <f t="shared" si="18"/>
        <v>13704.36035579648</v>
      </c>
      <c r="L65" s="137">
        <f t="shared" si="18"/>
        <v>13967.105276861528</v>
      </c>
      <c r="M65" s="137">
        <f t="shared" si="18"/>
        <v>14872.73958576821</v>
      </c>
      <c r="N65" s="137">
        <f t="shared" si="18"/>
        <v>15823.097371733233</v>
      </c>
      <c r="O65" s="137">
        <f t="shared" si="18"/>
        <v>16776.69259874475</v>
      </c>
      <c r="P65" s="137">
        <f t="shared" si="18"/>
        <v>17392.66195066963</v>
      </c>
      <c r="Q65" s="137">
        <f t="shared" si="18"/>
        <v>15936.691055412388</v>
      </c>
      <c r="R65" s="137">
        <f t="shared" si="18"/>
        <v>14957.081103877206</v>
      </c>
      <c r="S65" s="137">
        <f t="shared" si="18"/>
        <v>17269.119231627345</v>
      </c>
      <c r="T65" s="137">
        <f t="shared" si="18"/>
        <v>18042.232129708995</v>
      </c>
      <c r="U65" s="137">
        <f t="shared" si="18"/>
        <v>19549.843817636454</v>
      </c>
      <c r="W65" s="404">
        <f>SUM(B65:U65)</f>
        <v>283284.67022785271</v>
      </c>
    </row>
    <row r="66" spans="1:23"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</row>
    <row r="67" spans="1:23">
      <c r="A67" s="68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</row>
    <row r="68" spans="1:23">
      <c r="A68" s="68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</row>
    <row r="69" spans="1:23" ht="18.75">
      <c r="A69" s="55" t="s">
        <v>191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r="70" spans="1:23">
      <c r="A70" s="57"/>
      <c r="B70" s="18"/>
      <c r="C70" s="18"/>
      <c r="D70" s="18"/>
      <c r="E70" s="18"/>
      <c r="F70" s="18"/>
      <c r="G70" s="138"/>
      <c r="H70" s="18"/>
      <c r="I70" s="18"/>
      <c r="J70" s="18"/>
      <c r="K70" s="18"/>
      <c r="L70" s="18"/>
      <c r="M70" s="138"/>
      <c r="N70" s="18"/>
      <c r="O70" s="18"/>
      <c r="P70" s="18"/>
      <c r="Q70" s="18"/>
      <c r="R70" s="18"/>
      <c r="S70" s="138"/>
      <c r="T70" s="18"/>
      <c r="U70" s="18"/>
    </row>
    <row r="71" spans="1:23">
      <c r="A71" s="226"/>
      <c r="B71" s="242">
        <v>3</v>
      </c>
      <c r="C71" s="242">
        <v>4</v>
      </c>
      <c r="D71" s="242">
        <v>5</v>
      </c>
      <c r="E71" s="243">
        <v>6</v>
      </c>
      <c r="F71" s="242">
        <v>7</v>
      </c>
      <c r="G71" s="242">
        <v>8</v>
      </c>
      <c r="H71" s="242">
        <v>9</v>
      </c>
      <c r="I71" s="242">
        <v>10</v>
      </c>
      <c r="J71" s="242">
        <v>11</v>
      </c>
      <c r="K71" s="243">
        <v>12</v>
      </c>
      <c r="L71" s="242">
        <v>13</v>
      </c>
      <c r="M71" s="242">
        <v>14</v>
      </c>
      <c r="N71" s="242">
        <v>15</v>
      </c>
      <c r="O71" s="242">
        <v>16</v>
      </c>
      <c r="P71" s="242">
        <v>17</v>
      </c>
      <c r="Q71" s="243">
        <v>18</v>
      </c>
      <c r="R71" s="242">
        <v>19</v>
      </c>
      <c r="S71" s="242">
        <v>20</v>
      </c>
      <c r="T71" s="242">
        <v>21</v>
      </c>
      <c r="U71" s="242">
        <v>22</v>
      </c>
    </row>
    <row r="72" spans="1:23" ht="13.5" thickBot="1">
      <c r="A72" s="194" t="s">
        <v>56</v>
      </c>
      <c r="B72" s="8">
        <v>2001</v>
      </c>
      <c r="C72" s="8">
        <v>2002</v>
      </c>
      <c r="D72" s="8">
        <v>2003</v>
      </c>
      <c r="E72" s="8">
        <v>2004</v>
      </c>
      <c r="F72" s="8">
        <v>2005</v>
      </c>
      <c r="G72" s="8">
        <v>2006</v>
      </c>
      <c r="H72" s="8">
        <v>2007</v>
      </c>
      <c r="I72" s="8">
        <v>2008</v>
      </c>
      <c r="J72" s="8">
        <v>2009</v>
      </c>
      <c r="K72" s="8">
        <v>2010</v>
      </c>
      <c r="L72" s="8">
        <v>2011</v>
      </c>
      <c r="M72" s="8">
        <v>2012</v>
      </c>
      <c r="N72" s="8">
        <v>2013</v>
      </c>
      <c r="O72" s="8">
        <v>2014</v>
      </c>
      <c r="P72" s="8">
        <v>2015</v>
      </c>
      <c r="Q72" s="8">
        <v>2016</v>
      </c>
      <c r="R72" s="8">
        <v>2017</v>
      </c>
      <c r="S72" s="8">
        <v>2018</v>
      </c>
      <c r="T72" s="8">
        <v>2019</v>
      </c>
      <c r="U72" s="8">
        <v>2020</v>
      </c>
    </row>
    <row r="73" spans="1:23">
      <c r="A73" s="226"/>
      <c r="B73" s="24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23">
      <c r="A74" s="226"/>
      <c r="B74" s="24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spans="1:23">
      <c r="A75" s="227" t="s">
        <v>183</v>
      </c>
      <c r="B75" s="24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23">
      <c r="A76" s="226"/>
      <c r="B76" s="24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spans="1:23">
      <c r="A77" s="57" t="s">
        <v>193</v>
      </c>
      <c r="B77" s="443">
        <f>Depreciation!C14</f>
        <v>154057.49736092513</v>
      </c>
      <c r="C77" s="443">
        <f>Depreciation!D14</f>
        <v>149292.83249409241</v>
      </c>
      <c r="D77" s="443">
        <f>Depreciation!E14</f>
        <v>144528.16762725968</v>
      </c>
      <c r="E77" s="443">
        <f>Depreciation!F14</f>
        <v>139763.50276042696</v>
      </c>
      <c r="F77" s="443">
        <f>Depreciation!G14</f>
        <v>134998.83789359423</v>
      </c>
      <c r="G77" s="443">
        <f>Depreciation!H14</f>
        <v>130234.17302676149</v>
      </c>
      <c r="H77" s="443">
        <f>Depreciation!I14</f>
        <v>125469.50815992875</v>
      </c>
      <c r="I77" s="443">
        <f>Depreciation!J14</f>
        <v>120704.84329309601</v>
      </c>
      <c r="J77" s="443">
        <f>Depreciation!K14</f>
        <v>115940.17842626327</v>
      </c>
      <c r="K77" s="443">
        <f>Depreciation!L14</f>
        <v>111175.51355943053</v>
      </c>
      <c r="L77" s="443">
        <f>Depreciation!M14</f>
        <v>106410.84869259779</v>
      </c>
      <c r="M77" s="443">
        <f>Depreciation!N14</f>
        <v>101646.18382576505</v>
      </c>
      <c r="N77" s="443">
        <f>Depreciation!O14</f>
        <v>96881.518958932313</v>
      </c>
      <c r="O77" s="443">
        <f>Depreciation!P14</f>
        <v>92116.854092099573</v>
      </c>
      <c r="P77" s="443">
        <f>Depreciation!Q14</f>
        <v>87352.189225266833</v>
      </c>
      <c r="Q77" s="443">
        <f>Depreciation!R14</f>
        <v>82587.524358434093</v>
      </c>
      <c r="R77" s="443">
        <f>Depreciation!S14</f>
        <v>77822.859491601354</v>
      </c>
      <c r="S77" s="443">
        <f>Depreciation!T14</f>
        <v>73058.194624768614</v>
      </c>
      <c r="T77" s="443">
        <f>Depreciation!U14</f>
        <v>68293.529757935874</v>
      </c>
      <c r="U77" s="443">
        <f>Depreciation!V14</f>
        <v>63528.864891103134</v>
      </c>
      <c r="W77" s="424">
        <f t="shared" ref="W77:W85" si="19">SUM(B77:U77)</f>
        <v>2175863.6225202829</v>
      </c>
    </row>
    <row r="78" spans="1:23">
      <c r="A78" s="7" t="s">
        <v>181</v>
      </c>
      <c r="B78" s="443">
        <f>'Summary Output'!$C$8*Allocation!$C$7</f>
        <v>72272.795440990885</v>
      </c>
      <c r="C78" s="443">
        <f>'Summary Output'!$C$8*Allocation!$C$7</f>
        <v>72272.795440990885</v>
      </c>
      <c r="D78" s="443">
        <f>'Summary Output'!$C$8*Allocation!$C$7</f>
        <v>72272.795440990885</v>
      </c>
      <c r="E78" s="443">
        <f>'Summary Output'!$C$8*Allocation!$C$7</f>
        <v>72272.795440990885</v>
      </c>
      <c r="F78" s="443">
        <f>'Summary Output'!$C$8*Allocation!$C$7</f>
        <v>72272.795440990885</v>
      </c>
      <c r="G78" s="443">
        <f>'Summary Output'!$C$8*Allocation!$C$7</f>
        <v>72272.795440990885</v>
      </c>
      <c r="H78" s="443">
        <f>'Summary Output'!$C$8*Allocation!$C$7</f>
        <v>72272.795440990885</v>
      </c>
      <c r="I78" s="443">
        <f>'Summary Output'!$C$8*Allocation!$C$7</f>
        <v>72272.795440990885</v>
      </c>
      <c r="J78" s="443">
        <f>'Summary Output'!$C$8*Allocation!$C$7</f>
        <v>72272.795440990885</v>
      </c>
      <c r="K78" s="443">
        <f>'Summary Output'!$C$8*Allocation!$C$7</f>
        <v>72272.795440990885</v>
      </c>
      <c r="L78" s="443">
        <f>'Summary Output'!$C$8*Allocation!$C$7</f>
        <v>72272.795440990885</v>
      </c>
      <c r="M78" s="443">
        <f>'Summary Output'!$C$8*Allocation!$C$7</f>
        <v>72272.795440990885</v>
      </c>
      <c r="N78" s="443">
        <f>'Summary Output'!$C$8*Allocation!$C$7</f>
        <v>72272.795440990885</v>
      </c>
      <c r="O78" s="443">
        <f>'Summary Output'!$C$8*Allocation!$C$7</f>
        <v>72272.795440990885</v>
      </c>
      <c r="P78" s="443">
        <f>'Summary Output'!$C$8*Allocation!$C$7</f>
        <v>72272.795440990885</v>
      </c>
      <c r="Q78" s="443">
        <f>'Summary Output'!$C$8*Allocation!$C$7</f>
        <v>72272.795440990885</v>
      </c>
      <c r="R78" s="443">
        <f>'Summary Output'!$C$8*Allocation!$C$7</f>
        <v>72272.795440990885</v>
      </c>
      <c r="S78" s="443">
        <f>'Summary Output'!$C$8*Allocation!$C$7</f>
        <v>72272.795440990885</v>
      </c>
      <c r="T78" s="443">
        <f>'Summary Output'!$C$8*Allocation!$C$7</f>
        <v>72272.795440990885</v>
      </c>
      <c r="U78" s="443">
        <f>'Summary Output'!$C$8*Allocation!$C$7</f>
        <v>72272.795440990885</v>
      </c>
      <c r="W78" s="424">
        <f t="shared" si="19"/>
        <v>1445455.9088198184</v>
      </c>
    </row>
    <row r="79" spans="1:23">
      <c r="A79" s="447" t="s">
        <v>279</v>
      </c>
      <c r="B79" s="444">
        <f>B45-B65-B12*(Assumptions!$C$39+(1-Assumptions!$C$39)*Assumptions!$C$38)</f>
        <v>-1501.3447870640566</v>
      </c>
      <c r="C79" s="444">
        <f>C45-C65-C12*(Assumptions!$C$39+(1-Assumptions!$C$39)*Assumptions!$C$38)+B79</f>
        <v>-2855.0539502961383</v>
      </c>
      <c r="D79" s="444">
        <f>D45-D65-D12*(Assumptions!$C$39+(1-Assumptions!$C$39)*Assumptions!$C$38)+C79</f>
        <v>-4048.1521751330247</v>
      </c>
      <c r="E79" s="444">
        <f t="shared" ref="E79:U79" si="20">E45-E65+D79</f>
        <v>-12189.512646028757</v>
      </c>
      <c r="F79" s="444">
        <f t="shared" si="20"/>
        <v>-19152.63438581712</v>
      </c>
      <c r="G79" s="444">
        <f t="shared" si="20"/>
        <v>-21605.251310630229</v>
      </c>
      <c r="H79" s="444">
        <f t="shared" si="20"/>
        <v>-23506.546300081351</v>
      </c>
      <c r="I79" s="444">
        <f t="shared" si="20"/>
        <v>-24734.813508587969</v>
      </c>
      <c r="J79" s="444">
        <f t="shared" si="20"/>
        <v>-25398.418540689345</v>
      </c>
      <c r="K79" s="444">
        <f t="shared" si="20"/>
        <v>-25200.606672330949</v>
      </c>
      <c r="L79" s="444">
        <f t="shared" si="20"/>
        <v>-24403.344256791621</v>
      </c>
      <c r="M79" s="444">
        <f t="shared" si="20"/>
        <v>-23601.950215166107</v>
      </c>
      <c r="N79" s="444">
        <f t="shared" si="20"/>
        <v>-22809.68734784241</v>
      </c>
      <c r="O79" s="444">
        <f t="shared" si="20"/>
        <v>-22034.699893876033</v>
      </c>
      <c r="P79" s="444">
        <f t="shared" si="20"/>
        <v>-20958.239960570496</v>
      </c>
      <c r="Q79" s="444">
        <f t="shared" si="20"/>
        <v>-17579.937581463775</v>
      </c>
      <c r="R79" s="444">
        <f t="shared" si="20"/>
        <v>-12340.843667622879</v>
      </c>
      <c r="S79" s="444">
        <f t="shared" si="20"/>
        <v>-8561.1082330269837</v>
      </c>
      <c r="T79" s="444">
        <f t="shared" si="20"/>
        <v>-4773.4401271749575</v>
      </c>
      <c r="U79" s="444">
        <f t="shared" si="20"/>
        <v>-1704.3025253196301</v>
      </c>
      <c r="W79" s="424">
        <f t="shared" si="19"/>
        <v>-318959.88808551384</v>
      </c>
    </row>
    <row r="80" spans="1:23">
      <c r="A80" s="447" t="s">
        <v>188</v>
      </c>
      <c r="B80" s="445">
        <f>Debt!B73*Allocation!$E$7</f>
        <v>111094.78745351192</v>
      </c>
      <c r="C80" s="445">
        <f>Debt!C73*Allocation!$E$7</f>
        <v>108527.7953181198</v>
      </c>
      <c r="D80" s="445">
        <f>Debt!D73*Allocation!$E$7</f>
        <v>105767.79625525458</v>
      </c>
      <c r="E80" s="445">
        <f>Debt!E73*Allocation!$E$7</f>
        <v>103011.65733093882</v>
      </c>
      <c r="F80" s="445">
        <f>Debt!F73*Allocation!$E$7</f>
        <v>99217.913164527723</v>
      </c>
      <c r="G80" s="445">
        <f>Debt!G73*Allocation!$E$7</f>
        <v>94905.366377068945</v>
      </c>
      <c r="H80" s="445">
        <f>Debt!H73*Allocation!$E$7</f>
        <v>90203.717623824414</v>
      </c>
      <c r="I80" s="445">
        <f>Debt!I73*Allocation!$E$7</f>
        <v>84853.565594270302</v>
      </c>
      <c r="J80" s="445">
        <f>Debt!J73*Allocation!$E$7</f>
        <v>78984.610943668507</v>
      </c>
      <c r="K80" s="445">
        <f>Debt!K73*Allocation!$E$7</f>
        <v>72242.492953178444</v>
      </c>
      <c r="L80" s="445">
        <f>Debt!L73*Allocation!$E$7</f>
        <v>64908.229709200939</v>
      </c>
      <c r="M80" s="445">
        <f>Debt!M73*Allocation!$E$7</f>
        <v>57573.966465223435</v>
      </c>
      <c r="N80" s="445">
        <f>Debt!N73*Allocation!$E$7</f>
        <v>50239.703221245923</v>
      </c>
      <c r="O80" s="445">
        <f>Debt!O73*Allocation!$E$7</f>
        <v>42905.439977268419</v>
      </c>
      <c r="P80" s="445">
        <f>Debt!P73*Allocation!$E$7</f>
        <v>35204.463571092034</v>
      </c>
      <c r="Q80" s="445">
        <f>Debt!Q73*Allocation!$E$7</f>
        <v>27136.774002716778</v>
      </c>
      <c r="R80" s="445">
        <f>Debt!R73*Allocation!$E$7</f>
        <v>19069.084434341519</v>
      </c>
      <c r="S80" s="445">
        <f>Debt!S73*Allocation!$E$7</f>
        <v>12468.247514761762</v>
      </c>
      <c r="T80" s="445">
        <f>Debt!T73*Allocation!$E$7</f>
        <v>5867.4105951820056</v>
      </c>
      <c r="U80" s="445">
        <f>Debt!U73*Allocation!$E$7</f>
        <v>-6.1789649835671744E-12</v>
      </c>
      <c r="W80" s="424">
        <f t="shared" si="19"/>
        <v>1264183.0225053965</v>
      </c>
    </row>
    <row r="81" spans="1:44">
      <c r="A81" s="57" t="s">
        <v>194</v>
      </c>
      <c r="B81" s="446">
        <f>SUM(B78:B80)</f>
        <v>181866.23810743875</v>
      </c>
      <c r="C81" s="446">
        <f t="shared" ref="C81:U81" si="21">SUM(C78:C80)</f>
        <v>177945.53680881456</v>
      </c>
      <c r="D81" s="446">
        <f t="shared" si="21"/>
        <v>173992.43952111242</v>
      </c>
      <c r="E81" s="446">
        <f t="shared" si="21"/>
        <v>163094.94012590096</v>
      </c>
      <c r="F81" s="446">
        <f t="shared" si="21"/>
        <v>152338.07421970149</v>
      </c>
      <c r="G81" s="446">
        <f t="shared" si="21"/>
        <v>145572.91050742959</v>
      </c>
      <c r="H81" s="446">
        <f t="shared" si="21"/>
        <v>138969.96676473395</v>
      </c>
      <c r="I81" s="446">
        <f t="shared" si="21"/>
        <v>132391.54752667321</v>
      </c>
      <c r="J81" s="446">
        <f t="shared" si="21"/>
        <v>125858.98784397004</v>
      </c>
      <c r="K81" s="446">
        <f t="shared" si="21"/>
        <v>119314.68172183838</v>
      </c>
      <c r="L81" s="446">
        <f t="shared" si="21"/>
        <v>112777.6808934002</v>
      </c>
      <c r="M81" s="446">
        <f t="shared" si="21"/>
        <v>106244.81169104821</v>
      </c>
      <c r="N81" s="446">
        <f t="shared" si="21"/>
        <v>99702.811314394407</v>
      </c>
      <c r="O81" s="446">
        <f t="shared" si="21"/>
        <v>93143.535524383275</v>
      </c>
      <c r="P81" s="446">
        <f t="shared" si="21"/>
        <v>86519.019051512412</v>
      </c>
      <c r="Q81" s="446">
        <f t="shared" si="21"/>
        <v>81829.631862243885</v>
      </c>
      <c r="R81" s="446">
        <f t="shared" si="21"/>
        <v>79001.03620770952</v>
      </c>
      <c r="S81" s="446">
        <f t="shared" si="21"/>
        <v>76179.934722725666</v>
      </c>
      <c r="T81" s="446">
        <f t="shared" si="21"/>
        <v>73366.765908997942</v>
      </c>
      <c r="U81" s="446">
        <f t="shared" si="21"/>
        <v>70568.492915671261</v>
      </c>
      <c r="W81" s="424">
        <f t="shared" si="19"/>
        <v>2390679.0432397006</v>
      </c>
    </row>
    <row r="82" spans="1:44">
      <c r="A82" s="226"/>
      <c r="B82" s="446"/>
      <c r="C82" s="446"/>
      <c r="D82" s="446"/>
      <c r="E82" s="446"/>
      <c r="F82" s="446"/>
      <c r="G82" s="446"/>
      <c r="H82" s="446"/>
      <c r="I82" s="446"/>
      <c r="J82" s="446"/>
      <c r="K82" s="446"/>
      <c r="L82" s="446"/>
      <c r="M82" s="446"/>
      <c r="N82" s="446"/>
      <c r="O82" s="446"/>
      <c r="P82" s="446"/>
      <c r="Q82" s="446"/>
      <c r="R82" s="446"/>
      <c r="S82" s="446"/>
      <c r="T82" s="446"/>
      <c r="U82" s="446"/>
      <c r="W82" s="424">
        <f t="shared" si="19"/>
        <v>0</v>
      </c>
    </row>
    <row r="83" spans="1:44">
      <c r="A83" s="57" t="s">
        <v>219</v>
      </c>
      <c r="B83" s="446">
        <f>MAX(B81,B77)</f>
        <v>181866.23810743875</v>
      </c>
      <c r="C83" s="446">
        <f t="shared" ref="C83:U83" si="22">MAX(C81,C77)</f>
        <v>177945.53680881456</v>
      </c>
      <c r="D83" s="446">
        <f t="shared" si="22"/>
        <v>173992.43952111242</v>
      </c>
      <c r="E83" s="446">
        <f t="shared" si="22"/>
        <v>163094.94012590096</v>
      </c>
      <c r="F83" s="446">
        <f t="shared" si="22"/>
        <v>152338.07421970149</v>
      </c>
      <c r="G83" s="446">
        <f t="shared" si="22"/>
        <v>145572.91050742959</v>
      </c>
      <c r="H83" s="446">
        <f t="shared" si="22"/>
        <v>138969.96676473395</v>
      </c>
      <c r="I83" s="446">
        <f t="shared" si="22"/>
        <v>132391.54752667321</v>
      </c>
      <c r="J83" s="446">
        <f t="shared" si="22"/>
        <v>125858.98784397004</v>
      </c>
      <c r="K83" s="446">
        <f t="shared" si="22"/>
        <v>119314.68172183838</v>
      </c>
      <c r="L83" s="446">
        <f t="shared" si="22"/>
        <v>112777.6808934002</v>
      </c>
      <c r="M83" s="446">
        <f t="shared" si="22"/>
        <v>106244.81169104821</v>
      </c>
      <c r="N83" s="446">
        <f t="shared" si="22"/>
        <v>99702.811314394407</v>
      </c>
      <c r="O83" s="446">
        <f t="shared" si="22"/>
        <v>93143.535524383275</v>
      </c>
      <c r="P83" s="446">
        <f t="shared" si="22"/>
        <v>87352.189225266833</v>
      </c>
      <c r="Q83" s="446">
        <f t="shared" si="22"/>
        <v>82587.524358434093</v>
      </c>
      <c r="R83" s="446">
        <f t="shared" si="22"/>
        <v>79001.03620770952</v>
      </c>
      <c r="S83" s="446">
        <f t="shared" si="22"/>
        <v>76179.934722725666</v>
      </c>
      <c r="T83" s="446">
        <f t="shared" si="22"/>
        <v>73366.765908997942</v>
      </c>
      <c r="U83" s="446">
        <f t="shared" si="22"/>
        <v>70568.492915671261</v>
      </c>
      <c r="W83" s="424">
        <f t="shared" si="19"/>
        <v>2392270.1059096451</v>
      </c>
    </row>
    <row r="84" spans="1:44">
      <c r="A84" s="447" t="s">
        <v>184</v>
      </c>
      <c r="B84" s="449">
        <f>Assumptions!$C$42</f>
        <v>2.5000000000000001E-3</v>
      </c>
      <c r="C84" s="449">
        <f>Assumptions!$C$43</f>
        <v>2.5000000000000001E-3</v>
      </c>
      <c r="D84" s="449">
        <f>Assumptions!$C$43</f>
        <v>2.5000000000000001E-3</v>
      </c>
      <c r="E84" s="449">
        <f>Assumptions!$C$43</f>
        <v>2.5000000000000001E-3</v>
      </c>
      <c r="F84" s="449">
        <f>Assumptions!$C$43</f>
        <v>2.5000000000000001E-3</v>
      </c>
      <c r="G84" s="449">
        <f>Assumptions!$C$43</f>
        <v>2.5000000000000001E-3</v>
      </c>
      <c r="H84" s="449">
        <f>Assumptions!$C$43</f>
        <v>2.5000000000000001E-3</v>
      </c>
      <c r="I84" s="449">
        <f>Assumptions!$C$43</f>
        <v>2.5000000000000001E-3</v>
      </c>
      <c r="J84" s="449">
        <f>Assumptions!$C$43</f>
        <v>2.5000000000000001E-3</v>
      </c>
      <c r="K84" s="449">
        <f>Assumptions!$C$43</f>
        <v>2.5000000000000001E-3</v>
      </c>
      <c r="L84" s="449">
        <f>Assumptions!$C$43</f>
        <v>2.5000000000000001E-3</v>
      </c>
      <c r="M84" s="449">
        <f>Assumptions!$C$43</f>
        <v>2.5000000000000001E-3</v>
      </c>
      <c r="N84" s="449">
        <f>Assumptions!$C$43</f>
        <v>2.5000000000000001E-3</v>
      </c>
      <c r="O84" s="449">
        <f>Assumptions!$C$43</f>
        <v>2.5000000000000001E-3</v>
      </c>
      <c r="P84" s="449">
        <f>Assumptions!$C$43</f>
        <v>2.5000000000000001E-3</v>
      </c>
      <c r="Q84" s="449">
        <f>Assumptions!$C$43</f>
        <v>2.5000000000000001E-3</v>
      </c>
      <c r="R84" s="449">
        <f>Assumptions!$C$43</f>
        <v>2.5000000000000001E-3</v>
      </c>
      <c r="S84" s="449">
        <f>Assumptions!$C$43</f>
        <v>2.5000000000000001E-3</v>
      </c>
      <c r="T84" s="449">
        <f>Assumptions!$C$43</f>
        <v>2.5000000000000001E-3</v>
      </c>
      <c r="U84" s="449">
        <f>Assumptions!$C$43</f>
        <v>2.5000000000000001E-3</v>
      </c>
      <c r="W84" s="424"/>
    </row>
    <row r="85" spans="1:44">
      <c r="A85" s="226" t="s">
        <v>185</v>
      </c>
      <c r="B85" s="465">
        <v>448.52782570999369</v>
      </c>
      <c r="C85" s="465">
        <v>434.65583110040632</v>
      </c>
      <c r="D85" s="465">
        <v>420.78383649081889</v>
      </c>
      <c r="E85" s="465">
        <v>406.91184188123145</v>
      </c>
      <c r="F85" s="465">
        <v>393.03984727164402</v>
      </c>
      <c r="G85" s="465">
        <v>379.16785266205665</v>
      </c>
      <c r="H85" s="465">
        <v>365.29585805246921</v>
      </c>
      <c r="I85" s="465">
        <v>351.42386344288178</v>
      </c>
      <c r="J85" s="465">
        <v>337.55186883329435</v>
      </c>
      <c r="K85" s="465">
        <v>323.67987422370692</v>
      </c>
      <c r="L85" s="465">
        <v>309.80787961411954</v>
      </c>
      <c r="M85" s="465">
        <v>295.93588500453211</v>
      </c>
      <c r="N85" s="465">
        <v>282.06389039494468</v>
      </c>
      <c r="O85" s="465">
        <v>268.19189578535725</v>
      </c>
      <c r="P85" s="465">
        <v>254.31990117576984</v>
      </c>
      <c r="Q85" s="465">
        <v>240.44790656618244</v>
      </c>
      <c r="R85" s="465">
        <v>226.57591195659501</v>
      </c>
      <c r="S85" s="465">
        <v>212.7039173470076</v>
      </c>
      <c r="T85" s="465">
        <v>198.83192273742017</v>
      </c>
      <c r="U85" s="465">
        <v>184.95992812783277</v>
      </c>
      <c r="W85" s="424">
        <f t="shared" si="19"/>
        <v>6334.8775383782631</v>
      </c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>
      <c r="A86" s="447"/>
      <c r="B86" s="443"/>
      <c r="C86" s="448"/>
      <c r="D86" s="448"/>
      <c r="E86" s="448"/>
      <c r="F86" s="448"/>
      <c r="G86" s="448"/>
      <c r="H86" s="448"/>
      <c r="I86" s="448"/>
      <c r="J86" s="448"/>
      <c r="K86" s="448"/>
      <c r="L86" s="448"/>
      <c r="M86" s="448"/>
      <c r="N86" s="448"/>
      <c r="O86" s="448"/>
      <c r="P86" s="448"/>
      <c r="Q86" s="448"/>
      <c r="R86" s="448"/>
      <c r="S86" s="448"/>
      <c r="T86" s="448"/>
      <c r="U86" s="448"/>
    </row>
    <row r="87" spans="1:44">
      <c r="A87" s="226"/>
      <c r="B87" s="24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spans="1:44">
      <c r="A88" s="227" t="s">
        <v>83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</row>
    <row r="89" spans="1:44">
      <c r="A89" s="22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</row>
    <row r="90" spans="1:44">
      <c r="A90" s="21" t="s">
        <v>277</v>
      </c>
      <c r="B90" s="20">
        <f>B40-B12</f>
        <v>2247.4058170189073</v>
      </c>
      <c r="C90" s="20">
        <f>C40-C12</f>
        <v>2334.1930533997802</v>
      </c>
      <c r="D90" s="20">
        <f>D40-D12</f>
        <v>2546.0079353480924</v>
      </c>
      <c r="E90" s="20">
        <f t="shared" ref="E90:U90" si="23">E40</f>
        <v>15822.811120130293</v>
      </c>
      <c r="F90" s="20">
        <f t="shared" si="23"/>
        <v>17893.774774761718</v>
      </c>
      <c r="G90" s="20">
        <f t="shared" si="23"/>
        <v>18739.221944049405</v>
      </c>
      <c r="H90" s="20">
        <f t="shared" si="23"/>
        <v>19641.845881922167</v>
      </c>
      <c r="I90" s="20">
        <f t="shared" si="23"/>
        <v>20570.608797318397</v>
      </c>
      <c r="J90" s="20">
        <f t="shared" si="23"/>
        <v>21625.952625943384</v>
      </c>
      <c r="K90" s="20">
        <f t="shared" si="23"/>
        <v>22753.146029713385</v>
      </c>
      <c r="L90" s="20">
        <f t="shared" si="23"/>
        <v>24164.267909003036</v>
      </c>
      <c r="M90" s="20">
        <f t="shared" si="23"/>
        <v>25653.246526012641</v>
      </c>
      <c r="N90" s="20">
        <f t="shared" si="23"/>
        <v>27193.715612204465</v>
      </c>
      <c r="O90" s="20">
        <f t="shared" si="23"/>
        <v>28726.153932424102</v>
      </c>
      <c r="P90" s="20">
        <f t="shared" si="23"/>
        <v>30227.695391121382</v>
      </c>
      <c r="Q90" s="20">
        <f t="shared" si="23"/>
        <v>31612.100547494443</v>
      </c>
      <c r="R90" s="20">
        <f t="shared" si="23"/>
        <v>33054.296264677745</v>
      </c>
      <c r="S90" s="20">
        <f t="shared" si="23"/>
        <v>34449.843970905466</v>
      </c>
      <c r="T90" s="20">
        <f t="shared" si="23"/>
        <v>35728.150958365004</v>
      </c>
      <c r="U90" s="20">
        <f t="shared" si="23"/>
        <v>37019.60952453647</v>
      </c>
      <c r="W90" s="424">
        <f>SUM(B90:U90)</f>
        <v>452004.04861635022</v>
      </c>
    </row>
    <row r="91" spans="1:44">
      <c r="A91" s="21" t="s">
        <v>133</v>
      </c>
      <c r="B91" s="20">
        <f>B34</f>
        <v>4764.6648668327362</v>
      </c>
      <c r="C91" s="20">
        <f t="shared" ref="C91:U91" si="24">C34</f>
        <v>4764.6648668327362</v>
      </c>
      <c r="D91" s="20">
        <f t="shared" si="24"/>
        <v>4764.6648668327362</v>
      </c>
      <c r="E91" s="20">
        <f t="shared" si="24"/>
        <v>4764.6648668327362</v>
      </c>
      <c r="F91" s="20">
        <f t="shared" si="24"/>
        <v>4764.6648668327362</v>
      </c>
      <c r="G91" s="20">
        <f t="shared" si="24"/>
        <v>4764.6648668327362</v>
      </c>
      <c r="H91" s="20">
        <f t="shared" si="24"/>
        <v>4764.6648668327362</v>
      </c>
      <c r="I91" s="20">
        <f t="shared" si="24"/>
        <v>4764.6648668327362</v>
      </c>
      <c r="J91" s="20">
        <f t="shared" si="24"/>
        <v>4764.6648668327362</v>
      </c>
      <c r="K91" s="20">
        <f t="shared" si="24"/>
        <v>4764.6648668327362</v>
      </c>
      <c r="L91" s="20">
        <f t="shared" si="24"/>
        <v>4764.6648668327362</v>
      </c>
      <c r="M91" s="20">
        <f t="shared" si="24"/>
        <v>4764.6648668327362</v>
      </c>
      <c r="N91" s="20">
        <f t="shared" si="24"/>
        <v>4764.6648668327362</v>
      </c>
      <c r="O91" s="20">
        <f t="shared" si="24"/>
        <v>4764.6648668327362</v>
      </c>
      <c r="P91" s="20">
        <f t="shared" si="24"/>
        <v>4764.6648668327362</v>
      </c>
      <c r="Q91" s="20">
        <f t="shared" si="24"/>
        <v>4764.6648668327362</v>
      </c>
      <c r="R91" s="20">
        <f t="shared" si="24"/>
        <v>4764.6648668327362</v>
      </c>
      <c r="S91" s="20">
        <f t="shared" si="24"/>
        <v>4764.6648668327362</v>
      </c>
      <c r="T91" s="20">
        <f t="shared" si="24"/>
        <v>4764.6648668327362</v>
      </c>
      <c r="U91" s="20">
        <f t="shared" si="24"/>
        <v>4764.6648668327362</v>
      </c>
      <c r="W91" s="424">
        <f>SUM(B91:U91)</f>
        <v>95293.297336654767</v>
      </c>
    </row>
    <row r="92" spans="1:44" ht="15">
      <c r="A92" s="21" t="s">
        <v>203</v>
      </c>
      <c r="B92" s="230">
        <f>-Depreciation!C69</f>
        <v>-6723.5644181574626</v>
      </c>
      <c r="C92" s="230">
        <f>-Depreciation!D69</f>
        <v>-12774.772394499178</v>
      </c>
      <c r="D92" s="230">
        <f>-Depreciation!E69</f>
        <v>-11497.295155049262</v>
      </c>
      <c r="E92" s="230">
        <f>-Depreciation!F69</f>
        <v>-10354.289203962491</v>
      </c>
      <c r="F92" s="230">
        <f>-Depreciation!G69</f>
        <v>-9318.8602835662423</v>
      </c>
      <c r="G92" s="230">
        <f>-Depreciation!H69</f>
        <v>-8377.5612650241983</v>
      </c>
      <c r="H92" s="230">
        <f>-Depreciation!I69</f>
        <v>-7933.8060134258048</v>
      </c>
      <c r="I92" s="230">
        <f>-Depreciation!J69</f>
        <v>-7947.2531422621205</v>
      </c>
      <c r="J92" s="230">
        <f>-Depreciation!K69</f>
        <v>-7933.8060134258048</v>
      </c>
      <c r="K92" s="230">
        <f>-Depreciation!L69</f>
        <v>-7947.2531422621205</v>
      </c>
      <c r="L92" s="230">
        <f>-Depreciation!M69</f>
        <v>-7933.8060134258048</v>
      </c>
      <c r="M92" s="230">
        <f>-Depreciation!N69</f>
        <v>-7947.2531422621205</v>
      </c>
      <c r="N92" s="230">
        <f>-Depreciation!O69</f>
        <v>-7933.8060134258048</v>
      </c>
      <c r="O92" s="230">
        <f>-Depreciation!P69</f>
        <v>-7947.2531422621205</v>
      </c>
      <c r="P92" s="230">
        <f>-Depreciation!Q69</f>
        <v>-7933.8060134258048</v>
      </c>
      <c r="Q92" s="230">
        <f>-Depreciation!R69</f>
        <v>-3966.9030067129024</v>
      </c>
      <c r="R92" s="230">
        <f>-Depreciation!S69</f>
        <v>0</v>
      </c>
      <c r="S92" s="230">
        <f>-Depreciation!T69</f>
        <v>0</v>
      </c>
      <c r="T92" s="230">
        <f>-Depreciation!U69</f>
        <v>0</v>
      </c>
      <c r="U92" s="230">
        <f>-Depreciation!V69</f>
        <v>0</v>
      </c>
      <c r="W92" s="425">
        <f>SUM(B92:U92)</f>
        <v>-134471.28836314924</v>
      </c>
    </row>
    <row r="93" spans="1:44">
      <c r="A93" s="229" t="s">
        <v>132</v>
      </c>
      <c r="B93" s="22">
        <f t="shared" ref="B93:U93" si="25">SUM(B90:B92)</f>
        <v>288.50626569418091</v>
      </c>
      <c r="C93" s="22">
        <f t="shared" si="25"/>
        <v>-5675.9144742666613</v>
      </c>
      <c r="D93" s="22">
        <f t="shared" si="25"/>
        <v>-4186.6223528684332</v>
      </c>
      <c r="E93" s="22">
        <f t="shared" si="25"/>
        <v>10233.186783000538</v>
      </c>
      <c r="F93" s="22">
        <f t="shared" si="25"/>
        <v>13339.579358028212</v>
      </c>
      <c r="G93" s="22">
        <f t="shared" si="25"/>
        <v>15126.325545857942</v>
      </c>
      <c r="H93" s="22">
        <f t="shared" si="25"/>
        <v>16472.704735329098</v>
      </c>
      <c r="I93" s="22">
        <f t="shared" si="25"/>
        <v>17388.020521889011</v>
      </c>
      <c r="J93" s="22">
        <f t="shared" si="25"/>
        <v>18456.811479350315</v>
      </c>
      <c r="K93" s="22">
        <f t="shared" si="25"/>
        <v>19570.557754284</v>
      </c>
      <c r="L93" s="22">
        <f t="shared" si="25"/>
        <v>20995.126762409967</v>
      </c>
      <c r="M93" s="22">
        <f t="shared" si="25"/>
        <v>22470.658250583256</v>
      </c>
      <c r="N93" s="22">
        <f t="shared" si="25"/>
        <v>24024.574465611397</v>
      </c>
      <c r="O93" s="22">
        <f t="shared" si="25"/>
        <v>25543.56565699472</v>
      </c>
      <c r="P93" s="22">
        <f t="shared" si="25"/>
        <v>27058.554244528314</v>
      </c>
      <c r="Q93" s="22">
        <f t="shared" si="25"/>
        <v>32409.862407614277</v>
      </c>
      <c r="R93" s="22">
        <f t="shared" si="25"/>
        <v>37818.961131510485</v>
      </c>
      <c r="S93" s="22">
        <f t="shared" si="25"/>
        <v>39214.508837738205</v>
      </c>
      <c r="T93" s="22">
        <f t="shared" si="25"/>
        <v>40492.815825197744</v>
      </c>
      <c r="U93" s="22">
        <f t="shared" si="25"/>
        <v>41784.27439136921</v>
      </c>
      <c r="W93" s="424">
        <f>SUM(B93:U93)</f>
        <v>412826.05758985574</v>
      </c>
    </row>
    <row r="94" spans="1:44">
      <c r="A94" s="21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44">
      <c r="A95" s="21" t="s">
        <v>39</v>
      </c>
      <c r="B95" s="422">
        <f>Assumptions!$C$39</f>
        <v>0.06</v>
      </c>
      <c r="C95" s="422">
        <f>Assumptions!$C$39</f>
        <v>0.06</v>
      </c>
      <c r="D95" s="422">
        <f>Assumptions!$C$39</f>
        <v>0.06</v>
      </c>
      <c r="E95" s="422">
        <f>Assumptions!$C$39</f>
        <v>0.06</v>
      </c>
      <c r="F95" s="422">
        <f>Assumptions!$C$39</f>
        <v>0.06</v>
      </c>
      <c r="G95" s="422">
        <f>Assumptions!$C$39</f>
        <v>0.06</v>
      </c>
      <c r="H95" s="422">
        <f>Assumptions!$C$39</f>
        <v>0.06</v>
      </c>
      <c r="I95" s="422">
        <f>Assumptions!$C$39</f>
        <v>0.06</v>
      </c>
      <c r="J95" s="422">
        <f>Assumptions!$C$39</f>
        <v>0.06</v>
      </c>
      <c r="K95" s="422">
        <f>Assumptions!$C$39</f>
        <v>0.06</v>
      </c>
      <c r="L95" s="422">
        <f>Assumptions!$C$39</f>
        <v>0.06</v>
      </c>
      <c r="M95" s="422">
        <f>Assumptions!$C$39</f>
        <v>0.06</v>
      </c>
      <c r="N95" s="422">
        <f>Assumptions!$C$39</f>
        <v>0.06</v>
      </c>
      <c r="O95" s="422">
        <f>Assumptions!$C$39</f>
        <v>0.06</v>
      </c>
      <c r="P95" s="422">
        <f>Assumptions!$C$39</f>
        <v>0.06</v>
      </c>
      <c r="Q95" s="422">
        <f>Assumptions!$C$39</f>
        <v>0.06</v>
      </c>
      <c r="R95" s="422">
        <f>Assumptions!$C$39</f>
        <v>0.06</v>
      </c>
      <c r="S95" s="422">
        <f>Assumptions!$C$39</f>
        <v>0.06</v>
      </c>
      <c r="T95" s="422">
        <f>Assumptions!$C$39</f>
        <v>0.06</v>
      </c>
      <c r="U95" s="422">
        <f>Assumptions!$C$39</f>
        <v>0.06</v>
      </c>
    </row>
    <row r="96" spans="1:44">
      <c r="A96" s="21" t="s">
        <v>134</v>
      </c>
      <c r="B96" s="20">
        <f>B93*B95</f>
        <v>17.310375941650854</v>
      </c>
      <c r="C96" s="20">
        <f t="shared" ref="C96:U96" si="26">C93*C95</f>
        <v>-340.55486845599967</v>
      </c>
      <c r="D96" s="20">
        <f t="shared" si="26"/>
        <v>-251.19734117210598</v>
      </c>
      <c r="E96" s="20">
        <f t="shared" si="26"/>
        <v>613.99120698003219</v>
      </c>
      <c r="F96" s="20">
        <f t="shared" si="26"/>
        <v>800.37476148169264</v>
      </c>
      <c r="G96" s="20">
        <f t="shared" si="26"/>
        <v>907.57953275147656</v>
      </c>
      <c r="H96" s="20">
        <f t="shared" si="26"/>
        <v>988.36228411974582</v>
      </c>
      <c r="I96" s="20">
        <f t="shared" si="26"/>
        <v>1043.2812313133406</v>
      </c>
      <c r="J96" s="20">
        <f t="shared" si="26"/>
        <v>1107.408688761019</v>
      </c>
      <c r="K96" s="20">
        <f t="shared" si="26"/>
        <v>1174.2334652570401</v>
      </c>
      <c r="L96" s="20">
        <f t="shared" si="26"/>
        <v>1259.7076057445979</v>
      </c>
      <c r="M96" s="20">
        <f t="shared" si="26"/>
        <v>1348.2394950349953</v>
      </c>
      <c r="N96" s="20">
        <f t="shared" si="26"/>
        <v>1441.4744679366838</v>
      </c>
      <c r="O96" s="20">
        <f t="shared" si="26"/>
        <v>1532.6139394196832</v>
      </c>
      <c r="P96" s="20">
        <f t="shared" si="26"/>
        <v>1623.5132546716989</v>
      </c>
      <c r="Q96" s="20">
        <f t="shared" si="26"/>
        <v>1944.5917444568565</v>
      </c>
      <c r="R96" s="20">
        <f t="shared" si="26"/>
        <v>2269.137667890629</v>
      </c>
      <c r="S96" s="20">
        <f t="shared" si="26"/>
        <v>2352.870530264292</v>
      </c>
      <c r="T96" s="20">
        <f t="shared" si="26"/>
        <v>2429.5689495118645</v>
      </c>
      <c r="U96" s="20">
        <f t="shared" si="26"/>
        <v>2507.0564634821526</v>
      </c>
    </row>
    <row r="97" spans="1:23">
      <c r="A97" s="21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</row>
    <row r="98" spans="1:23">
      <c r="A98" s="21" t="s">
        <v>135</v>
      </c>
      <c r="B98" s="20">
        <v>0</v>
      </c>
      <c r="C98" s="20">
        <f t="shared" ref="C98:U98" si="27">B102</f>
        <v>0</v>
      </c>
      <c r="D98" s="20">
        <f t="shared" si="27"/>
        <v>340.55486845599967</v>
      </c>
      <c r="E98" s="20">
        <f t="shared" si="27"/>
        <v>591.75220962810567</v>
      </c>
      <c r="F98" s="20">
        <f t="shared" si="27"/>
        <v>0</v>
      </c>
      <c r="G98" s="20">
        <f t="shared" si="27"/>
        <v>0</v>
      </c>
      <c r="H98" s="20">
        <f t="shared" si="27"/>
        <v>0</v>
      </c>
      <c r="I98" s="20">
        <f t="shared" si="27"/>
        <v>0</v>
      </c>
      <c r="J98" s="20">
        <f t="shared" si="27"/>
        <v>0</v>
      </c>
      <c r="K98" s="20">
        <f t="shared" si="27"/>
        <v>0</v>
      </c>
      <c r="L98" s="20">
        <f t="shared" si="27"/>
        <v>0</v>
      </c>
      <c r="M98" s="20">
        <f t="shared" si="27"/>
        <v>0</v>
      </c>
      <c r="N98" s="20">
        <f>M102</f>
        <v>0</v>
      </c>
      <c r="O98" s="20">
        <f t="shared" si="27"/>
        <v>0</v>
      </c>
      <c r="P98" s="20">
        <f t="shared" si="27"/>
        <v>0</v>
      </c>
      <c r="Q98" s="20">
        <f t="shared" si="27"/>
        <v>0</v>
      </c>
      <c r="R98" s="20">
        <v>0</v>
      </c>
      <c r="S98" s="20">
        <f t="shared" si="27"/>
        <v>0</v>
      </c>
      <c r="T98" s="20">
        <f t="shared" si="27"/>
        <v>0</v>
      </c>
      <c r="U98" s="20">
        <f t="shared" si="27"/>
        <v>0</v>
      </c>
    </row>
    <row r="99" spans="1:23">
      <c r="A99" s="21" t="s">
        <v>136</v>
      </c>
      <c r="B99" s="241">
        <f t="shared" ref="B99:U99" si="28">IF(B69&gt;2020,0,IF(B96&lt;0,-B96,0))</f>
        <v>0</v>
      </c>
      <c r="C99" s="241">
        <f t="shared" si="28"/>
        <v>340.55486845599967</v>
      </c>
      <c r="D99" s="241">
        <f t="shared" si="28"/>
        <v>251.19734117210598</v>
      </c>
      <c r="E99" s="241">
        <f t="shared" si="28"/>
        <v>0</v>
      </c>
      <c r="F99" s="241">
        <f t="shared" si="28"/>
        <v>0</v>
      </c>
      <c r="G99" s="241">
        <f t="shared" si="28"/>
        <v>0</v>
      </c>
      <c r="H99" s="241">
        <f t="shared" si="28"/>
        <v>0</v>
      </c>
      <c r="I99" s="241">
        <f t="shared" si="28"/>
        <v>0</v>
      </c>
      <c r="J99" s="241">
        <f t="shared" si="28"/>
        <v>0</v>
      </c>
      <c r="K99" s="241">
        <f t="shared" si="28"/>
        <v>0</v>
      </c>
      <c r="L99" s="241">
        <f t="shared" si="28"/>
        <v>0</v>
      </c>
      <c r="M99" s="241">
        <f t="shared" si="28"/>
        <v>0</v>
      </c>
      <c r="N99" s="241">
        <f t="shared" si="28"/>
        <v>0</v>
      </c>
      <c r="O99" s="241">
        <f t="shared" si="28"/>
        <v>0</v>
      </c>
      <c r="P99" s="241">
        <f t="shared" si="28"/>
        <v>0</v>
      </c>
      <c r="Q99" s="241">
        <f t="shared" si="28"/>
        <v>0</v>
      </c>
      <c r="R99" s="241">
        <f t="shared" si="28"/>
        <v>0</v>
      </c>
      <c r="S99" s="241">
        <f t="shared" si="28"/>
        <v>0</v>
      </c>
      <c r="T99" s="241">
        <f t="shared" si="28"/>
        <v>0</v>
      </c>
      <c r="U99" s="241">
        <f t="shared" si="28"/>
        <v>0</v>
      </c>
    </row>
    <row r="100" spans="1:23">
      <c r="A100" s="21" t="s">
        <v>137</v>
      </c>
      <c r="B100" s="231">
        <v>0</v>
      </c>
      <c r="C100" s="231">
        <v>0</v>
      </c>
      <c r="D100" s="231">
        <v>0</v>
      </c>
      <c r="E100" s="231">
        <v>0</v>
      </c>
      <c r="F100" s="231">
        <v>0</v>
      </c>
      <c r="G100" s="231">
        <v>0</v>
      </c>
      <c r="H100" s="231">
        <v>0</v>
      </c>
      <c r="I100" s="231">
        <v>0</v>
      </c>
      <c r="J100" s="231">
        <v>0</v>
      </c>
      <c r="K100" s="231">
        <v>0</v>
      </c>
      <c r="L100" s="231">
        <v>0</v>
      </c>
      <c r="M100" s="231">
        <v>0</v>
      </c>
      <c r="N100" s="231">
        <v>0</v>
      </c>
      <c r="O100" s="231">
        <v>0</v>
      </c>
      <c r="P100" s="231">
        <v>0</v>
      </c>
      <c r="Q100" s="231">
        <v>0</v>
      </c>
      <c r="R100" s="231">
        <v>0</v>
      </c>
      <c r="S100" s="231">
        <v>0</v>
      </c>
      <c r="T100" s="20">
        <f>IF(L99&gt;(SUM(M101:S101)+SUM(L100:S100))*-1,L99-(SUM(L101:S101)+SUM(L100:S100))*-1,0)</f>
        <v>0</v>
      </c>
      <c r="U100" s="20">
        <f>IF(M99&gt;(SUM(N101:T101)+SUM(M100:T100))*-1,M99-(SUM(M101:T101)+SUM(M100:T100))*-1,0)</f>
        <v>0</v>
      </c>
    </row>
    <row r="101" spans="1:23">
      <c r="A101" s="17" t="s">
        <v>138</v>
      </c>
      <c r="B101" s="232">
        <f t="shared" ref="B101:T101" si="29">IF(B96&lt;0,0,IF(B98&gt;B96,-B96,-B98))</f>
        <v>0</v>
      </c>
      <c r="C101" s="232">
        <f t="shared" si="29"/>
        <v>0</v>
      </c>
      <c r="D101" s="232">
        <f t="shared" si="29"/>
        <v>0</v>
      </c>
      <c r="E101" s="232">
        <f t="shared" si="29"/>
        <v>-591.75220962810567</v>
      </c>
      <c r="F101" s="232">
        <f t="shared" si="29"/>
        <v>0</v>
      </c>
      <c r="G101" s="232">
        <f t="shared" si="29"/>
        <v>0</v>
      </c>
      <c r="H101" s="232">
        <f t="shared" si="29"/>
        <v>0</v>
      </c>
      <c r="I101" s="232">
        <f t="shared" si="29"/>
        <v>0</v>
      </c>
      <c r="J101" s="232">
        <f t="shared" si="29"/>
        <v>0</v>
      </c>
      <c r="K101" s="232">
        <f t="shared" si="29"/>
        <v>0</v>
      </c>
      <c r="L101" s="232">
        <f t="shared" si="29"/>
        <v>0</v>
      </c>
      <c r="M101" s="232">
        <f t="shared" si="29"/>
        <v>0</v>
      </c>
      <c r="N101" s="232">
        <f t="shared" si="29"/>
        <v>0</v>
      </c>
      <c r="O101" s="232">
        <f t="shared" si="29"/>
        <v>0</v>
      </c>
      <c r="P101" s="232">
        <f t="shared" si="29"/>
        <v>0</v>
      </c>
      <c r="Q101" s="232">
        <f t="shared" si="29"/>
        <v>0</v>
      </c>
      <c r="R101" s="232">
        <f t="shared" si="29"/>
        <v>0</v>
      </c>
      <c r="S101" s="232">
        <f t="shared" si="29"/>
        <v>0</v>
      </c>
      <c r="T101" s="232">
        <f t="shared" si="29"/>
        <v>0</v>
      </c>
      <c r="U101" s="232">
        <f>IF(U96&lt;0,0,IF(U98&gt;U96,-U96,-U98))</f>
        <v>0</v>
      </c>
    </row>
    <row r="102" spans="1:23">
      <c r="A102" s="17" t="s">
        <v>139</v>
      </c>
      <c r="B102" s="232">
        <f t="shared" ref="B102:U102" si="30">SUM(B98:B101)</f>
        <v>0</v>
      </c>
      <c r="C102" s="232">
        <f t="shared" si="30"/>
        <v>340.55486845599967</v>
      </c>
      <c r="D102" s="232">
        <f t="shared" si="30"/>
        <v>591.75220962810567</v>
      </c>
      <c r="E102" s="232">
        <f t="shared" si="30"/>
        <v>0</v>
      </c>
      <c r="F102" s="232"/>
      <c r="G102" s="232">
        <f t="shared" si="30"/>
        <v>0</v>
      </c>
      <c r="H102" s="232">
        <f t="shared" si="30"/>
        <v>0</v>
      </c>
      <c r="I102" s="232">
        <f t="shared" si="30"/>
        <v>0</v>
      </c>
      <c r="J102" s="232">
        <f t="shared" si="30"/>
        <v>0</v>
      </c>
      <c r="K102" s="232">
        <f t="shared" si="30"/>
        <v>0</v>
      </c>
      <c r="L102" s="232">
        <f t="shared" si="30"/>
        <v>0</v>
      </c>
      <c r="M102" s="232">
        <f t="shared" si="30"/>
        <v>0</v>
      </c>
      <c r="N102" s="232">
        <f t="shared" si="30"/>
        <v>0</v>
      </c>
      <c r="O102" s="232">
        <f t="shared" si="30"/>
        <v>0</v>
      </c>
      <c r="P102" s="232">
        <f t="shared" si="30"/>
        <v>0</v>
      </c>
      <c r="Q102" s="232">
        <f t="shared" si="30"/>
        <v>0</v>
      </c>
      <c r="R102" s="232">
        <f t="shared" si="30"/>
        <v>0</v>
      </c>
      <c r="S102" s="232">
        <f t="shared" si="30"/>
        <v>0</v>
      </c>
      <c r="T102" s="232">
        <f t="shared" si="30"/>
        <v>0</v>
      </c>
      <c r="U102" s="232">
        <f t="shared" si="30"/>
        <v>0</v>
      </c>
    </row>
    <row r="103" spans="1:23">
      <c r="A103" s="17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</row>
    <row r="104" spans="1:23" ht="13.5" thickBot="1">
      <c r="A104" s="32" t="s">
        <v>131</v>
      </c>
      <c r="B104" s="330">
        <f t="shared" ref="B104:U104" si="31">IF(B96&lt;0,0,B96+B101)</f>
        <v>17.310375941650854</v>
      </c>
      <c r="C104" s="330">
        <f t="shared" si="31"/>
        <v>0</v>
      </c>
      <c r="D104" s="330">
        <f t="shared" si="31"/>
        <v>0</v>
      </c>
      <c r="E104" s="330">
        <f t="shared" si="31"/>
        <v>22.238997351926514</v>
      </c>
      <c r="F104" s="330">
        <f t="shared" si="31"/>
        <v>800.37476148169264</v>
      </c>
      <c r="G104" s="330">
        <f t="shared" si="31"/>
        <v>907.57953275147656</v>
      </c>
      <c r="H104" s="330">
        <f t="shared" si="31"/>
        <v>988.36228411974582</v>
      </c>
      <c r="I104" s="330">
        <f t="shared" si="31"/>
        <v>1043.2812313133406</v>
      </c>
      <c r="J104" s="330">
        <f t="shared" si="31"/>
        <v>1107.408688761019</v>
      </c>
      <c r="K104" s="330">
        <f t="shared" si="31"/>
        <v>1174.2334652570401</v>
      </c>
      <c r="L104" s="330">
        <f t="shared" si="31"/>
        <v>1259.7076057445979</v>
      </c>
      <c r="M104" s="330">
        <f t="shared" si="31"/>
        <v>1348.2394950349953</v>
      </c>
      <c r="N104" s="330">
        <f t="shared" si="31"/>
        <v>1441.4744679366838</v>
      </c>
      <c r="O104" s="330">
        <f t="shared" si="31"/>
        <v>1532.6139394196832</v>
      </c>
      <c r="P104" s="330">
        <f t="shared" si="31"/>
        <v>1623.5132546716989</v>
      </c>
      <c r="Q104" s="330">
        <f t="shared" si="31"/>
        <v>1944.5917444568565</v>
      </c>
      <c r="R104" s="330">
        <f t="shared" si="31"/>
        <v>2269.137667890629</v>
      </c>
      <c r="S104" s="330">
        <f t="shared" si="31"/>
        <v>2352.870530264292</v>
      </c>
      <c r="T104" s="330">
        <f t="shared" si="31"/>
        <v>2429.5689495118645</v>
      </c>
      <c r="U104" s="330">
        <f t="shared" si="31"/>
        <v>2507.0564634821526</v>
      </c>
      <c r="W104" s="424">
        <f>SUM(B104:U104)</f>
        <v>24769.563455391344</v>
      </c>
    </row>
    <row r="105" spans="1:23">
      <c r="A105" s="7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59"/>
      <c r="M105" s="59"/>
      <c r="N105" s="59"/>
      <c r="O105" s="59"/>
      <c r="P105" s="59"/>
      <c r="Q105" s="59"/>
      <c r="R105" s="59"/>
      <c r="S105" s="59"/>
      <c r="T105" s="59"/>
      <c r="U105" s="59"/>
    </row>
    <row r="106" spans="1:23">
      <c r="A106" s="7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59"/>
      <c r="M106" s="59"/>
      <c r="N106" s="59"/>
      <c r="O106" s="59"/>
      <c r="P106" s="59"/>
      <c r="Q106" s="59"/>
      <c r="R106" s="59"/>
      <c r="S106" s="59"/>
      <c r="T106" s="59"/>
      <c r="U106" s="59"/>
    </row>
    <row r="107" spans="1:23">
      <c r="A107" s="524"/>
      <c r="B107" s="524"/>
      <c r="C107" s="524"/>
      <c r="D107" s="524"/>
      <c r="E107" s="524"/>
      <c r="F107" s="524"/>
      <c r="G107" s="524"/>
      <c r="H107" s="524"/>
      <c r="I107" s="524"/>
      <c r="J107" s="524"/>
      <c r="K107" s="524"/>
      <c r="L107" s="524"/>
      <c r="M107" s="524"/>
      <c r="N107" s="524"/>
      <c r="O107" s="524"/>
      <c r="P107" s="524"/>
      <c r="Q107" s="524"/>
      <c r="R107" s="524"/>
      <c r="S107" s="524"/>
      <c r="T107" s="524"/>
      <c r="U107" s="524"/>
    </row>
    <row r="108" spans="1:23">
      <c r="A108" s="78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</row>
    <row r="109" spans="1:23">
      <c r="A109" s="527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</row>
    <row r="110" spans="1:23">
      <c r="A110" s="528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</row>
    <row r="111" spans="1:23">
      <c r="A111" s="7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</row>
    <row r="112" spans="1:23">
      <c r="A112" s="7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</row>
    <row r="113" spans="1:21">
      <c r="A113" s="79"/>
      <c r="B113" s="59"/>
      <c r="C113" s="530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</row>
    <row r="114" spans="1:21">
      <c r="A114" s="79"/>
      <c r="B114" s="59"/>
      <c r="C114" s="530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</row>
    <row r="115" spans="1:21">
      <c r="A115" s="79"/>
      <c r="B115" s="59"/>
      <c r="C115" s="530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</row>
    <row r="116" spans="1:21">
      <c r="A116" s="69"/>
      <c r="B116" s="59"/>
      <c r="C116" s="530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</row>
    <row r="117" spans="1:21">
      <c r="A117" s="81"/>
      <c r="B117" s="59"/>
      <c r="C117" s="530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</row>
    <row r="118" spans="1:21">
      <c r="A118" s="529"/>
      <c r="B118" s="152"/>
      <c r="C118" s="530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</row>
    <row r="119" spans="1:21">
      <c r="A119" s="7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</row>
    <row r="120" spans="1:21">
      <c r="A120" s="82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</row>
    <row r="121" spans="1:21">
      <c r="A121" s="82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</row>
    <row r="122" spans="1:21">
      <c r="A122" s="7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</row>
    <row r="123" spans="1:21">
      <c r="A123" s="82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</row>
    <row r="124" spans="1:21">
      <c r="A124" s="7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</row>
    <row r="125" spans="1:21">
      <c r="A125" s="7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</row>
    <row r="126" spans="1:21">
      <c r="A126" s="7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</row>
    <row r="127" spans="1:21">
      <c r="A127" s="82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</row>
    <row r="128" spans="1:21">
      <c r="A128" s="78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</row>
    <row r="129" spans="1:21">
      <c r="A129" s="80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</row>
    <row r="130" spans="1:21">
      <c r="A130" s="80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</row>
    <row r="131" spans="1:21" ht="15" customHeight="1">
      <c r="A131" s="80"/>
      <c r="B131" s="69"/>
      <c r="C131" s="6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</row>
    <row r="132" spans="1:21">
      <c r="A132" s="80"/>
      <c r="B132" s="69"/>
      <c r="C132" s="6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</row>
    <row r="133" spans="1:21" ht="14.25" customHeight="1">
      <c r="A133" s="80"/>
      <c r="B133" s="69"/>
      <c r="C133" s="6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</row>
    <row r="134" spans="1:21">
      <c r="A134" s="80"/>
      <c r="B134" s="69"/>
      <c r="C134" s="6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</row>
    <row r="135" spans="1:21">
      <c r="A135" s="80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</row>
    <row r="136" spans="1:21">
      <c r="A136" s="83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</row>
    <row r="137" spans="1:21">
      <c r="A137" s="83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</row>
    <row r="138" spans="1:21">
      <c r="A138" s="83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</row>
    <row r="139" spans="1:21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</row>
    <row r="140" spans="1:21">
      <c r="A140" s="7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</row>
    <row r="141" spans="1:21">
      <c r="A141" s="7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</row>
    <row r="142" spans="1:21">
      <c r="A142" s="7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</row>
    <row r="143" spans="1:21" ht="18.75">
      <c r="A143" s="84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</row>
    <row r="144" spans="1:21">
      <c r="A144" s="57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</row>
    <row r="145" spans="1:21">
      <c r="A145" s="57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</row>
    <row r="146" spans="1:21">
      <c r="A146" s="7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</row>
    <row r="147" spans="1:21">
      <c r="A147" s="7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</row>
    <row r="148" spans="1:21">
      <c r="A148" s="2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</row>
    <row r="149" spans="1:21">
      <c r="A149" s="80"/>
      <c r="B149" s="69"/>
      <c r="C149" s="6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</row>
    <row r="150" spans="1:21">
      <c r="A150" s="79"/>
      <c r="B150" s="69"/>
      <c r="C150" s="6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</row>
    <row r="151" spans="1:21">
      <c r="A151" s="79"/>
      <c r="B151" s="69"/>
      <c r="C151" s="6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</row>
    <row r="152" spans="1:21">
      <c r="A152" s="78"/>
      <c r="B152" s="69"/>
      <c r="C152" s="6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</row>
    <row r="153" spans="1:21">
      <c r="A153" s="69"/>
      <c r="B153" s="69"/>
      <c r="C153" s="6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</row>
    <row r="154" spans="1:21">
      <c r="A154" s="80"/>
      <c r="B154" s="69"/>
      <c r="C154" s="6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</row>
    <row r="155" spans="1:21">
      <c r="A155" s="79"/>
      <c r="B155" s="69"/>
      <c r="C155" s="6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</row>
    <row r="156" spans="1:21">
      <c r="A156" s="79"/>
      <c r="B156" s="69"/>
      <c r="C156" s="6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</row>
    <row r="157" spans="1:21">
      <c r="A157" s="79"/>
      <c r="B157" s="69"/>
      <c r="C157" s="6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</row>
    <row r="158" spans="1:21">
      <c r="A158" s="79"/>
      <c r="B158" s="69"/>
      <c r="C158" s="6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</row>
    <row r="159" spans="1:21">
      <c r="A159" s="69"/>
      <c r="B159" s="69"/>
      <c r="C159" s="6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</row>
    <row r="160" spans="1:21">
      <c r="A160" s="80"/>
      <c r="B160" s="69"/>
      <c r="C160" s="6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</row>
    <row r="161" spans="1:21">
      <c r="A161" s="69"/>
      <c r="B161" s="69"/>
      <c r="C161" s="6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</row>
    <row r="162" spans="1:21">
      <c r="A162" s="80"/>
      <c r="B162" s="69"/>
      <c r="C162" s="6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</row>
    <row r="163" spans="1:21">
      <c r="A163" s="79"/>
      <c r="B163" s="69"/>
      <c r="C163" s="6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</row>
    <row r="164" spans="1:21">
      <c r="A164" s="80"/>
      <c r="B164" s="69"/>
      <c r="C164" s="6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</row>
    <row r="165" spans="1:21">
      <c r="A165" s="82"/>
      <c r="B165" s="69"/>
      <c r="C165" s="6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</row>
    <row r="166" spans="1:21">
      <c r="A166" s="79"/>
      <c r="B166" s="69"/>
      <c r="C166" s="6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</row>
    <row r="167" spans="1:21">
      <c r="A167" s="78"/>
      <c r="B167" s="69"/>
      <c r="C167" s="6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</row>
    <row r="168" spans="1:21">
      <c r="A168" s="79"/>
      <c r="B168" s="69"/>
      <c r="C168" s="6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</row>
    <row r="169" spans="1:21">
      <c r="A169" s="78"/>
      <c r="B169" s="69"/>
      <c r="C169" s="6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</row>
    <row r="170" spans="1:21">
      <c r="A170" s="79"/>
      <c r="B170" s="69"/>
      <c r="C170" s="6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</row>
    <row r="171" spans="1:21">
      <c r="A171" s="79"/>
      <c r="B171" s="69"/>
      <c r="C171" s="6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</row>
    <row r="172" spans="1:21">
      <c r="A172" s="79"/>
      <c r="B172" s="69"/>
      <c r="C172" s="6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</row>
    <row r="173" spans="1:21">
      <c r="A173" s="79"/>
      <c r="B173" s="69"/>
      <c r="C173" s="6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</row>
    <row r="174" spans="1:21">
      <c r="A174" s="79"/>
      <c r="B174" s="69"/>
      <c r="C174" s="6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</row>
    <row r="175" spans="1:21">
      <c r="A175" s="79"/>
      <c r="B175" s="69"/>
      <c r="C175" s="6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</row>
    <row r="176" spans="1:21">
      <c r="A176" s="80"/>
      <c r="B176" s="69"/>
      <c r="C176" s="6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</row>
    <row r="177" spans="1:21">
      <c r="A177" s="81"/>
      <c r="B177" s="69"/>
      <c r="C177" s="6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</row>
    <row r="178" spans="1:21">
      <c r="A178" s="79"/>
      <c r="B178" s="69"/>
      <c r="C178" s="6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</row>
    <row r="179" spans="1:21">
      <c r="A179" s="82"/>
      <c r="B179" s="69"/>
      <c r="C179" s="6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</row>
    <row r="180" spans="1:21">
      <c r="A180" s="82"/>
      <c r="B180" s="69"/>
      <c r="C180" s="6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</row>
    <row r="181" spans="1:21">
      <c r="A181" s="79"/>
      <c r="B181" s="69"/>
      <c r="C181" s="6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</row>
    <row r="182" spans="1:21">
      <c r="A182" s="79"/>
      <c r="B182" s="69"/>
      <c r="C182" s="6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</row>
    <row r="183" spans="1:21">
      <c r="A183" s="78"/>
      <c r="B183" s="69"/>
      <c r="C183" s="6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</row>
    <row r="184" spans="1:21">
      <c r="A184" s="80"/>
      <c r="B184" s="69"/>
      <c r="C184" s="6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</row>
    <row r="185" spans="1:21">
      <c r="A185" s="80"/>
      <c r="B185" s="69"/>
      <c r="C185" s="6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</row>
    <row r="186" spans="1:21">
      <c r="A186" s="80"/>
      <c r="B186" s="69"/>
      <c r="C186" s="6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</row>
    <row r="187" spans="1:21">
      <c r="A187" s="80"/>
      <c r="B187" s="69"/>
      <c r="C187" s="6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</row>
    <row r="188" spans="1:21">
      <c r="A188" s="80"/>
      <c r="B188" s="69"/>
      <c r="C188" s="6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</row>
    <row r="189" spans="1:21">
      <c r="A189" s="80"/>
      <c r="B189" s="69"/>
      <c r="C189" s="6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</row>
    <row r="190" spans="1:21">
      <c r="A190" s="80"/>
      <c r="B190" s="69"/>
      <c r="C190" s="6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</row>
    <row r="191" spans="1:21">
      <c r="A191" s="7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</row>
    <row r="192" spans="1:21">
      <c r="A192" s="7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</row>
    <row r="193" spans="1:21">
      <c r="A193" s="7"/>
      <c r="B193" s="7"/>
      <c r="C193" s="7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</row>
    <row r="194" spans="1:21" ht="18.75">
      <c r="A194" s="8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</row>
    <row r="195" spans="1:21">
      <c r="A195" s="5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</row>
    <row r="196" spans="1:21">
      <c r="A196" s="5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</row>
    <row r="197" spans="1:2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</row>
    <row r="198" spans="1:21">
      <c r="A198" s="2"/>
      <c r="B198" s="9"/>
      <c r="C198" s="9"/>
      <c r="D198" s="9"/>
      <c r="E198" s="9"/>
      <c r="F198" s="9"/>
      <c r="G198" s="9"/>
      <c r="H198" s="9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</row>
    <row r="199" spans="1:21">
      <c r="A199" s="5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</row>
    <row r="200" spans="1:21">
      <c r="A200" s="86"/>
      <c r="B200" s="87"/>
      <c r="C200" s="87"/>
      <c r="D200" s="87"/>
      <c r="E200" s="87"/>
      <c r="F200" s="87"/>
      <c r="G200" s="87"/>
      <c r="H200" s="87"/>
      <c r="I200" s="7"/>
      <c r="J200" s="8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</row>
    <row r="201" spans="1:21">
      <c r="A201" s="86"/>
      <c r="B201" s="87"/>
      <c r="C201" s="87"/>
      <c r="D201" s="87"/>
      <c r="E201" s="87"/>
      <c r="F201" s="87"/>
      <c r="G201" s="87"/>
      <c r="H201" s="87"/>
      <c r="I201" s="7"/>
      <c r="J201" s="8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</row>
    <row r="202" spans="1:21">
      <c r="A202" s="86"/>
      <c r="B202" s="87"/>
      <c r="C202" s="87"/>
      <c r="D202" s="87"/>
      <c r="E202" s="87"/>
      <c r="F202" s="87"/>
      <c r="G202" s="87"/>
      <c r="H202" s="87"/>
      <c r="I202" s="7"/>
      <c r="J202" s="8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spans="1:21">
      <c r="A203" s="86"/>
      <c r="B203" s="87"/>
      <c r="C203" s="87"/>
      <c r="D203" s="87"/>
      <c r="E203" s="87"/>
      <c r="F203" s="87"/>
      <c r="G203" s="87"/>
      <c r="H203" s="87"/>
      <c r="I203" s="7"/>
      <c r="J203" s="8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 spans="1:21">
      <c r="A204" s="86"/>
      <c r="B204" s="87"/>
      <c r="C204" s="87"/>
      <c r="D204" s="87"/>
      <c r="E204" s="87"/>
      <c r="F204" s="87"/>
      <c r="G204" s="87"/>
      <c r="H204" s="87"/>
      <c r="I204" s="7"/>
      <c r="J204" s="8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 spans="1:21">
      <c r="A205" s="7"/>
      <c r="B205" s="87"/>
      <c r="C205" s="87"/>
      <c r="D205" s="87"/>
      <c r="E205" s="87"/>
      <c r="F205" s="87"/>
      <c r="G205" s="87"/>
      <c r="H205" s="87"/>
      <c r="I205" s="7"/>
      <c r="J205" s="8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</row>
    <row r="206" spans="1:21">
      <c r="A206" s="57"/>
      <c r="B206" s="87"/>
      <c r="C206" s="87"/>
      <c r="D206" s="87"/>
      <c r="E206" s="87"/>
      <c r="F206" s="87"/>
      <c r="G206" s="87"/>
      <c r="H206" s="87"/>
      <c r="I206" s="7"/>
      <c r="J206" s="8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spans="1:21">
      <c r="A207" s="86"/>
      <c r="B207" s="87"/>
      <c r="C207" s="87"/>
      <c r="D207" s="87"/>
      <c r="E207" s="87"/>
      <c r="F207" s="87"/>
      <c r="G207" s="87"/>
      <c r="H207" s="87"/>
      <c r="I207" s="7"/>
      <c r="J207" s="8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</row>
    <row r="208" spans="1:21">
      <c r="A208" s="86"/>
      <c r="B208" s="87"/>
      <c r="C208" s="87"/>
      <c r="D208" s="87"/>
      <c r="E208" s="87"/>
      <c r="F208" s="87"/>
      <c r="G208" s="87"/>
      <c r="H208" s="87"/>
      <c r="I208" s="7"/>
      <c r="J208" s="8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spans="1:21">
      <c r="A209" s="86"/>
      <c r="B209" s="87"/>
      <c r="C209" s="87"/>
      <c r="D209" s="87"/>
      <c r="E209" s="87"/>
      <c r="F209" s="87"/>
      <c r="G209" s="87"/>
      <c r="H209" s="87"/>
      <c r="I209" s="7"/>
      <c r="J209" s="8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 spans="1:21">
      <c r="A210" s="86"/>
      <c r="B210" s="87"/>
      <c r="C210" s="87"/>
      <c r="D210" s="87"/>
      <c r="E210" s="87"/>
      <c r="F210" s="87"/>
      <c r="G210" s="87"/>
      <c r="H210" s="87"/>
      <c r="I210" s="7"/>
      <c r="J210" s="8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spans="1:21">
      <c r="A211" s="86"/>
      <c r="B211" s="87"/>
      <c r="C211" s="87"/>
      <c r="D211" s="87"/>
      <c r="E211" s="87"/>
      <c r="F211" s="87"/>
      <c r="G211" s="87"/>
      <c r="H211" s="87"/>
      <c r="I211" s="7"/>
      <c r="J211" s="8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 spans="1:21">
      <c r="A212" s="86"/>
      <c r="B212" s="87"/>
      <c r="C212" s="87"/>
      <c r="D212" s="87"/>
      <c r="E212" s="87"/>
      <c r="F212" s="87"/>
      <c r="G212" s="87"/>
      <c r="H212" s="87"/>
      <c r="I212" s="7"/>
      <c r="J212" s="8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spans="1:21">
      <c r="A213" s="86"/>
      <c r="B213" s="87"/>
      <c r="C213" s="87"/>
      <c r="D213" s="87"/>
      <c r="E213" s="87"/>
      <c r="F213" s="87"/>
      <c r="G213" s="87"/>
      <c r="H213" s="87"/>
      <c r="I213" s="7"/>
      <c r="J213" s="8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spans="1:21">
      <c r="A214" s="86"/>
      <c r="B214" s="87"/>
      <c r="C214" s="87"/>
      <c r="D214" s="87"/>
      <c r="E214" s="87"/>
      <c r="F214" s="87"/>
      <c r="G214" s="87"/>
      <c r="H214" s="87"/>
      <c r="I214" s="7"/>
      <c r="J214" s="8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21">
      <c r="A215" s="86"/>
      <c r="B215" s="87"/>
      <c r="C215" s="87"/>
      <c r="D215" s="87"/>
      <c r="E215" s="87"/>
      <c r="F215" s="87"/>
      <c r="G215" s="87"/>
      <c r="H215" s="87"/>
      <c r="I215" s="7"/>
      <c r="J215" s="8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spans="1:21">
      <c r="A216" s="86"/>
      <c r="B216" s="87"/>
      <c r="C216" s="87"/>
      <c r="D216" s="87"/>
      <c r="E216" s="87"/>
      <c r="F216" s="87"/>
      <c r="G216" s="87"/>
      <c r="H216" s="87"/>
      <c r="I216" s="7"/>
      <c r="J216" s="8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spans="1:21">
      <c r="A217" s="86"/>
      <c r="B217" s="87"/>
      <c r="C217" s="87"/>
      <c r="D217" s="87"/>
      <c r="E217" s="87"/>
      <c r="F217" s="87"/>
      <c r="G217" s="87"/>
      <c r="H217" s="87"/>
      <c r="I217" s="7"/>
      <c r="J217" s="8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</row>
    <row r="218" spans="1:21">
      <c r="A218" s="57"/>
      <c r="B218" s="87"/>
      <c r="C218" s="87"/>
      <c r="D218" s="87"/>
      <c r="E218" s="87"/>
      <c r="F218" s="87"/>
      <c r="G218" s="87"/>
      <c r="H218" s="87"/>
      <c r="I218" s="7"/>
      <c r="J218" s="8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>
      <c r="A219" s="86"/>
      <c r="B219" s="87"/>
      <c r="C219" s="87"/>
      <c r="D219" s="87"/>
      <c r="E219" s="87"/>
      <c r="F219" s="87"/>
      <c r="G219" s="87"/>
      <c r="H219" s="87"/>
      <c r="I219" s="7"/>
      <c r="J219" s="8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</row>
    <row r="220" spans="1:21">
      <c r="A220" s="86"/>
      <c r="B220" s="87"/>
      <c r="C220" s="87"/>
      <c r="D220" s="87"/>
      <c r="E220" s="87"/>
      <c r="F220" s="87"/>
      <c r="G220" s="87"/>
      <c r="H220" s="87"/>
      <c r="I220" s="7"/>
      <c r="J220" s="8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 spans="1:21">
      <c r="A221" s="57"/>
      <c r="B221" s="87"/>
      <c r="C221" s="87"/>
      <c r="D221" s="87"/>
      <c r="E221" s="87"/>
      <c r="F221" s="87"/>
      <c r="G221" s="87"/>
      <c r="H221" s="87"/>
      <c r="I221" s="7"/>
      <c r="J221" s="8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</row>
    <row r="222" spans="1:21">
      <c r="A222" s="57"/>
      <c r="B222" s="87"/>
      <c r="C222" s="87"/>
      <c r="D222" s="87"/>
      <c r="E222" s="87"/>
      <c r="F222" s="87"/>
      <c r="G222" s="87"/>
      <c r="H222" s="87"/>
      <c r="I222" s="7"/>
      <c r="J222" s="8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21">
      <c r="A223" s="7"/>
      <c r="B223" s="87"/>
      <c r="C223" s="87"/>
      <c r="D223" s="87"/>
      <c r="E223" s="87"/>
      <c r="F223" s="87"/>
      <c r="G223" s="87"/>
      <c r="H223" s="87"/>
      <c r="I223" s="7"/>
      <c r="J223" s="8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 spans="1:21">
      <c r="A224" s="7"/>
      <c r="B224" s="87"/>
      <c r="C224" s="87"/>
      <c r="D224" s="87"/>
      <c r="E224" s="87"/>
      <c r="F224" s="87"/>
      <c r="G224" s="87"/>
      <c r="H224" s="87"/>
      <c r="I224" s="7"/>
      <c r="J224" s="8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</row>
    <row r="225" spans="1:21">
      <c r="A225" s="57"/>
      <c r="B225" s="87"/>
      <c r="C225" s="87"/>
      <c r="D225" s="87"/>
      <c r="E225" s="87"/>
      <c r="F225" s="87"/>
      <c r="G225" s="87"/>
      <c r="H225" s="87"/>
      <c r="I225" s="7"/>
      <c r="J225" s="8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 spans="1:21">
      <c r="A226" s="86"/>
      <c r="B226" s="87"/>
      <c r="C226" s="87"/>
      <c r="D226" s="87"/>
      <c r="E226" s="87"/>
      <c r="F226" s="87"/>
      <c r="G226" s="87"/>
      <c r="H226" s="87"/>
      <c r="I226" s="7"/>
      <c r="J226" s="8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>
      <c r="A227" s="57"/>
      <c r="B227" s="87"/>
      <c r="C227" s="87"/>
      <c r="D227" s="87"/>
      <c r="E227" s="87"/>
      <c r="F227" s="87"/>
      <c r="G227" s="87"/>
      <c r="H227" s="87"/>
      <c r="I227" s="7"/>
      <c r="J227" s="8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 spans="1:21">
      <c r="A228" s="7"/>
      <c r="B228" s="87"/>
      <c r="C228" s="87"/>
      <c r="D228" s="87"/>
      <c r="E228" s="87"/>
      <c r="F228" s="87"/>
      <c r="G228" s="87"/>
      <c r="H228" s="87"/>
      <c r="I228" s="7"/>
      <c r="J228" s="8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spans="1:21">
      <c r="A229" s="57"/>
      <c r="B229" s="87"/>
      <c r="C229" s="87"/>
      <c r="D229" s="87"/>
      <c r="E229" s="87"/>
      <c r="F229" s="87"/>
      <c r="G229" s="87"/>
      <c r="H229" s="87"/>
      <c r="I229" s="7"/>
      <c r="J229" s="8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 spans="1:21">
      <c r="A230" s="86"/>
      <c r="B230" s="87"/>
      <c r="C230" s="87"/>
      <c r="D230" s="87"/>
      <c r="E230" s="87"/>
      <c r="F230" s="87"/>
      <c r="G230" s="87"/>
      <c r="H230" s="87"/>
      <c r="I230" s="7"/>
      <c r="J230" s="8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>
      <c r="A231" s="86"/>
      <c r="B231" s="87"/>
      <c r="C231" s="87"/>
      <c r="D231" s="87"/>
      <c r="E231" s="87"/>
      <c r="F231" s="87"/>
      <c r="G231" s="87"/>
      <c r="H231" s="87"/>
      <c r="I231" s="7"/>
      <c r="J231" s="8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 spans="1:21">
      <c r="A232" s="86"/>
      <c r="B232" s="87"/>
      <c r="C232" s="87"/>
      <c r="D232" s="87"/>
      <c r="E232" s="87"/>
      <c r="F232" s="87"/>
      <c r="G232" s="87"/>
      <c r="H232" s="87"/>
      <c r="I232" s="7"/>
      <c r="J232" s="8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>
      <c r="A233" s="86"/>
      <c r="B233" s="87"/>
      <c r="C233" s="87"/>
      <c r="D233" s="87"/>
      <c r="E233" s="87"/>
      <c r="F233" s="87"/>
      <c r="G233" s="87"/>
      <c r="H233" s="87"/>
      <c r="I233" s="7"/>
      <c r="J233" s="8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</row>
    <row r="234" spans="1:21">
      <c r="A234" s="86"/>
      <c r="B234" s="87"/>
      <c r="C234" s="87"/>
      <c r="D234" s="87"/>
      <c r="E234" s="87"/>
      <c r="F234" s="87"/>
      <c r="G234" s="87"/>
      <c r="H234" s="87"/>
      <c r="I234" s="7"/>
      <c r="J234" s="8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 spans="1:21">
      <c r="A235" s="86"/>
      <c r="B235" s="87"/>
      <c r="C235" s="87"/>
      <c r="D235" s="87"/>
      <c r="E235" s="87"/>
      <c r="F235" s="87"/>
      <c r="G235" s="87"/>
      <c r="H235" s="87"/>
      <c r="I235" s="7"/>
      <c r="J235" s="8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 spans="1:21">
      <c r="A236" s="57"/>
      <c r="B236" s="87"/>
      <c r="C236" s="87"/>
      <c r="D236" s="87"/>
      <c r="E236" s="87"/>
      <c r="F236" s="87"/>
      <c r="G236" s="87"/>
      <c r="H236" s="87"/>
      <c r="I236" s="7"/>
      <c r="J236" s="8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>
      <c r="A237" s="57"/>
      <c r="B237" s="87"/>
      <c r="C237" s="87"/>
      <c r="D237" s="87"/>
      <c r="E237" s="87"/>
      <c r="F237" s="87"/>
      <c r="G237" s="87"/>
      <c r="H237" s="87"/>
      <c r="I237" s="7"/>
      <c r="J237" s="8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 spans="1:21">
      <c r="A238" s="7"/>
      <c r="B238" s="87"/>
      <c r="C238" s="87"/>
      <c r="D238" s="87"/>
      <c r="E238" s="87"/>
      <c r="F238" s="87"/>
      <c r="G238" s="87"/>
      <c r="H238" s="87"/>
      <c r="I238" s="7"/>
      <c r="J238" s="8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 spans="1:21">
      <c r="A239" s="57"/>
      <c r="B239" s="87"/>
      <c r="C239" s="87"/>
      <c r="D239" s="87"/>
      <c r="E239" s="87"/>
      <c r="F239" s="87"/>
      <c r="G239" s="87"/>
      <c r="H239" s="87"/>
      <c r="I239" s="7"/>
      <c r="J239" s="8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</row>
    <row r="240" spans="1:21">
      <c r="A240" s="57"/>
      <c r="B240" s="87"/>
      <c r="C240" s="87"/>
      <c r="D240" s="87"/>
      <c r="E240" s="87"/>
      <c r="F240" s="87"/>
      <c r="G240" s="87"/>
      <c r="H240" s="87"/>
      <c r="I240" s="7"/>
      <c r="J240" s="8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 spans="1:21">
      <c r="A242" s="57"/>
      <c r="B242" s="7"/>
      <c r="C242" s="59"/>
      <c r="D242" s="59"/>
      <c r="E242" s="59"/>
      <c r="F242" s="59"/>
      <c r="G242" s="59"/>
      <c r="H242" s="59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 spans="1:21">
      <c r="A243" s="57"/>
      <c r="B243" s="7"/>
      <c r="C243" s="59"/>
      <c r="D243" s="59"/>
      <c r="E243" s="59"/>
      <c r="F243" s="59"/>
      <c r="G243" s="59"/>
      <c r="H243" s="59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 spans="1:21">
      <c r="A244" s="57"/>
      <c r="B244" s="7"/>
      <c r="C244" s="59"/>
      <c r="D244" s="59"/>
      <c r="E244" s="59"/>
      <c r="F244" s="59"/>
      <c r="G244" s="59"/>
      <c r="H244" s="59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>
      <c r="A245" s="57"/>
      <c r="B245" s="7"/>
      <c r="C245" s="59"/>
      <c r="D245" s="59"/>
      <c r="E245" s="59"/>
      <c r="F245" s="59"/>
      <c r="G245" s="59"/>
      <c r="H245" s="59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 spans="1:2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spans="1:21" ht="18.75">
      <c r="A247" s="84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</row>
    <row r="248" spans="1:21">
      <c r="A248" s="5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 spans="1:2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spans="1:21" s="90" customFormat="1">
      <c r="A251" s="89"/>
    </row>
    <row r="252" spans="1:21">
      <c r="A252" s="5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>
      <c r="A253" s="57"/>
      <c r="B253" s="7"/>
      <c r="C253" s="91"/>
      <c r="D253" s="91"/>
      <c r="E253" s="91"/>
      <c r="F253" s="91"/>
      <c r="G253" s="91"/>
      <c r="H253" s="91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 spans="1:21">
      <c r="A254" s="57"/>
      <c r="B254" s="7"/>
      <c r="C254" s="91"/>
      <c r="D254" s="91"/>
      <c r="E254" s="91"/>
      <c r="F254" s="91"/>
      <c r="G254" s="91"/>
      <c r="H254" s="91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>
      <c r="A255" s="7"/>
      <c r="B255" s="7"/>
      <c r="C255" s="93"/>
      <c r="D255" s="93"/>
      <c r="E255" s="93"/>
      <c r="F255" s="93"/>
      <c r="G255" s="93"/>
      <c r="H255" s="93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 spans="1:21">
      <c r="A256" s="5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>
      <c r="A257" s="89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 spans="1:21">
      <c r="A258" s="94"/>
      <c r="B258" s="7"/>
      <c r="C258" s="59"/>
      <c r="D258" s="59"/>
      <c r="E258" s="59"/>
      <c r="F258" s="59"/>
      <c r="G258" s="59"/>
      <c r="H258" s="59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</row>
    <row r="259" spans="1:21">
      <c r="A259" s="94"/>
      <c r="B259" s="7"/>
      <c r="C259" s="59"/>
      <c r="D259" s="59"/>
      <c r="E259" s="59"/>
      <c r="F259" s="59"/>
      <c r="G259" s="59"/>
      <c r="H259" s="59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</row>
    <row r="260" spans="1:21">
      <c r="A260" s="94"/>
      <c r="B260" s="7"/>
      <c r="C260" s="59"/>
      <c r="D260" s="59"/>
      <c r="E260" s="59"/>
      <c r="F260" s="59"/>
      <c r="G260" s="59"/>
      <c r="H260" s="59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>
      <c r="A261" s="94"/>
      <c r="B261" s="7"/>
      <c r="C261" s="59"/>
      <c r="D261" s="59"/>
      <c r="E261" s="59"/>
      <c r="F261" s="59"/>
      <c r="G261" s="59"/>
      <c r="H261" s="59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</row>
    <row r="262" spans="1:21">
      <c r="A262" s="94"/>
      <c r="B262" s="7"/>
      <c r="C262" s="91"/>
      <c r="D262" s="91"/>
      <c r="E262" s="91"/>
      <c r="F262" s="91"/>
      <c r="G262" s="91"/>
      <c r="H262" s="91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>
      <c r="A263" s="57"/>
      <c r="B263" s="7"/>
      <c r="C263" s="95"/>
      <c r="D263" s="95"/>
      <c r="E263" s="95"/>
      <c r="F263" s="95"/>
      <c r="G263" s="95"/>
      <c r="H263" s="95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 spans="1:21">
      <c r="A264" s="94"/>
      <c r="B264" s="7"/>
      <c r="C264" s="96"/>
      <c r="D264" s="96"/>
      <c r="E264" s="96"/>
      <c r="F264" s="96"/>
      <c r="G264" s="96"/>
      <c r="H264" s="96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>
      <c r="A265" s="94"/>
      <c r="B265" s="7"/>
      <c r="C265" s="96"/>
      <c r="D265" s="96"/>
      <c r="E265" s="96"/>
      <c r="F265" s="96"/>
      <c r="G265" s="96"/>
      <c r="H265" s="96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 spans="1:21">
      <c r="A266" s="94"/>
      <c r="B266" s="7"/>
      <c r="C266" s="96"/>
      <c r="D266" s="96"/>
      <c r="E266" s="96"/>
      <c r="F266" s="96"/>
      <c r="G266" s="96"/>
      <c r="H266" s="96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spans="1:21">
      <c r="A267" s="94"/>
      <c r="B267" s="7"/>
      <c r="C267" s="96"/>
      <c r="D267" s="96"/>
      <c r="E267" s="96"/>
      <c r="F267" s="96"/>
      <c r="G267" s="96"/>
      <c r="H267" s="96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</row>
    <row r="268" spans="1:21">
      <c r="A268" s="94"/>
      <c r="B268" s="7"/>
      <c r="C268" s="95"/>
      <c r="D268" s="95"/>
      <c r="E268" s="95"/>
      <c r="F268" s="95"/>
      <c r="G268" s="95"/>
      <c r="H268" s="95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>
      <c r="A269" s="5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 spans="1:21">
      <c r="A270" s="7"/>
      <c r="B270" s="7"/>
      <c r="C270" s="59"/>
      <c r="D270" s="59"/>
      <c r="E270" s="59"/>
      <c r="F270" s="59"/>
      <c r="G270" s="59"/>
      <c r="H270" s="59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spans="1:21">
      <c r="A271" s="7"/>
      <c r="B271" s="7"/>
      <c r="C271" s="59"/>
      <c r="D271" s="59"/>
      <c r="E271" s="59"/>
      <c r="F271" s="59"/>
      <c r="G271" s="59"/>
      <c r="H271" s="59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</row>
    <row r="272" spans="1:21">
      <c r="A272" s="7"/>
      <c r="B272" s="7"/>
      <c r="C272" s="59"/>
      <c r="D272" s="59"/>
      <c r="E272" s="59"/>
      <c r="F272" s="59"/>
      <c r="G272" s="59"/>
      <c r="H272" s="59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1">
      <c r="A273" s="7"/>
      <c r="B273" s="97"/>
      <c r="C273" s="59"/>
      <c r="D273" s="59"/>
      <c r="E273" s="59"/>
      <c r="F273" s="59"/>
      <c r="G273" s="59"/>
      <c r="H273" s="59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 spans="1:2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 spans="1:21">
      <c r="A275" s="5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 spans="1:21">
      <c r="A276" s="7"/>
      <c r="B276" s="7"/>
      <c r="C276" s="91"/>
      <c r="D276" s="91"/>
      <c r="E276" s="91"/>
      <c r="F276" s="91"/>
      <c r="G276" s="91"/>
      <c r="H276" s="91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spans="1:21">
      <c r="A277" s="94"/>
      <c r="B277" s="7"/>
      <c r="C277" s="91"/>
      <c r="D277" s="91"/>
      <c r="E277" s="91"/>
      <c r="F277" s="91"/>
      <c r="G277" s="91"/>
      <c r="H277" s="91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 spans="1:21">
      <c r="A278" s="94"/>
      <c r="B278" s="7"/>
      <c r="C278" s="91"/>
      <c r="D278" s="91"/>
      <c r="E278" s="91"/>
      <c r="F278" s="91"/>
      <c r="G278" s="91"/>
      <c r="H278" s="91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 spans="1:21">
      <c r="A279" s="94"/>
      <c r="B279" s="97"/>
      <c r="C279" s="91"/>
      <c r="D279" s="91"/>
      <c r="E279" s="91"/>
      <c r="F279" s="91"/>
      <c r="G279" s="91"/>
      <c r="H279" s="91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 spans="1:21">
      <c r="A280" s="7"/>
      <c r="B280" s="7"/>
      <c r="C280" s="91"/>
      <c r="D280" s="91"/>
      <c r="E280" s="91"/>
      <c r="F280" s="91"/>
      <c r="G280" s="91"/>
      <c r="H280" s="91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spans="1:21">
      <c r="A281" s="7"/>
      <c r="B281" s="7"/>
      <c r="C281" s="91"/>
      <c r="D281" s="91"/>
      <c r="E281" s="91"/>
      <c r="F281" s="91"/>
      <c r="G281" s="91"/>
      <c r="H281" s="91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</row>
    <row r="282" spans="1:21">
      <c r="A282" s="7"/>
      <c r="B282" s="7"/>
      <c r="C282" s="91"/>
      <c r="D282" s="91"/>
      <c r="E282" s="91"/>
      <c r="F282" s="91"/>
      <c r="G282" s="91"/>
      <c r="H282" s="91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spans="1:21">
      <c r="A283" s="7"/>
      <c r="B283" s="7"/>
      <c r="C283" s="91"/>
      <c r="D283" s="91"/>
      <c r="E283" s="91"/>
      <c r="F283" s="91"/>
      <c r="G283" s="91"/>
      <c r="H283" s="91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 spans="1:21">
      <c r="A284" s="7"/>
      <c r="B284" s="7"/>
      <c r="C284" s="91"/>
      <c r="D284" s="91"/>
      <c r="E284" s="91"/>
      <c r="F284" s="91"/>
      <c r="G284" s="91"/>
      <c r="H284" s="91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spans="1:21">
      <c r="A285" s="7"/>
      <c r="B285" s="7"/>
      <c r="C285" s="91"/>
      <c r="D285" s="91"/>
      <c r="E285" s="91"/>
      <c r="F285" s="91"/>
      <c r="G285" s="91"/>
      <c r="H285" s="91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 spans="1:2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1">
      <c r="A287" s="57"/>
      <c r="B287" s="98"/>
      <c r="C287" s="98"/>
      <c r="D287" s="98"/>
      <c r="E287" s="98"/>
      <c r="F287" s="98"/>
      <c r="G287" s="98"/>
      <c r="H287" s="98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 spans="1:21">
      <c r="A288" s="57"/>
      <c r="B288" s="97"/>
      <c r="C288" s="98"/>
      <c r="D288" s="98"/>
      <c r="E288" s="98"/>
      <c r="F288" s="98"/>
      <c r="G288" s="98"/>
      <c r="H288" s="98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>
      <c r="A289" s="57"/>
      <c r="B289" s="98"/>
      <c r="C289" s="98"/>
      <c r="D289" s="98"/>
      <c r="E289" s="98"/>
      <c r="F289" s="98"/>
      <c r="G289" s="98"/>
      <c r="H289" s="98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</row>
    <row r="290" spans="1:21">
      <c r="A290" s="57"/>
      <c r="B290" s="7"/>
      <c r="C290" s="98"/>
      <c r="D290" s="98"/>
      <c r="E290" s="98"/>
      <c r="F290" s="98"/>
      <c r="G290" s="98"/>
      <c r="H290" s="98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</row>
    <row r="292" spans="1:21">
      <c r="A292" s="5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>
      <c r="A293" s="5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 spans="1:2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>
      <c r="A295" s="7"/>
      <c r="B295" s="7"/>
      <c r="C295" s="87"/>
      <c r="D295" s="87"/>
      <c r="E295" s="87"/>
      <c r="F295" s="87"/>
      <c r="G295" s="87"/>
      <c r="H295" s="8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</row>
    <row r="296" spans="1:21">
      <c r="A296" s="7"/>
      <c r="B296" s="7"/>
      <c r="C296" s="98"/>
      <c r="D296" s="98"/>
      <c r="E296" s="98"/>
      <c r="F296" s="98"/>
      <c r="G296" s="98"/>
      <c r="H296" s="98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 spans="1:21">
      <c r="A297" s="7"/>
      <c r="B297" s="7"/>
      <c r="C297" s="99"/>
      <c r="D297" s="99"/>
      <c r="E297" s="99"/>
      <c r="F297" s="99"/>
      <c r="G297" s="99"/>
      <c r="H297" s="99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</row>
    <row r="298" spans="1:21">
      <c r="A298" s="7"/>
      <c r="B298" s="7"/>
      <c r="C298" s="87"/>
      <c r="D298" s="87"/>
      <c r="E298" s="87"/>
      <c r="F298" s="87"/>
      <c r="G298" s="87"/>
      <c r="H298" s="8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 spans="1:21">
      <c r="A299" s="7"/>
      <c r="B299" s="7"/>
      <c r="C299" s="99"/>
      <c r="D299" s="99"/>
      <c r="E299" s="99"/>
      <c r="F299" s="99"/>
      <c r="G299" s="99"/>
      <c r="H299" s="99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</row>
    <row r="300" spans="1:21">
      <c r="A300" s="7"/>
      <c r="B300" s="7"/>
      <c r="C300" s="100"/>
      <c r="D300" s="100"/>
      <c r="E300" s="100"/>
      <c r="F300" s="100"/>
      <c r="G300" s="100"/>
      <c r="H300" s="100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</row>
    <row r="301" spans="1:21">
      <c r="A301" s="7"/>
      <c r="B301" s="7"/>
      <c r="C301" s="100"/>
      <c r="D301" s="100"/>
      <c r="E301" s="100"/>
      <c r="F301" s="100"/>
      <c r="G301" s="100"/>
      <c r="H301" s="100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</row>
    <row r="302" spans="1:21" ht="18.75" hidden="1" outlineLevel="1">
      <c r="A302" s="84"/>
      <c r="B302" s="7"/>
      <c r="C302" s="100"/>
      <c r="D302" s="100"/>
      <c r="E302" s="100"/>
      <c r="F302" s="100"/>
      <c r="G302" s="100"/>
      <c r="H302" s="100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</row>
    <row r="303" spans="1:21" hidden="1" outlineLevel="1">
      <c r="A303" s="57"/>
      <c r="B303" s="7"/>
      <c r="C303" s="100"/>
      <c r="D303" s="100"/>
      <c r="E303" s="100"/>
      <c r="F303" s="100"/>
      <c r="G303" s="100"/>
      <c r="H303" s="100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</row>
    <row r="304" spans="1:21" hidden="1" outlineLevel="1">
      <c r="A304" s="7"/>
      <c r="B304" s="7"/>
      <c r="C304" s="100"/>
      <c r="D304" s="100"/>
      <c r="E304" s="100"/>
      <c r="F304" s="100"/>
      <c r="G304" s="100"/>
      <c r="H304" s="100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</row>
    <row r="305" spans="1:26" hidden="1" outlineLevel="1">
      <c r="A305" s="57"/>
      <c r="B305" s="11"/>
      <c r="C305" s="11"/>
      <c r="D305" s="10"/>
      <c r="E305" s="10"/>
      <c r="F305" s="11"/>
      <c r="G305" s="11"/>
      <c r="H305" s="10"/>
      <c r="I305" s="11"/>
      <c r="J305" s="11"/>
      <c r="K305" s="11"/>
      <c r="L305" s="10"/>
      <c r="M305" s="11"/>
      <c r="N305" s="11"/>
      <c r="O305" s="7"/>
      <c r="P305" s="7"/>
      <c r="Q305" s="7"/>
      <c r="R305" s="7"/>
      <c r="S305" s="7"/>
      <c r="T305" s="11"/>
      <c r="U305" s="7"/>
    </row>
    <row r="306" spans="1:26" hidden="1" outlineLevel="1">
      <c r="A306" s="5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</row>
    <row r="307" spans="1:26" hidden="1" outlineLevel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</row>
    <row r="308" spans="1:26" hidden="1" outlineLevel="1">
      <c r="A308" s="7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7"/>
      <c r="P308" s="7"/>
      <c r="Q308" s="7"/>
      <c r="R308" s="7"/>
      <c r="S308" s="7"/>
      <c r="T308" s="87"/>
      <c r="U308" s="7"/>
    </row>
    <row r="309" spans="1:26" hidden="1" outlineLevel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</row>
    <row r="310" spans="1:26" hidden="1" outlineLevel="1">
      <c r="A310" s="7"/>
      <c r="B310" s="98"/>
      <c r="C310" s="98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7"/>
      <c r="P310" s="7"/>
      <c r="Q310" s="7"/>
      <c r="R310" s="7"/>
      <c r="S310" s="7"/>
      <c r="T310" s="87"/>
      <c r="U310" s="7"/>
    </row>
    <row r="311" spans="1:26" hidden="1" outlineLevel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</row>
    <row r="312" spans="1:26" hidden="1" outlineLevel="1">
      <c r="A312" s="7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7"/>
      <c r="P312" s="7"/>
      <c r="Q312" s="7"/>
      <c r="R312" s="7"/>
      <c r="S312" s="7"/>
      <c r="T312" s="87"/>
      <c r="U312" s="87"/>
      <c r="V312" s="87"/>
      <c r="W312" s="87"/>
      <c r="X312" s="87"/>
      <c r="Y312" s="87"/>
      <c r="Z312" s="87"/>
    </row>
    <row r="313" spans="1:26" hidden="1" outlineLevel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</row>
    <row r="314" spans="1:26" hidden="1" outlineLevel="1">
      <c r="A314" s="7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7"/>
      <c r="P314" s="7"/>
      <c r="Q314" s="7"/>
      <c r="R314" s="7"/>
      <c r="S314" s="7"/>
      <c r="T314" s="87"/>
      <c r="U314" s="7"/>
    </row>
    <row r="315" spans="1:26" hidden="1" outlineLevel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</row>
    <row r="316" spans="1:26" hidden="1" outlineLevel="1">
      <c r="A316" s="7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7"/>
      <c r="P316" s="7"/>
      <c r="Q316" s="7"/>
      <c r="R316" s="7"/>
      <c r="S316" s="7"/>
      <c r="T316" s="87"/>
      <c r="U316" s="87"/>
    </row>
    <row r="317" spans="1:26" hidden="1" outlineLevel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</row>
    <row r="318" spans="1:26" hidden="1" outlineLevel="1">
      <c r="A318" s="7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7"/>
      <c r="P318" s="7"/>
      <c r="Q318" s="7"/>
      <c r="R318" s="7"/>
      <c r="S318" s="7"/>
      <c r="T318" s="87"/>
      <c r="U318" s="87"/>
    </row>
    <row r="319" spans="1:26" hidden="1" outlineLevel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</row>
    <row r="320" spans="1:26" collapsed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</row>
    <row r="321" spans="1: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</row>
    <row r="322" spans="1:2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</row>
    <row r="323" spans="1:21" ht="18.75">
      <c r="A323" s="8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</row>
    <row r="324" spans="1:21">
      <c r="A324" s="5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</row>
    <row r="325" spans="1:21">
      <c r="A325" s="5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</row>
    <row r="326" spans="1:2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</row>
    <row r="327" spans="1:21">
      <c r="A327" s="2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</row>
    <row r="328" spans="1:21">
      <c r="A328" s="5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</row>
    <row r="329" spans="1:21">
      <c r="A329" s="86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</row>
    <row r="330" spans="1:21">
      <c r="A330" s="86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</row>
    <row r="331" spans="1:21">
      <c r="A331" s="86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</row>
    <row r="332" spans="1:21">
      <c r="A332" s="86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</row>
    <row r="333" spans="1:21">
      <c r="A333" s="86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</row>
    <row r="334" spans="1:21">
      <c r="A334" s="7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</row>
    <row r="335" spans="1:21">
      <c r="A335" s="57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</row>
    <row r="336" spans="1:21">
      <c r="A336" s="86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</row>
    <row r="337" spans="1:21">
      <c r="A337" s="86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</row>
    <row r="338" spans="1:21">
      <c r="A338" s="86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</row>
    <row r="339" spans="1:21">
      <c r="A339" s="86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</row>
    <row r="340" spans="1:21">
      <c r="A340" s="86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</row>
    <row r="341" spans="1:21">
      <c r="A341" s="86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</row>
    <row r="342" spans="1:21">
      <c r="A342" s="86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</row>
    <row r="343" spans="1:21">
      <c r="A343" s="86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</row>
    <row r="344" spans="1:21">
      <c r="A344" s="86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</row>
    <row r="345" spans="1:21">
      <c r="A345" s="86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</row>
    <row r="346" spans="1:21">
      <c r="A346" s="86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</row>
    <row r="347" spans="1:21">
      <c r="A347" s="57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</row>
    <row r="348" spans="1:21">
      <c r="A348" s="86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</row>
    <row r="349" spans="1:21">
      <c r="A349" s="57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</row>
    <row r="350" spans="1:21">
      <c r="A350" s="86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</row>
    <row r="351" spans="1:21">
      <c r="A351" s="57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</row>
    <row r="352" spans="1:21">
      <c r="A352" s="7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</row>
    <row r="353" spans="1:21">
      <c r="A353" s="57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</row>
    <row r="354" spans="1:21">
      <c r="A354" s="86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</row>
    <row r="355" spans="1:21">
      <c r="A355" s="86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</row>
    <row r="356" spans="1:21">
      <c r="A356" s="86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</row>
    <row r="357" spans="1:21">
      <c r="A357" s="86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</row>
    <row r="358" spans="1:21">
      <c r="A358" s="57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</row>
    <row r="359" spans="1:21">
      <c r="A359" s="57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</row>
    <row r="360" spans="1:21">
      <c r="A360" s="86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</row>
    <row r="361" spans="1:21">
      <c r="A361" s="86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</row>
    <row r="362" spans="1:21">
      <c r="A362" s="86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</row>
    <row r="363" spans="1:21">
      <c r="A363" s="86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</row>
    <row r="364" spans="1:21">
      <c r="A364" s="86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</row>
    <row r="365" spans="1:21">
      <c r="A365" s="2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</row>
    <row r="366" spans="1:21">
      <c r="A366" s="57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</row>
    <row r="367" spans="1:21">
      <c r="A367" s="7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</row>
    <row r="368" spans="1:21">
      <c r="A368" s="57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</row>
    <row r="369" spans="1:21">
      <c r="A369" s="57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</row>
    <row r="370" spans="1:21">
      <c r="A370" s="57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</row>
    <row r="371" spans="1:2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</row>
    <row r="372" spans="1:2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</row>
    <row r="373" spans="1:21" ht="18.75">
      <c r="A373" s="8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</row>
    <row r="374" spans="1:21">
      <c r="A374" s="5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</row>
    <row r="375" spans="1:21">
      <c r="A375" s="5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</row>
    <row r="376" spans="1:2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</row>
    <row r="377" spans="1:21">
      <c r="A377" s="2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7"/>
      <c r="P377" s="7"/>
      <c r="Q377" s="7"/>
      <c r="R377" s="7"/>
      <c r="S377" s="7"/>
      <c r="T377" s="7"/>
      <c r="U377" s="7"/>
    </row>
    <row r="378" spans="1:21">
      <c r="A378" s="5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</row>
    <row r="379" spans="1:21">
      <c r="A379" s="86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7"/>
      <c r="P379" s="7"/>
      <c r="Q379" s="7"/>
      <c r="R379" s="7"/>
      <c r="S379" s="7"/>
      <c r="T379" s="7"/>
      <c r="U379" s="7"/>
    </row>
    <row r="380" spans="1:21">
      <c r="A380" s="86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7"/>
      <c r="P380" s="7"/>
      <c r="Q380" s="7"/>
      <c r="R380" s="7"/>
      <c r="S380" s="7"/>
      <c r="T380" s="7"/>
      <c r="U380" s="7"/>
    </row>
    <row r="381" spans="1:21">
      <c r="A381" s="86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7"/>
      <c r="P381" s="7"/>
      <c r="Q381" s="7"/>
      <c r="R381" s="7"/>
      <c r="S381" s="7"/>
      <c r="T381" s="7"/>
      <c r="U381" s="7"/>
    </row>
    <row r="382" spans="1:21">
      <c r="A382" s="86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7"/>
      <c r="P382" s="7"/>
      <c r="Q382" s="7"/>
      <c r="R382" s="7"/>
      <c r="S382" s="7"/>
      <c r="T382" s="7"/>
      <c r="U382" s="7"/>
    </row>
    <row r="383" spans="1:21">
      <c r="A383" s="86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7"/>
      <c r="P383" s="7"/>
      <c r="Q383" s="7"/>
      <c r="R383" s="7"/>
      <c r="S383" s="7"/>
      <c r="T383" s="7"/>
      <c r="U383" s="7"/>
    </row>
    <row r="384" spans="1:21">
      <c r="A384" s="86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7"/>
      <c r="P384" s="7"/>
      <c r="Q384" s="7"/>
      <c r="R384" s="7"/>
      <c r="S384" s="7"/>
      <c r="T384" s="7"/>
      <c r="U384" s="7"/>
    </row>
    <row r="385" spans="1:21">
      <c r="A385" s="57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7"/>
      <c r="P385" s="7"/>
      <c r="Q385" s="7"/>
      <c r="R385" s="7"/>
      <c r="S385" s="7"/>
      <c r="T385" s="7"/>
      <c r="U385" s="7"/>
    </row>
    <row r="386" spans="1:21">
      <c r="A386" s="86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7"/>
      <c r="P386" s="7"/>
      <c r="Q386" s="7"/>
      <c r="R386" s="7"/>
      <c r="S386" s="7"/>
      <c r="T386" s="7"/>
      <c r="U386" s="7"/>
    </row>
    <row r="387" spans="1:21">
      <c r="A387" s="86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7"/>
      <c r="P387" s="7"/>
      <c r="Q387" s="7"/>
      <c r="R387" s="7"/>
      <c r="S387" s="7"/>
      <c r="T387" s="7"/>
      <c r="U387" s="7"/>
    </row>
    <row r="388" spans="1:21">
      <c r="A388" s="86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7"/>
      <c r="P388" s="7"/>
      <c r="Q388" s="7"/>
      <c r="R388" s="7"/>
      <c r="S388" s="7"/>
      <c r="T388" s="7"/>
      <c r="U388" s="7"/>
    </row>
    <row r="389" spans="1:21">
      <c r="A389" s="86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7"/>
      <c r="P389" s="7"/>
      <c r="Q389" s="7"/>
      <c r="R389" s="7"/>
      <c r="S389" s="7"/>
      <c r="T389" s="7"/>
      <c r="U389" s="7"/>
    </row>
    <row r="390" spans="1:21">
      <c r="A390" s="86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7"/>
      <c r="P390" s="7"/>
      <c r="Q390" s="7"/>
      <c r="R390" s="7"/>
      <c r="S390" s="7"/>
      <c r="T390" s="7"/>
      <c r="U390" s="7"/>
    </row>
    <row r="391" spans="1:21">
      <c r="A391" s="86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7"/>
      <c r="P391" s="7"/>
      <c r="Q391" s="7"/>
      <c r="R391" s="7"/>
      <c r="S391" s="7"/>
      <c r="T391" s="7"/>
      <c r="U391" s="7"/>
    </row>
    <row r="392" spans="1:21">
      <c r="A392" s="86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7"/>
      <c r="P392" s="7"/>
      <c r="Q392" s="7"/>
      <c r="R392" s="7"/>
      <c r="S392" s="7"/>
      <c r="T392" s="7"/>
      <c r="U392" s="7"/>
    </row>
    <row r="393" spans="1:21">
      <c r="A393" s="86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7"/>
      <c r="P393" s="7"/>
      <c r="Q393" s="7"/>
      <c r="R393" s="7"/>
      <c r="S393" s="7"/>
      <c r="T393" s="7"/>
      <c r="U393" s="7"/>
    </row>
    <row r="394" spans="1:21">
      <c r="A394" s="86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7"/>
      <c r="P394" s="7"/>
      <c r="Q394" s="7"/>
      <c r="R394" s="7"/>
      <c r="S394" s="7"/>
      <c r="T394" s="7"/>
      <c r="U394" s="7"/>
    </row>
    <row r="395" spans="1:21">
      <c r="A395" s="86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7"/>
      <c r="P395" s="7"/>
      <c r="Q395" s="7"/>
      <c r="R395" s="7"/>
      <c r="S395" s="7"/>
      <c r="T395" s="7"/>
      <c r="U395" s="7"/>
    </row>
    <row r="396" spans="1:21">
      <c r="A396" s="86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7"/>
      <c r="P396" s="7"/>
      <c r="Q396" s="7"/>
      <c r="R396" s="7"/>
      <c r="S396" s="7"/>
      <c r="T396" s="7"/>
      <c r="U396" s="7"/>
    </row>
    <row r="397" spans="1:21">
      <c r="A397" s="86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7"/>
      <c r="P397" s="7"/>
      <c r="Q397" s="7"/>
      <c r="R397" s="7"/>
      <c r="S397" s="7"/>
      <c r="T397" s="7"/>
      <c r="U397" s="7"/>
    </row>
    <row r="398" spans="1:21">
      <c r="A398" s="57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7"/>
      <c r="P398" s="7"/>
      <c r="Q398" s="7"/>
      <c r="R398" s="7"/>
      <c r="S398" s="7"/>
      <c r="T398" s="7"/>
      <c r="U398" s="7"/>
    </row>
    <row r="399" spans="1:21">
      <c r="A399" s="7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7"/>
      <c r="P399" s="7"/>
      <c r="Q399" s="7"/>
      <c r="R399" s="7"/>
      <c r="S399" s="7"/>
      <c r="T399" s="7"/>
      <c r="U399" s="7"/>
    </row>
    <row r="400" spans="1:21">
      <c r="A400" s="86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7"/>
      <c r="P400" s="7"/>
      <c r="Q400" s="7"/>
      <c r="R400" s="7"/>
      <c r="S400" s="7"/>
      <c r="T400" s="7"/>
      <c r="U400" s="7"/>
    </row>
    <row r="401" spans="1:21">
      <c r="A401" s="57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7"/>
      <c r="P401" s="7"/>
      <c r="Q401" s="7"/>
      <c r="R401" s="7"/>
      <c r="S401" s="7"/>
      <c r="T401" s="7"/>
      <c r="U401" s="7"/>
    </row>
    <row r="402" spans="1:21">
      <c r="A402" s="86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7"/>
      <c r="P402" s="7"/>
      <c r="Q402" s="7"/>
      <c r="R402" s="7"/>
      <c r="S402" s="7"/>
      <c r="T402" s="7"/>
      <c r="U402" s="7"/>
    </row>
    <row r="403" spans="1:21">
      <c r="A403" s="57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7"/>
      <c r="P403" s="7"/>
      <c r="Q403" s="7"/>
      <c r="R403" s="7"/>
      <c r="S403" s="7"/>
      <c r="T403" s="7"/>
      <c r="U403" s="7"/>
    </row>
    <row r="404" spans="1:21">
      <c r="A404" s="57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7"/>
      <c r="P404" s="7"/>
      <c r="Q404" s="7"/>
      <c r="R404" s="7"/>
      <c r="S404" s="7"/>
      <c r="T404" s="7"/>
      <c r="U404" s="7"/>
    </row>
    <row r="405" spans="1:21">
      <c r="A405" s="57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7"/>
      <c r="P405" s="7"/>
      <c r="Q405" s="7"/>
      <c r="R405" s="7"/>
      <c r="S405" s="7"/>
      <c r="T405" s="7"/>
      <c r="U405" s="7"/>
    </row>
    <row r="406" spans="1:21">
      <c r="A406" s="57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7"/>
      <c r="P406" s="7"/>
      <c r="Q406" s="7"/>
      <c r="R406" s="7"/>
      <c r="S406" s="7"/>
      <c r="T406" s="7"/>
      <c r="U406" s="7"/>
    </row>
    <row r="407" spans="1:21">
      <c r="A407" s="57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7"/>
      <c r="P407" s="7"/>
      <c r="Q407" s="7"/>
      <c r="R407" s="7"/>
      <c r="S407" s="7"/>
      <c r="T407" s="7"/>
      <c r="U407" s="7"/>
    </row>
    <row r="408" spans="1:21">
      <c r="A408" s="57"/>
      <c r="B408" s="101"/>
      <c r="C408" s="101"/>
      <c r="D408"/>
      <c r="E408"/>
      <c r="F408"/>
      <c r="G408"/>
      <c r="H408"/>
      <c r="I408" s="101"/>
      <c r="J408" s="101"/>
      <c r="K408" s="101"/>
      <c r="L408" s="101"/>
      <c r="M408" s="101"/>
      <c r="N408" s="101"/>
      <c r="O408" s="7"/>
      <c r="P408" s="7"/>
      <c r="Q408" s="7"/>
      <c r="R408" s="7"/>
      <c r="S408" s="7"/>
      <c r="T408" s="7"/>
      <c r="U408" s="7"/>
    </row>
    <row r="409" spans="1:21">
      <c r="A409" s="57"/>
      <c r="B409" s="101"/>
      <c r="C409" s="101"/>
      <c r="D409"/>
      <c r="E409"/>
      <c r="F409"/>
      <c r="G409"/>
      <c r="H409"/>
      <c r="I409" s="101"/>
      <c r="J409" s="101"/>
      <c r="K409" s="101"/>
      <c r="L409" s="101"/>
      <c r="M409" s="101"/>
      <c r="N409" s="101"/>
      <c r="O409" s="7"/>
      <c r="P409" s="7"/>
      <c r="Q409" s="7"/>
      <c r="R409" s="7"/>
      <c r="S409" s="7"/>
      <c r="T409" s="7"/>
      <c r="U409" s="7"/>
    </row>
    <row r="410" spans="1:21">
      <c r="A410" s="57"/>
      <c r="B410" s="101"/>
      <c r="C410" s="101"/>
      <c r="D410"/>
      <c r="E410"/>
      <c r="F410"/>
      <c r="G410"/>
      <c r="H410"/>
      <c r="I410" s="101"/>
      <c r="J410" s="101"/>
      <c r="K410" s="101"/>
      <c r="L410" s="101"/>
      <c r="M410" s="101"/>
      <c r="N410" s="101"/>
      <c r="O410" s="7"/>
      <c r="P410" s="7"/>
      <c r="Q410" s="7"/>
      <c r="R410" s="7"/>
      <c r="S410" s="7"/>
      <c r="T410" s="7"/>
      <c r="U410" s="7"/>
    </row>
    <row r="411" spans="1:21">
      <c r="A411" s="7"/>
      <c r="B411" s="101"/>
      <c r="C411" s="101"/>
      <c r="D411"/>
      <c r="E411"/>
      <c r="F411"/>
      <c r="G411"/>
      <c r="H41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</row>
    <row r="412" spans="1:21">
      <c r="A412" s="7"/>
      <c r="B412" s="101"/>
      <c r="C412" s="101"/>
      <c r="D412"/>
      <c r="E412"/>
      <c r="F412"/>
      <c r="G412"/>
      <c r="H412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</row>
    <row r="413" spans="1:21">
      <c r="A413" s="7"/>
      <c r="B413" s="101"/>
      <c r="C413" s="101"/>
      <c r="D413"/>
      <c r="E413"/>
      <c r="F413"/>
      <c r="G413"/>
      <c r="H413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</row>
    <row r="414" spans="1:21">
      <c r="A414" s="7"/>
      <c r="B414" s="101"/>
      <c r="C414" s="101"/>
      <c r="D414"/>
      <c r="E414"/>
      <c r="F414"/>
      <c r="G414"/>
      <c r="H414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</row>
    <row r="415" spans="1:21">
      <c r="A415" s="7"/>
      <c r="B415" s="101"/>
      <c r="C415" s="101"/>
      <c r="D415"/>
      <c r="E415"/>
      <c r="F415"/>
      <c r="G415"/>
      <c r="H415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</row>
    <row r="416" spans="1:21">
      <c r="A416" s="7"/>
      <c r="B416" s="101"/>
      <c r="C416" s="101"/>
      <c r="D416"/>
      <c r="E416"/>
      <c r="F416"/>
      <c r="G416"/>
      <c r="H416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</row>
    <row r="417" spans="1:21">
      <c r="A417" s="57"/>
      <c r="B417" s="101"/>
      <c r="C417" s="101"/>
      <c r="D417"/>
      <c r="E417"/>
      <c r="F417"/>
      <c r="G417"/>
      <c r="H417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</row>
    <row r="418" spans="1:21">
      <c r="A418" s="7"/>
      <c r="B418" s="101"/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</row>
    <row r="419" spans="1:21">
      <c r="A419" s="7"/>
      <c r="B419" s="101"/>
      <c r="C419" s="101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</row>
    <row r="420" spans="1:21">
      <c r="A420" s="57"/>
      <c r="B420" s="101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</row>
    <row r="421" spans="1:21">
      <c r="A421" s="57"/>
      <c r="B421" s="101"/>
      <c r="C421" s="101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</row>
    <row r="422" spans="1:21">
      <c r="A422" s="7"/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</row>
    <row r="423" spans="1:21">
      <c r="A423" s="7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</row>
    <row r="424" spans="1:21">
      <c r="A424" s="7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</row>
    <row r="425" spans="1:21">
      <c r="A425" s="7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</row>
    <row r="426" spans="1:21">
      <c r="A426" s="7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</row>
    <row r="427" spans="1:21">
      <c r="A427" s="7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</row>
    <row r="428" spans="1:21">
      <c r="A428" s="7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</row>
    <row r="429" spans="1:21">
      <c r="A429" s="7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7"/>
      <c r="P429" s="7"/>
      <c r="Q429" s="7"/>
      <c r="R429" s="7"/>
      <c r="S429" s="7"/>
      <c r="T429" s="7"/>
      <c r="U429" s="7"/>
    </row>
    <row r="430" spans="1:21">
      <c r="A430" s="57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7"/>
      <c r="P430" s="7"/>
      <c r="Q430" s="7"/>
      <c r="R430" s="7"/>
      <c r="S430" s="7"/>
      <c r="T430" s="7"/>
      <c r="U430" s="7"/>
    </row>
    <row r="431" spans="1:21">
      <c r="A431" s="57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7"/>
      <c r="P431" s="7"/>
      <c r="Q431" s="7"/>
      <c r="R431" s="7"/>
      <c r="S431" s="7"/>
      <c r="T431" s="7"/>
      <c r="U431" s="7"/>
    </row>
    <row r="432" spans="1:21">
      <c r="A432" s="57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7"/>
      <c r="P432" s="7"/>
      <c r="Q432" s="7"/>
      <c r="R432" s="7"/>
      <c r="S432" s="7"/>
      <c r="T432" s="7"/>
      <c r="U432" s="7"/>
    </row>
    <row r="433" spans="1:21">
      <c r="A433" s="57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7"/>
      <c r="P433" s="7"/>
      <c r="Q433" s="7"/>
      <c r="R433" s="7"/>
      <c r="S433" s="7"/>
      <c r="T433" s="7"/>
      <c r="U433" s="7"/>
    </row>
    <row r="434" spans="1:21">
      <c r="A434" s="57"/>
      <c r="B434" s="102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7"/>
      <c r="P434" s="7"/>
      <c r="Q434" s="7"/>
      <c r="R434" s="7"/>
      <c r="S434" s="7"/>
      <c r="T434" s="7"/>
      <c r="U434" s="7"/>
    </row>
    <row r="435" spans="1:2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</row>
    <row r="436" spans="1:21" ht="18.75">
      <c r="A436" s="84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</row>
    <row r="437" spans="1:21">
      <c r="A437" s="5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</row>
    <row r="438" spans="1:2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</row>
    <row r="439" spans="1:2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</row>
    <row r="440" spans="1:21">
      <c r="A440" s="2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</row>
    <row r="441" spans="1:21">
      <c r="A441" s="7"/>
      <c r="B441" s="7"/>
      <c r="C441" s="73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</row>
    <row r="442" spans="1:21">
      <c r="A442" s="57"/>
      <c r="B442" s="7"/>
      <c r="C442" s="73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7"/>
      <c r="P442" s="7"/>
      <c r="Q442" s="7"/>
      <c r="R442" s="7"/>
      <c r="S442" s="7"/>
      <c r="T442" s="7"/>
      <c r="U442" s="7"/>
    </row>
    <row r="443" spans="1:21">
      <c r="A443" s="7"/>
      <c r="B443" s="7"/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"/>
      <c r="P443" s="7"/>
      <c r="Q443" s="7"/>
      <c r="R443" s="7"/>
      <c r="S443" s="7"/>
      <c r="T443" s="7"/>
      <c r="U443" s="7"/>
    </row>
    <row r="444" spans="1:21">
      <c r="A444" s="7"/>
      <c r="B444" s="7"/>
      <c r="C444" s="73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7"/>
      <c r="P444" s="7"/>
      <c r="Q444" s="7"/>
      <c r="R444" s="7"/>
      <c r="S444" s="7"/>
      <c r="T444" s="7"/>
      <c r="U444" s="7"/>
    </row>
    <row r="445" spans="1:21">
      <c r="A445" s="7"/>
      <c r="B445" s="7"/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"/>
      <c r="P445" s="7"/>
      <c r="Q445" s="7"/>
      <c r="R445" s="7"/>
      <c r="S445" s="7"/>
      <c r="T445" s="7"/>
      <c r="U445" s="7"/>
    </row>
    <row r="446" spans="1:21">
      <c r="A446" s="7"/>
      <c r="B446" s="7"/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"/>
      <c r="P446" s="7"/>
      <c r="Q446" s="7"/>
      <c r="R446" s="7"/>
      <c r="S446" s="7"/>
      <c r="T446" s="7"/>
      <c r="U446" s="7"/>
    </row>
    <row r="447" spans="1:21">
      <c r="A447" s="94"/>
      <c r="B447" s="7"/>
      <c r="C447" s="73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7"/>
      <c r="P447" s="7"/>
      <c r="Q447" s="7"/>
      <c r="R447" s="7"/>
      <c r="S447" s="7"/>
      <c r="T447" s="7"/>
      <c r="U447" s="7"/>
    </row>
    <row r="448" spans="1:21">
      <c r="A448" s="94"/>
      <c r="B448" s="7"/>
      <c r="C448" s="73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7"/>
      <c r="P448" s="7"/>
      <c r="Q448" s="7"/>
      <c r="R448" s="7"/>
      <c r="S448" s="7"/>
      <c r="T448" s="7"/>
      <c r="U448" s="7"/>
    </row>
    <row r="449" spans="1:21">
      <c r="A449" s="57"/>
      <c r="B449" s="7"/>
      <c r="C449" s="73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</row>
    <row r="450" spans="1:21">
      <c r="A450" s="7"/>
      <c r="B450" s="102"/>
      <c r="C450" s="103"/>
      <c r="D450" s="103"/>
      <c r="E450" s="103"/>
      <c r="F450" s="103"/>
      <c r="G450" s="103"/>
      <c r="H450" s="103"/>
      <c r="I450" s="103"/>
      <c r="J450" s="103"/>
      <c r="K450" s="103"/>
      <c r="L450" s="103"/>
      <c r="M450" s="103"/>
      <c r="N450" s="103"/>
      <c r="O450" s="7"/>
      <c r="P450" s="7"/>
      <c r="Q450" s="7"/>
      <c r="R450" s="7"/>
      <c r="S450" s="7"/>
      <c r="T450" s="7"/>
      <c r="U450" s="7"/>
    </row>
    <row r="451" spans="1:21">
      <c r="A451" s="7"/>
      <c r="B451" s="7"/>
      <c r="C451" s="73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</row>
    <row r="452" spans="1:21">
      <c r="A452" s="57"/>
      <c r="B452" s="7"/>
      <c r="C452" s="73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7"/>
      <c r="P452" s="7"/>
      <c r="Q452" s="7"/>
      <c r="R452" s="7"/>
      <c r="S452" s="7"/>
      <c r="T452" s="7"/>
      <c r="U452" s="7"/>
    </row>
    <row r="453" spans="1:21">
      <c r="A453" s="7"/>
      <c r="B453" s="7"/>
      <c r="C453" s="73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7"/>
      <c r="P453" s="7"/>
      <c r="Q453" s="7"/>
      <c r="R453" s="7"/>
      <c r="S453" s="7"/>
      <c r="T453" s="7"/>
      <c r="U453" s="7"/>
    </row>
    <row r="454" spans="1:21">
      <c r="A454" s="57"/>
      <c r="B454" s="7"/>
      <c r="C454" s="73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7"/>
      <c r="P454" s="7"/>
      <c r="Q454" s="7"/>
      <c r="R454" s="7"/>
      <c r="S454" s="7"/>
      <c r="T454" s="7"/>
      <c r="U454" s="7"/>
    </row>
    <row r="455" spans="1:2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</row>
    <row r="456" spans="1:2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</row>
    <row r="457" spans="1:21" s="106" customFormat="1" ht="18.75">
      <c r="A457" s="104"/>
      <c r="B457" s="105"/>
      <c r="C457" s="105"/>
    </row>
    <row r="458" spans="1:21" s="106" customFormat="1">
      <c r="A458" s="105"/>
      <c r="B458" s="107"/>
      <c r="C458" s="108"/>
      <c r="D458" s="105"/>
      <c r="E458" s="109"/>
    </row>
    <row r="459" spans="1:21" s="106" customFormat="1">
      <c r="A459" s="105"/>
      <c r="B459" s="110"/>
      <c r="C459" s="88"/>
      <c r="D459" s="88"/>
      <c r="E459" s="109"/>
    </row>
    <row r="460" spans="1:21" s="106" customFormat="1">
      <c r="A460" s="105"/>
      <c r="B460" s="88"/>
      <c r="C460" s="109"/>
      <c r="D460" s="88"/>
      <c r="E460" s="110"/>
    </row>
    <row r="461" spans="1:21" s="106" customFormat="1">
      <c r="A461" s="111"/>
      <c r="B461" s="107"/>
      <c r="C461" s="107"/>
      <c r="D461" s="107"/>
      <c r="E461" s="107"/>
      <c r="F461" s="107"/>
      <c r="G461" s="107"/>
      <c r="H461" s="107"/>
      <c r="I461" s="107"/>
      <c r="J461" s="107"/>
      <c r="K461" s="107"/>
      <c r="L461" s="107"/>
      <c r="M461" s="107"/>
      <c r="N461" s="107"/>
      <c r="O461" s="107"/>
      <c r="P461" s="107"/>
      <c r="Q461" s="107"/>
      <c r="R461" s="107"/>
      <c r="S461" s="107"/>
      <c r="T461" s="107"/>
      <c r="U461" s="107"/>
    </row>
    <row r="462" spans="1:21" s="106" customFormat="1">
      <c r="A462" s="80"/>
      <c r="B462" s="105"/>
      <c r="C462" s="112"/>
      <c r="D462" s="112"/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</row>
    <row r="463" spans="1:21" s="106" customFormat="1">
      <c r="A463" s="79"/>
      <c r="B463" s="112"/>
      <c r="C463" s="112"/>
      <c r="D463" s="112"/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</row>
    <row r="464" spans="1:21" s="106" customFormat="1">
      <c r="A464" s="79"/>
      <c r="B464" s="112"/>
      <c r="C464" s="112"/>
      <c r="D464" s="112"/>
      <c r="E464" s="112"/>
      <c r="F464" s="112"/>
      <c r="G464" s="112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</row>
    <row r="465" spans="1:21" s="106" customFormat="1">
      <c r="A465" s="79"/>
      <c r="B465" s="112"/>
      <c r="C465" s="112"/>
      <c r="D465" s="112"/>
      <c r="E465" s="112"/>
      <c r="F465" s="112"/>
      <c r="G465" s="112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</row>
    <row r="466" spans="1:21" s="106" customFormat="1">
      <c r="A466" s="78"/>
      <c r="B466" s="112"/>
      <c r="C466" s="112"/>
      <c r="D466" s="112"/>
      <c r="E466" s="112"/>
      <c r="F466" s="112"/>
      <c r="G466" s="112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</row>
    <row r="467" spans="1:21" s="106" customFormat="1">
      <c r="A467" s="69"/>
      <c r="B467" s="112"/>
      <c r="C467" s="112"/>
      <c r="D467" s="112"/>
      <c r="E467" s="112"/>
      <c r="F467" s="112"/>
      <c r="G467" s="112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</row>
    <row r="468" spans="1:21" s="106" customFormat="1">
      <c r="A468" s="80"/>
      <c r="B468" s="112"/>
      <c r="C468" s="112"/>
      <c r="D468" s="112"/>
      <c r="E468" s="112"/>
      <c r="F468" s="112"/>
      <c r="G468" s="112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</row>
    <row r="469" spans="1:21" s="106" customFormat="1">
      <c r="A469" s="113"/>
      <c r="B469" s="112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</row>
    <row r="470" spans="1:21" s="106" customFormat="1">
      <c r="A470" s="113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</row>
    <row r="471" spans="1:21" s="106" customFormat="1">
      <c r="A471" s="113"/>
      <c r="B471" s="112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</row>
    <row r="472" spans="1:21" s="106" customFormat="1">
      <c r="A472" s="113"/>
      <c r="B472" s="112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</row>
    <row r="473" spans="1:21" s="106" customFormat="1">
      <c r="A473" s="113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</row>
    <row r="474" spans="1:21" s="106" customFormat="1">
      <c r="A474" s="83"/>
      <c r="B474" s="112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</row>
    <row r="475" spans="1:21" s="106" customFormat="1">
      <c r="A475" s="113"/>
      <c r="B475" s="112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</row>
    <row r="476" spans="1:21" s="106" customFormat="1">
      <c r="A476" s="113"/>
      <c r="B476" s="112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</row>
    <row r="477" spans="1:21" s="106" customFormat="1">
      <c r="A477" s="113"/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</row>
    <row r="478" spans="1:21" s="106" customFormat="1">
      <c r="A478" s="113"/>
      <c r="B478" s="112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</row>
    <row r="479" spans="1:21" s="106" customFormat="1">
      <c r="A479" s="113"/>
      <c r="B479" s="112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</row>
    <row r="480" spans="1:21" s="106" customFormat="1">
      <c r="A480" s="80"/>
      <c r="B480" s="112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</row>
    <row r="481" spans="1:21" s="106" customFormat="1">
      <c r="A481" s="80"/>
      <c r="B481" s="112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</row>
    <row r="482" spans="1:21" s="106" customFormat="1">
      <c r="A482" s="80"/>
      <c r="B482" s="112"/>
      <c r="C482" s="112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</row>
    <row r="483" spans="1:21" s="106" customFormat="1">
      <c r="A483" s="80"/>
      <c r="B483" s="112"/>
      <c r="C483" s="112"/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</row>
    <row r="484" spans="1:21" s="106" customFormat="1">
      <c r="A484" s="79"/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</row>
    <row r="485" spans="1:21" s="106" customFormat="1">
      <c r="A485" s="79"/>
      <c r="B485" s="112"/>
      <c r="C485" s="112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</row>
    <row r="486" spans="1:21" s="106" customFormat="1">
      <c r="A486" s="80"/>
      <c r="B486" s="112"/>
      <c r="C486" s="112"/>
      <c r="D486" s="112"/>
      <c r="E486" s="112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</row>
    <row r="487" spans="1:21" s="106" customFormat="1">
      <c r="A487" s="82"/>
      <c r="B487" s="114"/>
      <c r="C487" s="114"/>
      <c r="D487" s="114"/>
      <c r="E487" s="114"/>
      <c r="F487" s="114"/>
      <c r="G487" s="114"/>
      <c r="H487" s="114"/>
      <c r="I487" s="114"/>
      <c r="J487" s="114"/>
      <c r="K487" s="114"/>
      <c r="L487" s="114"/>
      <c r="M487" s="114"/>
      <c r="N487" s="114"/>
      <c r="O487" s="114"/>
      <c r="P487" s="114"/>
      <c r="Q487" s="114"/>
      <c r="R487" s="114"/>
      <c r="S487" s="114"/>
      <c r="T487" s="114"/>
      <c r="U487" s="114"/>
    </row>
    <row r="488" spans="1:21" s="106" customFormat="1">
      <c r="A488" s="79"/>
      <c r="B488" s="112"/>
      <c r="C488" s="112"/>
      <c r="D488" s="112"/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</row>
    <row r="489" spans="1:21" s="106" customFormat="1" ht="13.9" customHeight="1">
      <c r="A489" s="78"/>
      <c r="B489" s="112"/>
      <c r="C489" s="112"/>
      <c r="D489" s="112"/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</row>
    <row r="490" spans="1:21" s="116" customFormat="1">
      <c r="A490" s="115"/>
      <c r="B490" s="112"/>
      <c r="C490" s="112"/>
      <c r="D490" s="112"/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</row>
    <row r="491" spans="1:21" s="106" customFormat="1">
      <c r="A491" s="78"/>
      <c r="B491" s="112"/>
      <c r="C491" s="112"/>
      <c r="D491" s="112"/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</row>
    <row r="492" spans="1:21" s="106" customFormat="1">
      <c r="A492" s="79"/>
      <c r="B492" s="112"/>
      <c r="C492" s="112"/>
      <c r="D492" s="112"/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</row>
    <row r="493" spans="1:21" s="106" customFormat="1">
      <c r="A493" s="79"/>
      <c r="B493" s="112"/>
      <c r="C493" s="112"/>
      <c r="D493" s="112"/>
      <c r="E493" s="112"/>
      <c r="F493" s="112"/>
      <c r="G493" s="112"/>
      <c r="H493" s="112"/>
      <c r="I493" s="112"/>
      <c r="J493" s="112"/>
      <c r="K493" s="112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</row>
    <row r="494" spans="1:21" s="106" customFormat="1">
      <c r="A494" s="79"/>
      <c r="B494" s="112"/>
      <c r="C494" s="112"/>
      <c r="D494" s="112"/>
      <c r="E494" s="112"/>
      <c r="F494" s="112"/>
      <c r="G494" s="112"/>
      <c r="H494" s="112"/>
      <c r="I494" s="112"/>
      <c r="J494" s="112"/>
      <c r="K494" s="112"/>
      <c r="L494" s="112"/>
      <c r="M494" s="112"/>
      <c r="N494" s="112"/>
      <c r="O494" s="112"/>
      <c r="P494" s="112"/>
      <c r="Q494" s="112"/>
      <c r="R494" s="112"/>
      <c r="S494" s="112"/>
      <c r="T494" s="112"/>
      <c r="U494" s="112"/>
    </row>
    <row r="495" spans="1:21" s="106" customFormat="1">
      <c r="A495" s="79"/>
      <c r="B495" s="112"/>
      <c r="C495" s="112"/>
      <c r="D495" s="112"/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</row>
    <row r="496" spans="1:21" s="106" customFormat="1">
      <c r="A496" s="80"/>
      <c r="B496" s="112"/>
      <c r="C496" s="112"/>
      <c r="D496" s="112"/>
      <c r="E496" s="112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</row>
    <row r="497" spans="1:21" s="116" customFormat="1">
      <c r="A497"/>
      <c r="B497"/>
      <c r="C497"/>
      <c r="D497"/>
      <c r="E497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</row>
    <row r="498" spans="1:21" s="106" customFormat="1">
      <c r="A498"/>
      <c r="B498"/>
      <c r="C498"/>
      <c r="D498"/>
      <c r="E498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</row>
    <row r="499" spans="1:21" s="106" customFormat="1">
      <c r="A499"/>
      <c r="B499"/>
      <c r="C499"/>
      <c r="D499"/>
      <c r="E499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</row>
    <row r="500" spans="1:21" s="106" customFormat="1">
      <c r="A500"/>
      <c r="B500"/>
      <c r="C500"/>
      <c r="D500"/>
      <c r="E500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</row>
    <row r="501" spans="1:21" s="106" customFormat="1">
      <c r="A501"/>
      <c r="B501"/>
      <c r="C501"/>
      <c r="D501"/>
      <c r="E501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</row>
    <row r="502" spans="1:21" s="106" customFormat="1">
      <c r="A502"/>
      <c r="B502"/>
      <c r="C502"/>
      <c r="D502"/>
      <c r="E502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</row>
    <row r="503" spans="1:21" s="116" customFormat="1">
      <c r="A503"/>
      <c r="B503"/>
      <c r="C503"/>
      <c r="D503"/>
      <c r="E503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</row>
    <row r="504" spans="1:21" s="106" customFormat="1">
      <c r="A504"/>
      <c r="B504"/>
      <c r="C504"/>
      <c r="D504"/>
      <c r="E504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</row>
    <row r="505" spans="1:21" s="106" customFormat="1">
      <c r="A505"/>
      <c r="B505"/>
      <c r="C505"/>
      <c r="D505"/>
      <c r="E505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</row>
    <row r="506" spans="1:21" s="106" customFormat="1">
      <c r="A506"/>
      <c r="B506"/>
      <c r="C506"/>
      <c r="D506"/>
      <c r="E506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</row>
    <row r="507" spans="1:21" s="116" customFormat="1">
      <c r="A507"/>
      <c r="B507"/>
      <c r="C507"/>
      <c r="D507"/>
      <c r="E507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</row>
    <row r="508" spans="1:21" s="106" customFormat="1">
      <c r="A508" s="80"/>
      <c r="B508" s="112"/>
      <c r="C508" s="112"/>
      <c r="D508" s="112"/>
      <c r="E508" s="112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</row>
    <row r="509" spans="1:21" s="116" customFormat="1">
      <c r="A509" s="117"/>
      <c r="B509" s="112"/>
      <c r="C509" s="112"/>
      <c r="D509" s="112"/>
      <c r="E509" s="112"/>
      <c r="F509" s="112"/>
      <c r="G509" s="112"/>
      <c r="H509" s="112"/>
      <c r="I509" s="112"/>
      <c r="J509" s="112"/>
      <c r="K509" s="112"/>
      <c r="L509" s="112"/>
      <c r="M509" s="112"/>
      <c r="N509" s="112"/>
      <c r="O509" s="112"/>
      <c r="P509" s="112"/>
      <c r="Q509" s="112"/>
      <c r="R509" s="112"/>
      <c r="S509" s="112"/>
      <c r="T509" s="112"/>
      <c r="U509" s="112"/>
    </row>
    <row r="510" spans="1:21" s="106" customFormat="1">
      <c r="A510" s="80"/>
      <c r="B510" s="112"/>
      <c r="C510" s="112"/>
      <c r="D510" s="112"/>
      <c r="E510" s="112"/>
      <c r="F510" s="112"/>
      <c r="G510" s="112"/>
      <c r="H510" s="112"/>
      <c r="I510" s="112"/>
      <c r="J510" s="112"/>
      <c r="K510" s="112"/>
      <c r="L510" s="112"/>
      <c r="M510" s="112"/>
      <c r="N510" s="112"/>
      <c r="O510" s="112"/>
      <c r="P510" s="112"/>
      <c r="Q510" s="112"/>
      <c r="R510" s="112"/>
      <c r="S510" s="112"/>
      <c r="T510" s="112"/>
      <c r="U510" s="112"/>
    </row>
    <row r="511" spans="1:21" s="106" customFormat="1">
      <c r="A511" s="80"/>
      <c r="B511" s="112"/>
      <c r="C511" s="112"/>
      <c r="D511" s="112"/>
      <c r="E511" s="112"/>
      <c r="F511" s="112"/>
      <c r="G511" s="112"/>
      <c r="H511" s="112"/>
      <c r="I511" s="112"/>
      <c r="J511" s="112"/>
      <c r="K511" s="112"/>
      <c r="L511" s="112"/>
      <c r="M511" s="112"/>
      <c r="N511" s="112"/>
      <c r="O511" s="112"/>
      <c r="P511" s="112"/>
      <c r="Q511" s="112"/>
      <c r="R511" s="112"/>
      <c r="S511" s="112"/>
      <c r="T511" s="112"/>
      <c r="U511" s="112"/>
    </row>
    <row r="512" spans="1:21" s="106" customFormat="1">
      <c r="A512" s="80"/>
      <c r="B512" s="112"/>
      <c r="C512" s="112"/>
      <c r="D512" s="112"/>
      <c r="E512" s="112"/>
      <c r="F512" s="112"/>
      <c r="G512" s="112"/>
      <c r="H512" s="112"/>
      <c r="I512" s="112"/>
      <c r="J512" s="112"/>
      <c r="K512" s="112"/>
      <c r="L512" s="112"/>
      <c r="M512" s="112"/>
      <c r="N512" s="112"/>
      <c r="O512" s="112"/>
      <c r="P512" s="112"/>
      <c r="Q512" s="112"/>
      <c r="R512" s="112"/>
      <c r="S512" s="112"/>
      <c r="T512" s="112"/>
      <c r="U512" s="112"/>
    </row>
    <row r="513" spans="1:2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</row>
    <row r="514" spans="1:2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</row>
    <row r="515" spans="1:2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</row>
    <row r="516" spans="1:21" ht="18.75">
      <c r="A516" s="8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</row>
    <row r="517" spans="1:21">
      <c r="A517" s="5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</row>
    <row r="518" spans="1:21">
      <c r="A518" s="118"/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7"/>
      <c r="N518" s="7"/>
      <c r="O518" s="7"/>
      <c r="P518" s="7"/>
      <c r="Q518" s="7"/>
      <c r="R518" s="7"/>
      <c r="S518" s="7"/>
      <c r="T518" s="7"/>
      <c r="U518" s="7"/>
    </row>
    <row r="519" spans="1:2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</row>
    <row r="520" spans="1:21">
      <c r="A520" s="2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7"/>
      <c r="N520" s="7"/>
      <c r="O520" s="7"/>
      <c r="P520" s="7"/>
      <c r="Q520" s="7"/>
      <c r="R520" s="7"/>
      <c r="S520" s="7"/>
      <c r="T520" s="7"/>
      <c r="U520" s="7"/>
    </row>
    <row r="521" spans="1:21" hidden="1" outlineLevel="1">
      <c r="A521" s="5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</row>
    <row r="522" spans="1:21" hidden="1" outlineLevel="1">
      <c r="A522" s="86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7"/>
      <c r="N522" s="7"/>
      <c r="O522" s="7"/>
      <c r="P522" s="7"/>
      <c r="Q522" s="7"/>
      <c r="R522" s="7"/>
      <c r="S522" s="7"/>
      <c r="T522" s="7"/>
      <c r="U522" s="7"/>
    </row>
    <row r="523" spans="1:21" hidden="1" outlineLevel="1">
      <c r="A523" s="86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7"/>
      <c r="N523" s="7"/>
      <c r="O523" s="7"/>
      <c r="P523" s="7"/>
      <c r="Q523" s="7"/>
      <c r="R523" s="7"/>
      <c r="S523" s="7"/>
      <c r="T523" s="7"/>
      <c r="U523" s="7"/>
    </row>
    <row r="524" spans="1:21" hidden="1" outlineLevel="1">
      <c r="A524" s="119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7"/>
      <c r="N524" s="7"/>
      <c r="O524" s="7"/>
      <c r="P524" s="7"/>
      <c r="Q524" s="7"/>
      <c r="R524" s="7"/>
      <c r="S524" s="7"/>
      <c r="T524" s="7"/>
      <c r="U524" s="7"/>
    </row>
    <row r="525" spans="1:21" hidden="1" outlineLevel="1">
      <c r="A525" s="86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7"/>
      <c r="N525" s="7"/>
      <c r="O525" s="7"/>
      <c r="P525" s="7"/>
      <c r="Q525" s="7"/>
      <c r="R525" s="7"/>
      <c r="S525" s="7"/>
      <c r="T525" s="7"/>
      <c r="U525" s="7"/>
    </row>
    <row r="526" spans="1:21" hidden="1" outlineLevel="1">
      <c r="A526" s="7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7"/>
      <c r="N526" s="7"/>
      <c r="O526" s="7"/>
      <c r="P526" s="7"/>
      <c r="Q526" s="7"/>
      <c r="R526" s="7"/>
      <c r="S526" s="7"/>
      <c r="T526" s="7"/>
      <c r="U526" s="7"/>
    </row>
    <row r="527" spans="1:21" hidden="1" outlineLevel="1">
      <c r="A527" s="57"/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7"/>
      <c r="N527" s="7"/>
      <c r="O527" s="7"/>
      <c r="P527" s="7"/>
      <c r="Q527" s="7"/>
      <c r="R527" s="7"/>
      <c r="S527" s="7"/>
      <c r="T527" s="7"/>
      <c r="U527" s="7"/>
    </row>
    <row r="528" spans="1:21" hidden="1" outlineLevel="1">
      <c r="A528" s="86"/>
      <c r="B528" s="8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7"/>
      <c r="N528" s="7"/>
      <c r="O528" s="7"/>
      <c r="P528" s="7"/>
      <c r="Q528" s="7"/>
      <c r="R528" s="7"/>
      <c r="S528" s="7"/>
      <c r="T528" s="7"/>
      <c r="U528" s="7"/>
    </row>
    <row r="529" spans="1:21" hidden="1" outlineLevel="1">
      <c r="A529" s="86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7"/>
      <c r="N529" s="7"/>
      <c r="O529" s="7"/>
      <c r="P529" s="7"/>
      <c r="Q529" s="7"/>
      <c r="R529" s="7"/>
      <c r="S529" s="7"/>
      <c r="T529" s="7"/>
      <c r="U529" s="7"/>
    </row>
    <row r="530" spans="1:21" hidden="1" outlineLevel="1">
      <c r="A530" s="86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7"/>
      <c r="N530" s="7"/>
      <c r="O530" s="7"/>
      <c r="P530" s="7"/>
      <c r="Q530" s="7"/>
      <c r="R530" s="7"/>
      <c r="S530" s="7"/>
      <c r="T530" s="7"/>
      <c r="U530" s="7"/>
    </row>
    <row r="531" spans="1:21" hidden="1" outlineLevel="1">
      <c r="A531" s="86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7"/>
      <c r="N531" s="7"/>
      <c r="O531" s="7"/>
      <c r="P531" s="7"/>
      <c r="Q531" s="7"/>
      <c r="R531" s="7"/>
      <c r="S531" s="7"/>
      <c r="T531" s="7"/>
      <c r="U531" s="7"/>
    </row>
    <row r="532" spans="1:21" hidden="1" outlineLevel="1">
      <c r="A532" s="86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7"/>
      <c r="N532" s="7"/>
      <c r="O532" s="7"/>
      <c r="P532" s="7"/>
      <c r="Q532" s="7"/>
      <c r="R532" s="7"/>
      <c r="S532" s="7"/>
      <c r="T532" s="7"/>
      <c r="U532" s="7"/>
    </row>
    <row r="533" spans="1:21" hidden="1" outlineLevel="1">
      <c r="A533" s="86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7"/>
      <c r="N533" s="7"/>
      <c r="O533" s="7"/>
      <c r="P533" s="7"/>
      <c r="Q533" s="7"/>
      <c r="R533" s="7"/>
      <c r="S533" s="7"/>
      <c r="T533" s="7"/>
      <c r="U533" s="7"/>
    </row>
    <row r="534" spans="1:21" hidden="1" outlineLevel="1">
      <c r="A534" s="86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7"/>
      <c r="N534" s="7"/>
      <c r="O534" s="7"/>
      <c r="P534" s="7"/>
      <c r="Q534" s="7"/>
      <c r="R534" s="7"/>
      <c r="S534" s="7"/>
      <c r="T534" s="7"/>
      <c r="U534" s="7"/>
    </row>
    <row r="535" spans="1:21" hidden="1" outlineLevel="1">
      <c r="A535" s="86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7"/>
      <c r="N535" s="7"/>
      <c r="O535" s="7"/>
      <c r="P535" s="7"/>
      <c r="Q535" s="7"/>
      <c r="R535" s="7"/>
      <c r="S535" s="7"/>
      <c r="T535" s="7"/>
      <c r="U535" s="7"/>
    </row>
    <row r="536" spans="1:21" hidden="1" outlineLevel="1">
      <c r="A536" s="86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7"/>
      <c r="N536" s="7"/>
      <c r="O536" s="7"/>
      <c r="P536" s="7"/>
      <c r="Q536" s="7"/>
      <c r="R536" s="7"/>
      <c r="S536" s="7"/>
      <c r="T536" s="7"/>
      <c r="U536" s="7"/>
    </row>
    <row r="537" spans="1:21" hidden="1" outlineLevel="1">
      <c r="A537" s="86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7"/>
      <c r="N537" s="7"/>
      <c r="O537" s="7"/>
      <c r="P537" s="7"/>
      <c r="Q537" s="7"/>
      <c r="R537" s="7"/>
      <c r="S537" s="7"/>
      <c r="T537" s="7"/>
      <c r="U537" s="7"/>
    </row>
    <row r="538" spans="1:21" hidden="1" outlineLevel="1">
      <c r="A538" s="7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7"/>
      <c r="N538" s="7"/>
      <c r="O538" s="7"/>
      <c r="P538" s="7"/>
      <c r="Q538" s="7"/>
      <c r="R538" s="7"/>
      <c r="S538" s="7"/>
      <c r="T538" s="7"/>
      <c r="U538" s="7"/>
    </row>
    <row r="539" spans="1:21" hidden="1" outlineLevel="1">
      <c r="A539" s="7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7"/>
      <c r="N539" s="7"/>
      <c r="O539" s="7"/>
      <c r="P539" s="7"/>
      <c r="Q539" s="7"/>
      <c r="R539" s="7"/>
      <c r="S539" s="7"/>
      <c r="T539" s="7"/>
      <c r="U539" s="7"/>
    </row>
    <row r="540" spans="1:21" hidden="1" outlineLevel="1">
      <c r="A540" s="7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7"/>
      <c r="N540" s="7"/>
      <c r="O540" s="7"/>
      <c r="P540" s="7"/>
      <c r="Q540" s="7"/>
      <c r="R540" s="7"/>
      <c r="S540" s="7"/>
      <c r="T540" s="7"/>
      <c r="U540" s="7"/>
    </row>
    <row r="541" spans="1:21" hidden="1" outlineLevel="1">
      <c r="A541" s="86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7"/>
      <c r="N541" s="7"/>
      <c r="O541" s="7"/>
      <c r="P541" s="7"/>
      <c r="Q541" s="7"/>
      <c r="R541" s="7"/>
      <c r="S541" s="7"/>
      <c r="T541" s="7"/>
      <c r="U541" s="7"/>
    </row>
    <row r="542" spans="1:21" hidden="1" outlineLevel="1">
      <c r="A542" s="7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7"/>
      <c r="N542" s="7"/>
      <c r="O542" s="7"/>
      <c r="P542" s="7"/>
      <c r="Q542" s="7"/>
      <c r="R542" s="7"/>
      <c r="S542" s="7"/>
      <c r="T542" s="7"/>
      <c r="U542" s="7"/>
    </row>
    <row r="543" spans="1:21" hidden="1" outlineLevel="1">
      <c r="A543" s="7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7"/>
      <c r="N543" s="7"/>
      <c r="O543" s="7"/>
      <c r="P543" s="7"/>
      <c r="Q543" s="7"/>
      <c r="R543" s="7"/>
      <c r="S543" s="7"/>
      <c r="T543" s="7"/>
      <c r="U543" s="7"/>
    </row>
    <row r="544" spans="1:21" hidden="1" outlineLevel="1">
      <c r="A544" s="57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7"/>
      <c r="N544" s="7"/>
      <c r="O544" s="7"/>
      <c r="P544" s="7"/>
      <c r="Q544" s="7"/>
      <c r="R544" s="7"/>
      <c r="S544" s="7"/>
      <c r="T544" s="7"/>
      <c r="U544" s="7"/>
    </row>
    <row r="545" spans="1:21" hidden="1" outlineLevel="1">
      <c r="A545" s="86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7"/>
      <c r="N545" s="7"/>
      <c r="O545" s="7"/>
      <c r="P545" s="7"/>
      <c r="Q545" s="7"/>
      <c r="R545" s="7"/>
      <c r="S545" s="7"/>
      <c r="T545" s="7"/>
      <c r="U545" s="7"/>
    </row>
    <row r="546" spans="1:21" collapsed="1">
      <c r="A546" s="57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7"/>
      <c r="N546" s="7"/>
      <c r="O546" s="7"/>
      <c r="P546" s="7"/>
      <c r="Q546" s="7"/>
      <c r="R546" s="7"/>
      <c r="S546" s="7"/>
      <c r="T546" s="7"/>
      <c r="U546" s="7"/>
    </row>
    <row r="547" spans="1:21">
      <c r="A547" s="57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7"/>
      <c r="N547" s="7"/>
      <c r="O547" s="7"/>
      <c r="P547" s="7"/>
      <c r="Q547" s="7"/>
      <c r="R547" s="7"/>
      <c r="S547" s="7"/>
      <c r="T547" s="7"/>
      <c r="U547" s="7"/>
    </row>
    <row r="548" spans="1:21">
      <c r="A548" s="57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7"/>
      <c r="N548" s="7"/>
      <c r="O548" s="7"/>
      <c r="P548" s="7"/>
      <c r="Q548" s="7"/>
      <c r="R548" s="7"/>
      <c r="S548" s="7"/>
      <c r="T548" s="7"/>
      <c r="U548" s="7"/>
    </row>
    <row r="549" spans="1:21">
      <c r="A549" s="7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7"/>
      <c r="N549" s="7"/>
      <c r="O549" s="7"/>
      <c r="P549" s="7"/>
      <c r="Q549" s="7"/>
      <c r="R549" s="7"/>
      <c r="S549" s="7"/>
      <c r="T549" s="7"/>
      <c r="U549" s="7"/>
    </row>
    <row r="550" spans="1:21">
      <c r="A550" s="7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7"/>
      <c r="N550" s="7"/>
      <c r="O550" s="7"/>
      <c r="P550" s="7"/>
      <c r="Q550" s="7"/>
      <c r="R550" s="7"/>
      <c r="S550" s="7"/>
      <c r="T550" s="7"/>
      <c r="U550" s="7"/>
    </row>
    <row r="551" spans="1:21">
      <c r="A551" s="57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7"/>
      <c r="N551" s="7"/>
      <c r="O551" s="7"/>
      <c r="P551" s="7"/>
      <c r="Q551" s="7"/>
      <c r="R551" s="7"/>
      <c r="S551" s="7"/>
      <c r="T551" s="7"/>
      <c r="U551" s="7"/>
    </row>
    <row r="552" spans="1:21">
      <c r="A552" s="57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7"/>
      <c r="N552" s="7"/>
      <c r="O552" s="7"/>
      <c r="P552" s="7"/>
      <c r="Q552" s="7"/>
      <c r="R552" s="7"/>
      <c r="S552" s="7"/>
      <c r="T552" s="7"/>
      <c r="U552" s="7"/>
    </row>
    <row r="553" spans="1:21">
      <c r="A553" s="57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7"/>
      <c r="N553" s="7"/>
      <c r="O553" s="7"/>
      <c r="P553" s="7"/>
      <c r="Q553" s="7"/>
      <c r="R553" s="7"/>
      <c r="S553" s="7"/>
      <c r="T553" s="7"/>
      <c r="U553" s="7"/>
    </row>
    <row r="554" spans="1:21">
      <c r="A554" s="57"/>
      <c r="B554" s="8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7"/>
      <c r="N554" s="7"/>
      <c r="O554" s="7"/>
      <c r="P554" s="7"/>
      <c r="Q554" s="7"/>
      <c r="R554" s="7"/>
      <c r="S554" s="7"/>
      <c r="T554" s="7"/>
      <c r="U554" s="7"/>
    </row>
    <row r="555" spans="1:21">
      <c r="A555" s="7"/>
      <c r="B555" s="7"/>
      <c r="C555" s="7"/>
      <c r="D555" s="87"/>
      <c r="E555" s="87"/>
      <c r="F555" s="87"/>
      <c r="G555" s="87"/>
      <c r="H555" s="87"/>
      <c r="I555" s="87"/>
      <c r="J555" s="87"/>
      <c r="K555" s="87"/>
      <c r="L555" s="87"/>
      <c r="M555" s="7"/>
      <c r="N555" s="7"/>
      <c r="O555" s="7"/>
      <c r="P555" s="7"/>
      <c r="Q555" s="7"/>
      <c r="R555" s="7"/>
      <c r="S555" s="7"/>
      <c r="T555" s="7"/>
      <c r="U555" s="7"/>
    </row>
    <row r="556" spans="1:21">
      <c r="A556" s="7"/>
      <c r="B556" s="7"/>
      <c r="C556" s="7"/>
      <c r="D556" s="87"/>
      <c r="E556" s="87"/>
      <c r="F556" s="87"/>
      <c r="G556" s="87"/>
      <c r="H556" s="87"/>
      <c r="I556" s="87"/>
      <c r="J556" s="87"/>
      <c r="K556" s="87"/>
      <c r="L556" s="87"/>
      <c r="M556" s="7"/>
      <c r="N556" s="7"/>
      <c r="O556" s="7"/>
      <c r="P556" s="7"/>
      <c r="Q556" s="7"/>
      <c r="R556" s="7"/>
      <c r="S556" s="7"/>
      <c r="T556" s="7"/>
      <c r="U556" s="7"/>
    </row>
    <row r="557" spans="1:21">
      <c r="A557" s="7"/>
      <c r="B557" s="7"/>
      <c r="C557" s="7"/>
      <c r="D557" s="87"/>
      <c r="E557" s="87"/>
      <c r="F557" s="87"/>
      <c r="G557" s="87"/>
      <c r="H557" s="87"/>
      <c r="I557" s="87"/>
      <c r="J557" s="87"/>
      <c r="K557" s="87"/>
      <c r="L557" s="87"/>
      <c r="M557" s="7"/>
      <c r="N557" s="7"/>
      <c r="O557" s="7"/>
      <c r="P557" s="7"/>
      <c r="Q557" s="7"/>
      <c r="R557" s="7"/>
      <c r="S557" s="7"/>
      <c r="T557" s="7"/>
      <c r="U557" s="7"/>
    </row>
    <row r="558" spans="1:21">
      <c r="A558" s="7"/>
      <c r="B558" s="7"/>
      <c r="C558" s="7"/>
      <c r="D558" s="87"/>
      <c r="E558" s="87"/>
      <c r="F558" s="87"/>
      <c r="G558" s="87"/>
      <c r="H558" s="87"/>
      <c r="I558" s="87"/>
      <c r="J558" s="87"/>
      <c r="K558" s="87"/>
      <c r="L558" s="87"/>
      <c r="M558" s="7"/>
      <c r="N558" s="7"/>
      <c r="O558" s="7"/>
      <c r="P558" s="7"/>
      <c r="Q558" s="7"/>
      <c r="R558" s="7"/>
      <c r="S558" s="7"/>
      <c r="T558" s="7"/>
      <c r="U558" s="7"/>
    </row>
    <row r="559" spans="1:21">
      <c r="A559" s="7"/>
      <c r="B559" s="7"/>
      <c r="C559" s="7"/>
      <c r="D559" s="87"/>
      <c r="E559" s="87"/>
      <c r="F559" s="87"/>
      <c r="G559" s="87"/>
      <c r="H559" s="87"/>
      <c r="I559" s="87"/>
      <c r="J559" s="87"/>
      <c r="K559" s="87"/>
      <c r="L559" s="87"/>
      <c r="M559" s="7"/>
      <c r="N559" s="7"/>
      <c r="O559" s="7"/>
      <c r="P559" s="7"/>
      <c r="Q559" s="7"/>
      <c r="R559" s="7"/>
      <c r="S559" s="7"/>
      <c r="T559" s="7"/>
      <c r="U559" s="7"/>
    </row>
    <row r="560" spans="1:2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</row>
    <row r="561" spans="1:2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</row>
    <row r="562" spans="1:2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</row>
    <row r="563" spans="1:2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</row>
    <row r="564" spans="1:2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</row>
    <row r="565" spans="1:2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</row>
    <row r="566" spans="1:2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</row>
    <row r="567" spans="1:2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</row>
    <row r="568" spans="1:2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</row>
    <row r="569" spans="1:2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</row>
    <row r="570" spans="1:2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</row>
    <row r="571" spans="1:2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</row>
    <row r="572" spans="1:2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</row>
    <row r="573" spans="1:2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</row>
    <row r="574" spans="1:2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</row>
    <row r="575" spans="1:2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</row>
    <row r="576" spans="1:2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</row>
    <row r="577" spans="1:2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</row>
    <row r="578" spans="1:2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</row>
    <row r="579" spans="1:2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</row>
    <row r="580" spans="1:2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</row>
    <row r="581" spans="1:2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</row>
    <row r="582" spans="1:2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</row>
    <row r="583" spans="1:2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</row>
    <row r="584" spans="1:2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</row>
    <row r="585" spans="1:2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</row>
    <row r="586" spans="1:2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</row>
    <row r="587" spans="1:2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</row>
    <row r="588" spans="1:2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</row>
    <row r="589" spans="1:2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</row>
    <row r="590" spans="1:2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</row>
    <row r="591" spans="1:2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</row>
    <row r="592" spans="1:2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</row>
    <row r="593" spans="1:2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</row>
    <row r="594" spans="1:2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</row>
    <row r="595" spans="1:2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</row>
    <row r="596" spans="1:2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</row>
    <row r="597" spans="1:2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</row>
    <row r="598" spans="1:2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</row>
    <row r="599" spans="1:2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</row>
    <row r="600" spans="1:2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</row>
    <row r="601" spans="1:2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</row>
    <row r="602" spans="1:2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</row>
    <row r="603" spans="1:2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</row>
    <row r="604" spans="1:2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</row>
    <row r="605" spans="1:2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</row>
    <row r="606" spans="1:2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</row>
    <row r="607" spans="1:2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</row>
    <row r="608" spans="1:2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</row>
    <row r="609" spans="1:2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</row>
    <row r="610" spans="1:2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</row>
    <row r="611" spans="1:2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</row>
    <row r="612" spans="1:2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</row>
    <row r="613" spans="1:2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</row>
    <row r="614" spans="1:2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</row>
    <row r="615" spans="1:2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</row>
    <row r="616" spans="1:2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</row>
    <row r="617" spans="1:2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</row>
    <row r="618" spans="1:2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</row>
    <row r="619" spans="1:2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</row>
    <row r="620" spans="1:2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</row>
    <row r="621" spans="1: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</row>
    <row r="622" spans="1:2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</row>
    <row r="623" spans="1:2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</row>
    <row r="624" spans="1:2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</row>
    <row r="625" spans="1:2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</row>
    <row r="626" spans="1:2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</row>
    <row r="627" spans="1:2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</row>
    <row r="628" spans="1:2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</row>
    <row r="629" spans="1:2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</row>
    <row r="630" spans="1:2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</row>
    <row r="631" spans="1:2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</row>
    <row r="632" spans="1:2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</row>
    <row r="633" spans="1:2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</row>
    <row r="634" spans="1:2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</row>
    <row r="635" spans="1:2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</row>
    <row r="636" spans="1:2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</row>
    <row r="637" spans="1:2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</row>
    <row r="638" spans="1:2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</row>
    <row r="639" spans="1:2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</row>
    <row r="640" spans="1:2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</row>
    <row r="641" spans="1:2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</row>
    <row r="642" spans="1:2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</row>
    <row r="643" spans="1:2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</row>
    <row r="644" spans="1:2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</row>
    <row r="645" spans="1:2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</row>
    <row r="646" spans="1:2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</row>
    <row r="647" spans="1:2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</row>
    <row r="648" spans="1:2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</row>
    <row r="649" spans="1:2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</row>
    <row r="650" spans="1:2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</row>
    <row r="651" spans="1:2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</row>
    <row r="652" spans="1:2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</row>
    <row r="653" spans="1:2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</row>
    <row r="654" spans="1:2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</row>
    <row r="655" spans="1:2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</row>
    <row r="656" spans="1:2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</row>
    <row r="657" spans="1:2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</row>
    <row r="658" spans="1:2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</row>
    <row r="659" spans="1:2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</row>
    <row r="660" spans="1:2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</row>
    <row r="661" spans="1:2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</row>
    <row r="662" spans="1:2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</row>
    <row r="663" spans="1:2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</row>
    <row r="664" spans="1:2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</row>
    <row r="665" spans="1:2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</row>
    <row r="666" spans="1:2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</row>
    <row r="667" spans="1:2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</row>
    <row r="668" spans="1:2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</row>
    <row r="669" spans="1:2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</row>
    <row r="670" spans="1:2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</row>
    <row r="671" spans="1:2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</row>
    <row r="672" spans="1:2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</row>
    <row r="673" spans="1:2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</row>
    <row r="674" spans="1:2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</row>
    <row r="675" spans="1:2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</row>
    <row r="676" spans="1:2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</row>
    <row r="677" spans="1:2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</row>
    <row r="678" spans="1:2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</row>
    <row r="679" spans="1:2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</row>
    <row r="680" spans="1:2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</row>
    <row r="681" spans="1:2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</row>
    <row r="682" spans="1:2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</row>
    <row r="683" spans="1:2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</row>
    <row r="684" spans="1:2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</row>
    <row r="685" spans="1:2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</row>
    <row r="686" spans="1:2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</row>
    <row r="687" spans="1:2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</row>
    <row r="688" spans="1:2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</row>
    <row r="689" spans="1:2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</row>
    <row r="690" spans="1:2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</row>
    <row r="691" spans="1:2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</row>
    <row r="692" spans="1:2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</row>
    <row r="693" spans="1:2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</row>
    <row r="694" spans="1:2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</row>
    <row r="695" spans="1:2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</row>
    <row r="696" spans="1:2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</row>
    <row r="697" spans="1:2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</row>
    <row r="698" spans="1:2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</row>
    <row r="699" spans="1:2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</row>
    <row r="700" spans="1:2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</row>
    <row r="701" spans="1:2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</row>
    <row r="702" spans="1:2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</row>
    <row r="703" spans="1:2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</row>
    <row r="704" spans="1:2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</row>
    <row r="705" spans="1:2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</row>
    <row r="706" spans="1:2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</row>
    <row r="707" spans="1:2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</row>
    <row r="708" spans="1:2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</row>
    <row r="709" spans="1:2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</row>
    <row r="710" spans="1:2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</row>
    <row r="711" spans="1:2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</row>
    <row r="712" spans="1:2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</row>
    <row r="713" spans="1:2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</row>
    <row r="714" spans="1:2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</row>
    <row r="715" spans="1:2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</row>
    <row r="716" spans="1:2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</row>
    <row r="717" spans="1:2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</row>
    <row r="718" spans="1:2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</row>
    <row r="719" spans="1:2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</row>
    <row r="720" spans="1:2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</row>
    <row r="721" spans="1: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</row>
    <row r="722" spans="1:2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</row>
    <row r="723" spans="1:2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</row>
    <row r="724" spans="1:2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</row>
    <row r="725" spans="1:2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</row>
    <row r="726" spans="1:2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</row>
    <row r="727" spans="1:2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</row>
    <row r="728" spans="1:2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</row>
    <row r="729" spans="1:2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</row>
    <row r="730" spans="1:2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</row>
    <row r="731" spans="1:2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</row>
    <row r="732" spans="1:2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</row>
    <row r="733" spans="1:2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</row>
    <row r="734" spans="1:2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</row>
    <row r="735" spans="1:2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</row>
    <row r="736" spans="1:2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</row>
    <row r="737" spans="1:2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</row>
    <row r="738" spans="1:2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</row>
    <row r="739" spans="1:2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</row>
    <row r="740" spans="1:2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</row>
    <row r="741" spans="1:2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</row>
    <row r="742" spans="1:2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</row>
    <row r="743" spans="1:2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</row>
    <row r="744" spans="1:2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</row>
    <row r="745" spans="1:2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</row>
    <row r="746" spans="1:2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</row>
    <row r="747" spans="1:2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</row>
    <row r="748" spans="1:2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</row>
    <row r="749" spans="1:2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</row>
    <row r="750" spans="1:2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</row>
    <row r="751" spans="1:2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</row>
    <row r="752" spans="1:2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</row>
    <row r="753" spans="1:2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</row>
    <row r="754" spans="1:2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</row>
    <row r="755" spans="1:2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</row>
    <row r="756" spans="1:2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</row>
    <row r="757" spans="1:2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</row>
    <row r="758" spans="1:2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</row>
    <row r="759" spans="1:2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</row>
    <row r="760" spans="1:2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</row>
    <row r="761" spans="1:2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</row>
    <row r="762" spans="1:2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</row>
    <row r="763" spans="1:2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</row>
    <row r="764" spans="1:2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</row>
    <row r="765" spans="1:2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</row>
    <row r="766" spans="1:2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</row>
    <row r="767" spans="1:2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</row>
    <row r="768" spans="1:2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</row>
  </sheetData>
  <pageMargins left="0.75" right="0.75" top="1" bottom="1" header="0.5" footer="0.5"/>
  <pageSetup scale="35" orientation="landscape" r:id="rId1"/>
  <headerFooter alignWithMargins="0">
    <oddHeader>&amp;L&amp;12Enron's Generation&amp;RCONFIDENTIAL</oddHeader>
    <oddFooter>&amp;L&amp;D&amp;C&amp;F&amp;RPage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BC775"/>
  <sheetViews>
    <sheetView zoomScale="75" zoomScaleNormal="75" workbookViewId="0">
      <selection activeCell="A2" sqref="A2"/>
    </sheetView>
  </sheetViews>
  <sheetFormatPr defaultRowHeight="12.75" outlineLevelRow="2" outlineLevelCol="1"/>
  <cols>
    <col min="1" max="1" width="46.85546875" style="6" customWidth="1"/>
    <col min="2" max="3" width="10.7109375" style="6" customWidth="1" outlineLevel="1"/>
    <col min="4" max="21" width="10.7109375" style="6" customWidth="1"/>
    <col min="22" max="22" width="9.140625" style="7"/>
    <col min="23" max="23" width="11" style="7" bestFit="1" customWidth="1"/>
    <col min="24" max="16384" width="9.140625" style="7"/>
  </cols>
  <sheetData>
    <row r="1" spans="1:55"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</row>
    <row r="2" spans="1:55" ht="18.75">
      <c r="A2" s="52" t="s">
        <v>93</v>
      </c>
      <c r="B2" s="373"/>
      <c r="C2" s="373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</row>
    <row r="5" spans="1:55" ht="13.5" thickBot="1">
      <c r="A5" s="194" t="s">
        <v>56</v>
      </c>
      <c r="B5" s="8">
        <f>Brownsville!$B$5</f>
        <v>2001</v>
      </c>
      <c r="C5" s="8">
        <f>Brownsville!C5</f>
        <v>2002</v>
      </c>
      <c r="D5" s="8">
        <f>Brownsville!D5</f>
        <v>2003</v>
      </c>
      <c r="E5" s="8">
        <f>Brownsville!E5</f>
        <v>2004</v>
      </c>
      <c r="F5" s="8">
        <f>Brownsville!F5</f>
        <v>2005</v>
      </c>
      <c r="G5" s="8">
        <f>Brownsville!G5</f>
        <v>2006</v>
      </c>
      <c r="H5" s="8">
        <f>Brownsville!H5</f>
        <v>2007</v>
      </c>
      <c r="I5" s="8">
        <f>Brownsville!I5</f>
        <v>2008</v>
      </c>
      <c r="J5" s="8">
        <f>Brownsville!J5</f>
        <v>2009</v>
      </c>
      <c r="K5" s="8">
        <f>Brownsville!K5</f>
        <v>2010</v>
      </c>
      <c r="L5" s="8">
        <f>Brownsville!L5</f>
        <v>2011</v>
      </c>
      <c r="M5" s="8">
        <f>Brownsville!M5</f>
        <v>2012</v>
      </c>
      <c r="N5" s="8">
        <f>Brownsville!N5</f>
        <v>2013</v>
      </c>
      <c r="O5" s="8">
        <f>Brownsville!O5</f>
        <v>2014</v>
      </c>
      <c r="P5" s="8">
        <f>Brownsville!P5</f>
        <v>2015</v>
      </c>
      <c r="Q5" s="8">
        <f>Brownsville!Q5</f>
        <v>2016</v>
      </c>
      <c r="R5" s="8">
        <f>Brownsville!R5</f>
        <v>2017</v>
      </c>
      <c r="S5" s="8">
        <f>Brownsville!S5</f>
        <v>2018</v>
      </c>
      <c r="T5" s="8">
        <f>Brownsville!T5</f>
        <v>2019</v>
      </c>
      <c r="U5" s="8">
        <f>Brownsville!U5</f>
        <v>2020</v>
      </c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 spans="1:55">
      <c r="A6" s="2"/>
      <c r="B6" s="414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</row>
    <row r="7" spans="1:55">
      <c r="A7" s="1" t="s">
        <v>57</v>
      </c>
      <c r="B7" s="421"/>
      <c r="C7" s="421"/>
      <c r="D7" s="421"/>
      <c r="E7" s="421"/>
      <c r="F7" s="421"/>
      <c r="G7" s="421"/>
      <c r="H7" s="421"/>
      <c r="I7" s="421"/>
      <c r="J7" s="421"/>
      <c r="K7" s="421"/>
      <c r="L7" s="421"/>
      <c r="M7" s="421"/>
      <c r="N7" s="421"/>
      <c r="O7" s="421"/>
      <c r="P7" s="421"/>
      <c r="Q7" s="421"/>
      <c r="R7" s="421"/>
      <c r="S7" s="421"/>
      <c r="T7" s="421"/>
      <c r="U7" s="421"/>
      <c r="V7" s="58"/>
      <c r="W7" s="58"/>
      <c r="X7" s="58"/>
      <c r="Y7" s="473">
        <f>SUM(Z7:AS7)-SUM(Z8:AS8)</f>
        <v>0</v>
      </c>
      <c r="Z7" s="474">
        <f>B10+B11</f>
        <v>1023.9638619031831</v>
      </c>
      <c r="AA7" s="474">
        <f>C10+C11</f>
        <v>1054.6827777602787</v>
      </c>
      <c r="AB7" s="474">
        <f>D10+D11</f>
        <v>1086.323261093087</v>
      </c>
      <c r="AC7" s="474">
        <f t="shared" ref="AC7:AS7" si="0">E16</f>
        <v>781.26031592587947</v>
      </c>
      <c r="AD7" s="474">
        <f t="shared" si="0"/>
        <v>804.69812540365581</v>
      </c>
      <c r="AE7" s="474">
        <f t="shared" si="0"/>
        <v>828.83906916576552</v>
      </c>
      <c r="AF7" s="474">
        <f t="shared" si="0"/>
        <v>853.70424124073861</v>
      </c>
      <c r="AG7" s="474">
        <f t="shared" si="0"/>
        <v>879.31536847796065</v>
      </c>
      <c r="AH7" s="474">
        <f t="shared" si="0"/>
        <v>905.69482953229942</v>
      </c>
      <c r="AI7" s="474">
        <f t="shared" si="0"/>
        <v>932.86567441826844</v>
      </c>
      <c r="AJ7" s="474">
        <f t="shared" si="0"/>
        <v>960.85164465081652</v>
      </c>
      <c r="AK7" s="474">
        <f t="shared" si="0"/>
        <v>989.67719399034092</v>
      </c>
      <c r="AL7" s="474">
        <f t="shared" si="0"/>
        <v>1019.3675098100509</v>
      </c>
      <c r="AM7" s="474">
        <f t="shared" si="0"/>
        <v>1049.9485351043527</v>
      </c>
      <c r="AN7" s="474">
        <f t="shared" si="0"/>
        <v>1081.4469911574834</v>
      </c>
      <c r="AO7" s="474">
        <f t="shared" si="0"/>
        <v>1113.8904008922077</v>
      </c>
      <c r="AP7" s="474">
        <f t="shared" si="0"/>
        <v>1147.3071129189739</v>
      </c>
      <c r="AQ7" s="474">
        <f t="shared" si="0"/>
        <v>1181.7263263065431</v>
      </c>
      <c r="AR7" s="474">
        <f t="shared" si="0"/>
        <v>1217.1781160957394</v>
      </c>
      <c r="AS7" s="474">
        <f t="shared" si="0"/>
        <v>1253.6934595786115</v>
      </c>
    </row>
    <row r="8" spans="1:55">
      <c r="A8" s="347" t="s">
        <v>144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8"/>
      <c r="W8" s="16"/>
      <c r="X8" s="16"/>
      <c r="Y8" s="473">
        <v>0</v>
      </c>
      <c r="Z8" s="495">
        <f>B23+B24</f>
        <v>1023.9638619031831</v>
      </c>
      <c r="AA8" s="495">
        <f>C23+C24</f>
        <v>1054.6827777602787</v>
      </c>
      <c r="AB8" s="495">
        <f>D23+D24</f>
        <v>1086.323261093087</v>
      </c>
      <c r="AC8" s="495">
        <f t="shared" ref="AC8:AS8" si="1">E23+1/3*E24</f>
        <v>781.26031592587947</v>
      </c>
      <c r="AD8" s="495">
        <f t="shared" si="1"/>
        <v>804.69812540365592</v>
      </c>
      <c r="AE8" s="495">
        <f t="shared" si="1"/>
        <v>828.83906916576552</v>
      </c>
      <c r="AF8" s="495">
        <f t="shared" si="1"/>
        <v>853.70424124073861</v>
      </c>
      <c r="AG8" s="495">
        <f t="shared" si="1"/>
        <v>879.31536847796076</v>
      </c>
      <c r="AH8" s="495">
        <f t="shared" si="1"/>
        <v>905.69482953229954</v>
      </c>
      <c r="AI8" s="495">
        <f t="shared" si="1"/>
        <v>932.86567441826855</v>
      </c>
      <c r="AJ8" s="495">
        <f t="shared" si="1"/>
        <v>960.85164465081652</v>
      </c>
      <c r="AK8" s="495">
        <f t="shared" si="1"/>
        <v>989.67719399034104</v>
      </c>
      <c r="AL8" s="495">
        <f t="shared" si="1"/>
        <v>1019.3675098100512</v>
      </c>
      <c r="AM8" s="495">
        <f t="shared" si="1"/>
        <v>1049.9485351043529</v>
      </c>
      <c r="AN8" s="495">
        <f t="shared" si="1"/>
        <v>1081.4469911574836</v>
      </c>
      <c r="AO8" s="495">
        <f t="shared" si="1"/>
        <v>1113.8904008922077</v>
      </c>
      <c r="AP8" s="495">
        <f t="shared" si="1"/>
        <v>1147.3071129189741</v>
      </c>
      <c r="AQ8" s="495">
        <f t="shared" si="1"/>
        <v>1181.7263263065433</v>
      </c>
      <c r="AR8" s="495">
        <f t="shared" si="1"/>
        <v>1217.1781160957396</v>
      </c>
      <c r="AS8" s="495">
        <f t="shared" si="1"/>
        <v>1253.6934595786117</v>
      </c>
      <c r="AT8" s="16"/>
      <c r="AU8" s="16"/>
      <c r="AV8" s="16"/>
      <c r="AW8" s="16"/>
      <c r="AX8" s="16"/>
      <c r="AY8" s="16"/>
      <c r="AZ8" s="16"/>
      <c r="BA8" s="16"/>
      <c r="BB8" s="16"/>
      <c r="BC8" s="16"/>
    </row>
    <row r="9" spans="1:55">
      <c r="A9" s="3" t="s">
        <v>58</v>
      </c>
      <c r="B9" s="56">
        <f>'Power Price Assumption'!D27*12*Assumptions!$D$9</f>
        <v>22368</v>
      </c>
      <c r="C9" s="56">
        <f>'Power Price Assumption'!E27*12*Assumptions!$D$9</f>
        <v>22368</v>
      </c>
      <c r="D9" s="56">
        <f>'Power Price Assumption'!F27*12*Assumptions!$D$9</f>
        <v>22368</v>
      </c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8"/>
      <c r="W9" s="91">
        <f>SUM(B9:U9)</f>
        <v>67104</v>
      </c>
      <c r="X9" s="16"/>
      <c r="Y9" s="473"/>
      <c r="Z9" s="475">
        <f>Z7-Z8</f>
        <v>0</v>
      </c>
      <c r="AA9" s="475">
        <f t="shared" ref="AA9:AS9" si="2">AA7-AA8</f>
        <v>0</v>
      </c>
      <c r="AB9" s="475">
        <f t="shared" si="2"/>
        <v>0</v>
      </c>
      <c r="AC9" s="475">
        <f t="shared" si="2"/>
        <v>0</v>
      </c>
      <c r="AD9" s="475">
        <f t="shared" si="2"/>
        <v>0</v>
      </c>
      <c r="AE9" s="475">
        <f t="shared" si="2"/>
        <v>0</v>
      </c>
      <c r="AF9" s="475">
        <f t="shared" si="2"/>
        <v>0</v>
      </c>
      <c r="AG9" s="475">
        <f t="shared" si="2"/>
        <v>0</v>
      </c>
      <c r="AH9" s="475">
        <f t="shared" si="2"/>
        <v>0</v>
      </c>
      <c r="AI9" s="475">
        <f t="shared" si="2"/>
        <v>0</v>
      </c>
      <c r="AJ9" s="475">
        <f t="shared" si="2"/>
        <v>0</v>
      </c>
      <c r="AK9" s="475">
        <f t="shared" si="2"/>
        <v>0</v>
      </c>
      <c r="AL9" s="475">
        <f t="shared" si="2"/>
        <v>0</v>
      </c>
      <c r="AM9" s="475">
        <f t="shared" si="2"/>
        <v>0</v>
      </c>
      <c r="AN9" s="475">
        <f t="shared" si="2"/>
        <v>0</v>
      </c>
      <c r="AO9" s="475">
        <f t="shared" si="2"/>
        <v>0</v>
      </c>
      <c r="AP9" s="475">
        <f t="shared" si="2"/>
        <v>0</v>
      </c>
      <c r="AQ9" s="475">
        <f t="shared" si="2"/>
        <v>0</v>
      </c>
      <c r="AR9" s="475">
        <f t="shared" si="2"/>
        <v>0</v>
      </c>
      <c r="AS9" s="475">
        <f t="shared" si="2"/>
        <v>0</v>
      </c>
      <c r="AT9" s="16"/>
      <c r="AU9" s="16"/>
      <c r="AV9" s="16"/>
      <c r="AW9" s="16"/>
      <c r="AX9" s="16"/>
      <c r="AY9" s="16"/>
      <c r="AZ9" s="16"/>
      <c r="BA9" s="16"/>
      <c r="BB9" s="16"/>
      <c r="BC9" s="16"/>
    </row>
    <row r="10" spans="1:55">
      <c r="A10" s="3" t="s">
        <v>208</v>
      </c>
      <c r="B10" s="56">
        <f>Assumptions!D19*Assumptions!D17/1000*(1+Assumptions!$D$25)</f>
        <v>560.4638619031831</v>
      </c>
      <c r="C10" s="56">
        <f>B10*(1+Assumptions!$D$25)</f>
        <v>577.27777776027858</v>
      </c>
      <c r="D10" s="56">
        <f>C10*(1+Assumptions!$D$25)</f>
        <v>594.59611109308696</v>
      </c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8"/>
      <c r="W10" s="91">
        <f>SUM(B10:U10)</f>
        <v>1732.3377507565488</v>
      </c>
      <c r="X10" s="16"/>
      <c r="Y10" s="473"/>
      <c r="Z10" s="475"/>
      <c r="AA10" s="475"/>
      <c r="AB10" s="475"/>
      <c r="AC10" s="475"/>
      <c r="AD10" s="475"/>
      <c r="AE10" s="475"/>
      <c r="AF10" s="475"/>
      <c r="AG10" s="475"/>
      <c r="AH10" s="475"/>
      <c r="AI10" s="475"/>
      <c r="AJ10" s="475"/>
      <c r="AK10" s="475"/>
      <c r="AL10" s="475"/>
      <c r="AM10" s="475"/>
      <c r="AN10" s="475"/>
      <c r="AO10" s="475"/>
      <c r="AP10" s="475"/>
      <c r="AQ10" s="475"/>
      <c r="AR10" s="475"/>
      <c r="AS10" s="475"/>
      <c r="AT10" s="16"/>
      <c r="AU10" s="16"/>
      <c r="AV10" s="16"/>
      <c r="AW10" s="16"/>
      <c r="AX10" s="16"/>
      <c r="AY10" s="16"/>
      <c r="AZ10" s="16"/>
      <c r="BA10" s="16"/>
      <c r="BB10" s="16"/>
      <c r="BC10" s="16"/>
    </row>
    <row r="11" spans="1:55">
      <c r="A11" s="3" t="s">
        <v>255</v>
      </c>
      <c r="B11" s="127">
        <f>Assumptions!$D$18*Assumptions!$D$11*Assumptions!$D$8/1000*(1+Assumptions!$D$25)</f>
        <v>463.5</v>
      </c>
      <c r="C11" s="91">
        <f>B11*(1+Assumptions!$D$25)</f>
        <v>477.40500000000003</v>
      </c>
      <c r="D11" s="91">
        <f>C11*(1+Assumptions!$D$25)</f>
        <v>491.72715000000005</v>
      </c>
      <c r="E11" s="56"/>
      <c r="F11" s="56"/>
      <c r="G11" s="56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8"/>
      <c r="W11" s="91">
        <f>SUM(B11:U11)</f>
        <v>1432.6321499999999</v>
      </c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</row>
    <row r="12" spans="1:55">
      <c r="A12" s="3" t="s">
        <v>275</v>
      </c>
      <c r="B12" s="127">
        <f>'Amortization of Power Contract'!$C$17/3</f>
        <v>8258.7388798454285</v>
      </c>
      <c r="C12" s="127">
        <f>'Amortization of Power Contract'!$C$17/3</f>
        <v>8258.7388798454285</v>
      </c>
      <c r="D12" s="127">
        <f>'Amortization of Power Contract'!$C$17/3</f>
        <v>8258.7388798454285</v>
      </c>
      <c r="E12" s="56"/>
      <c r="F12" s="56"/>
      <c r="G12" s="56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8"/>
      <c r="W12" s="91">
        <f>SUM(B12:U12)</f>
        <v>24776.216639536287</v>
      </c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</row>
    <row r="13" spans="1:55">
      <c r="A13" s="1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8"/>
      <c r="W13" s="91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</row>
    <row r="14" spans="1:55">
      <c r="A14" s="347" t="s">
        <v>281</v>
      </c>
      <c r="W14" s="91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</row>
    <row r="15" spans="1:55" s="62" customFormat="1" ht="12" customHeight="1">
      <c r="A15" s="3" t="s">
        <v>58</v>
      </c>
      <c r="B15" s="19">
        <v>0</v>
      </c>
      <c r="C15" s="19">
        <v>0</v>
      </c>
      <c r="D15" s="19">
        <v>0</v>
      </c>
      <c r="E15" s="19">
        <f>'Power Price Assumption'!G27*Assumptions!$D$9*12</f>
        <v>35899.195851846322</v>
      </c>
      <c r="F15" s="19">
        <f>'Power Price Assumption'!H27*Assumptions!$D$9*12</f>
        <v>37679.306973852152</v>
      </c>
      <c r="G15" s="19">
        <f>'Power Price Assumption'!I27*Assumptions!$D$9*12</f>
        <v>38162.495338976369</v>
      </c>
      <c r="H15" s="19">
        <f>'Power Price Assumption'!J27*Assumptions!$D$9*12</f>
        <v>38651.879969768488</v>
      </c>
      <c r="I15" s="19">
        <f>'Power Price Assumption'!K27*Assumptions!$D$9*12</f>
        <v>39147.540325319365</v>
      </c>
      <c r="J15" s="19">
        <f>'Power Price Assumption'!L27*Assumptions!$D$9*12</f>
        <v>39649.556883679979</v>
      </c>
      <c r="K15" s="19">
        <f>'Power Price Assumption'!M27*Assumptions!$D$9*12</f>
        <v>40158.011154928136</v>
      </c>
      <c r="L15" s="19">
        <f>'Power Price Assumption'!N27*Assumptions!$D$9*12</f>
        <v>40917.887274189954</v>
      </c>
      <c r="M15" s="19">
        <f>'Power Price Assumption'!O27*Assumptions!$D$9*12</f>
        <v>41692.141887306876</v>
      </c>
      <c r="N15" s="19">
        <f>'Power Price Assumption'!P27*Assumptions!$D$9*12</f>
        <v>42481.047066371051</v>
      </c>
      <c r="O15" s="19">
        <f>'Power Price Assumption'!Q27*Assumptions!$D$9*12</f>
        <v>43284.880031664965</v>
      </c>
      <c r="P15" s="19">
        <f>'Power Price Assumption'!R27*Assumptions!$D$9*12</f>
        <v>44103.923249076368</v>
      </c>
      <c r="Q15" s="19">
        <f>'Power Price Assumption'!S27*Assumptions!$D$9*12</f>
        <v>44733.17225805152</v>
      </c>
      <c r="R15" s="19">
        <f>'Power Price Assumption'!T27*Assumptions!$D$9*12</f>
        <v>45371.399024244776</v>
      </c>
      <c r="S15" s="19">
        <f>'Power Price Assumption'!U27*Assumptions!$D$9*12</f>
        <v>46018.731637050834</v>
      </c>
      <c r="T15" s="19">
        <f>'Power Price Assumption'!V27*Assumptions!$D$9*12</f>
        <v>46675.300013369</v>
      </c>
      <c r="U15" s="19">
        <f>'Power Price Assumption'!W27*Assumptions!$D$9*12</f>
        <v>47341.235923677086</v>
      </c>
      <c r="W15" s="91">
        <f>SUM(B15:U15)</f>
        <v>711967.70486337319</v>
      </c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</row>
    <row r="16" spans="1:55" s="62" customFormat="1" ht="12" customHeight="1">
      <c r="A16" s="3" t="s">
        <v>59</v>
      </c>
      <c r="B16" s="19">
        <v>0</v>
      </c>
      <c r="C16" s="19">
        <v>0</v>
      </c>
      <c r="D16" s="19">
        <v>0</v>
      </c>
      <c r="E16" s="127">
        <f>1/3*Assumptions!$D$18*Assumptions!$D$11*Assumptions!$D$8/1000*(1+Assumptions!$D$25)^(E5-2000)+Assumptions!$D$19*Assumptions!$D$17*(1+Assumptions!$D$25)^(E5-2000)/1000</f>
        <v>781.26031592587947</v>
      </c>
      <c r="F16" s="127">
        <f>1/3*Assumptions!$D$18*Assumptions!$D$11*Assumptions!$D$8/1000*(1+Assumptions!$D$25)^(F5-2000)+Assumptions!$D$19*Assumptions!$D$17*(1+Assumptions!$D$25)^(F5-2000)/1000</f>
        <v>804.69812540365581</v>
      </c>
      <c r="G16" s="127">
        <f>1/3*Assumptions!$D$18*Assumptions!$D$11*Assumptions!$D$8/1000*(1+Assumptions!$D$25)^(G5-2000)+Assumptions!$D$19*Assumptions!$D$17*(1+Assumptions!$D$25)^(G5-2000)/1000</f>
        <v>828.83906916576552</v>
      </c>
      <c r="H16" s="127">
        <f>1/3*Assumptions!$D$18*Assumptions!$D$11*Assumptions!$D$8/1000*(1+Assumptions!$D$25)^(H5-2000)+Assumptions!$D$19*Assumptions!$D$17*(1+Assumptions!$D$25)^(H5-2000)/1000</f>
        <v>853.70424124073861</v>
      </c>
      <c r="I16" s="127">
        <f>1/3*Assumptions!$D$18*Assumptions!$D$11*Assumptions!$D$8/1000*(1+Assumptions!$D$25)^(I5-2000)+Assumptions!$D$19*Assumptions!$D$17*(1+Assumptions!$D$25)^(I5-2000)/1000</f>
        <v>879.31536847796065</v>
      </c>
      <c r="J16" s="127">
        <f>1/3*Assumptions!$D$18*Assumptions!$D$11*Assumptions!$D$8/1000*(1+Assumptions!$D$25)^(J5-2000)+Assumptions!$D$19*Assumptions!$D$17*(1+Assumptions!$D$25)^(J5-2000)/1000</f>
        <v>905.69482953229942</v>
      </c>
      <c r="K16" s="127">
        <f>1/3*Assumptions!$D$18*Assumptions!$D$11*Assumptions!$D$8/1000*(1+Assumptions!$D$25)^(K5-2000)+Assumptions!$D$19*Assumptions!$D$17*(1+Assumptions!$D$25)^(K5-2000)/1000</f>
        <v>932.86567441826844</v>
      </c>
      <c r="L16" s="127">
        <f>1/3*Assumptions!$D$18*Assumptions!$D$11*Assumptions!$D$8/1000*(1+Assumptions!$D$25)^(L5-2000)+Assumptions!$D$19*Assumptions!$D$17*(1+Assumptions!$D$25)^(L5-2000)/1000</f>
        <v>960.85164465081652</v>
      </c>
      <c r="M16" s="127">
        <f>1/3*Assumptions!$D$18*Assumptions!$D$11*Assumptions!$D$8/1000*(1+Assumptions!$D$25)^(M5-2000)+Assumptions!$D$19*Assumptions!$D$17*(1+Assumptions!$D$25)^(M5-2000)/1000</f>
        <v>989.67719399034092</v>
      </c>
      <c r="N16" s="127">
        <f>1/3*Assumptions!$D$18*Assumptions!$D$11*Assumptions!$D$8/1000*(1+Assumptions!$D$25)^(N5-2000)+Assumptions!$D$19*Assumptions!$D$17*(1+Assumptions!$D$25)^(N5-2000)/1000</f>
        <v>1019.3675098100509</v>
      </c>
      <c r="O16" s="127">
        <f>1/3*Assumptions!$D$18*Assumptions!$D$11*Assumptions!$D$8/1000*(1+Assumptions!$D$25)^(O5-2000)+Assumptions!$D$19*Assumptions!$D$17*(1+Assumptions!$D$25)^(O5-2000)/1000</f>
        <v>1049.9485351043527</v>
      </c>
      <c r="P16" s="127">
        <f>1/3*Assumptions!$D$18*Assumptions!$D$11*Assumptions!$D$8/1000*(1+Assumptions!$D$25)^(P5-2000)+Assumptions!$D$19*Assumptions!$D$17*(1+Assumptions!$D$25)^(P5-2000)/1000</f>
        <v>1081.4469911574834</v>
      </c>
      <c r="Q16" s="127">
        <f>1/3*Assumptions!$D$18*Assumptions!$D$11*Assumptions!$D$8/1000*(1+Assumptions!$D$25)^(Q5-2000)+Assumptions!$D$19*Assumptions!$D$17*(1+Assumptions!$D$25)^(Q5-2000)/1000</f>
        <v>1113.8904008922077</v>
      </c>
      <c r="R16" s="127">
        <f>1/3*Assumptions!$D$18*Assumptions!$D$11*Assumptions!$D$8/1000*(1+Assumptions!$D$25)^(R5-2000)+Assumptions!$D$19*Assumptions!$D$17*(1+Assumptions!$D$25)^(R5-2000)/1000</f>
        <v>1147.3071129189739</v>
      </c>
      <c r="S16" s="127">
        <f>1/3*Assumptions!$D$18*Assumptions!$D$11*Assumptions!$D$8/1000*(1+Assumptions!$D$25)^(S5-2000)+Assumptions!$D$19*Assumptions!$D$17*(1+Assumptions!$D$25)^(S5-2000)/1000</f>
        <v>1181.7263263065431</v>
      </c>
      <c r="T16" s="127">
        <f>1/3*Assumptions!$D$18*Assumptions!$D$11*Assumptions!$D$8/1000*(1+Assumptions!$D$25)^(T5-2000)+Assumptions!$D$19*Assumptions!$D$17*(1+Assumptions!$D$25)^(T5-2000)/1000</f>
        <v>1217.1781160957394</v>
      </c>
      <c r="U16" s="127">
        <f>1/3*Assumptions!$D$18*Assumptions!$D$11*Assumptions!$D$8/1000*(1+Assumptions!$D$25)^(U5-2000)+Assumptions!$D$19*Assumptions!$D$17*(1+Assumptions!$D$25)^(U5-2000)/1000</f>
        <v>1253.6934595786115</v>
      </c>
      <c r="W16" s="91">
        <f>SUM(B16:U16)</f>
        <v>17001.46491466969</v>
      </c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</row>
    <row r="17" spans="1:55" s="62" customFormat="1" ht="12" customHeight="1">
      <c r="A17" s="3"/>
      <c r="W17" s="91">
        <f>SUM(B17:U17)</f>
        <v>0</v>
      </c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</row>
    <row r="18" spans="1:55" s="62" customFormat="1" ht="12" customHeight="1">
      <c r="A18" s="3" t="s">
        <v>168</v>
      </c>
      <c r="B18" s="198">
        <f>(SUM(B9:B11)-SUM(B22:B28))*'Summary Output'!$B$29/4</f>
        <v>238.88714205166204</v>
      </c>
      <c r="C18" s="198">
        <f>(SUM(C9:C11)-SUM(C22:C28))*'Summary Output'!$B$29/4</f>
        <v>238.29350815282953</v>
      </c>
      <c r="D18" s="198">
        <f>(SUM(D9:D11)-SUM(D22:D28))*'Summary Output'!$B$29/4</f>
        <v>237.67735975778561</v>
      </c>
      <c r="E18" s="198">
        <f>(SUM(E9:E16)-SUM(E22:E28))*'Summary Output'!$B$29/4</f>
        <v>402.17789990490877</v>
      </c>
      <c r="F18" s="198">
        <f>(SUM(F9:F16)-SUM(F22:F28))*'Summary Output'!$B$29/4</f>
        <v>423.88108245501155</v>
      </c>
      <c r="G18" s="198">
        <f>(SUM(G9:G16)-SUM(G22:G28))*'Summary Output'!$B$29/4</f>
        <v>429.30584903779118</v>
      </c>
      <c r="H18" s="198">
        <f>(SUM(H9:H16)-SUM(H22:H28))*'Summary Output'!$B$29/4</f>
        <v>434.80681799241415</v>
      </c>
      <c r="I18" s="198">
        <f>(SUM(I9:I16)-SUM(I22:I28))*'Summary Output'!$B$29/4</f>
        <v>440.34907715171585</v>
      </c>
      <c r="J18" s="198">
        <f>(SUM(J9:J16)-SUM(J22:J28))*'Summary Output'!$B$29/4</f>
        <v>446.05975290290411</v>
      </c>
      <c r="K18" s="198">
        <f>(SUM(K9:K16)-SUM(K22:K28))*'Summary Output'!$B$29/4</f>
        <v>446.68814197217034</v>
      </c>
      <c r="L18" s="198">
        <f>(SUM(L9:L16)-SUM(L22:L28))*'Summary Output'!$B$29/4</f>
        <v>457.5074966036874</v>
      </c>
      <c r="M18" s="198">
        <f>(SUM(M9:M16)-SUM(M22:M28))*'Summary Output'!$B$29/4</f>
        <v>468.69876586366394</v>
      </c>
      <c r="N18" s="198">
        <f>(SUM(N9:N16)-SUM(N22:N28))*'Summary Output'!$B$29/4</f>
        <v>479.1254226070555</v>
      </c>
      <c r="O18" s="198">
        <f>(SUM(O9:O16)-SUM(O22:O28))*'Summary Output'!$B$29/4</f>
        <v>488.10424459895489</v>
      </c>
      <c r="P18" s="198">
        <f>(SUM(P9:P16)-SUM(P22:P28))*'Summary Output'!$B$29/4</f>
        <v>497.23391687823619</v>
      </c>
      <c r="Q18" s="198">
        <f>(SUM(Q9:Q16)-SUM(Q22:Q28))*'Summary Output'!$B$29/4</f>
        <v>503.87922130853195</v>
      </c>
      <c r="R18" s="198">
        <f>(SUM(R9:R16)-SUM(R22:R28))*'Summary Output'!$B$29/4</f>
        <v>510.52447638606475</v>
      </c>
      <c r="S18" s="198">
        <f>(SUM(S9:S16)-SUM(S22:S28))*'Summary Output'!$B$29/4</f>
        <v>517.23988245848352</v>
      </c>
      <c r="T18" s="198">
        <f>(SUM(T9:T16)-SUM(T22:T28))*'Summary Output'!$B$29/4</f>
        <v>524.02573342934784</v>
      </c>
      <c r="U18" s="198">
        <f>(SUM(U9:U16)-SUM(U22:U28))*'Summary Output'!$B$29/4</f>
        <v>530.88230143784904</v>
      </c>
      <c r="W18" s="91">
        <f>SUM(B18:U18)</f>
        <v>8715.3480929510679</v>
      </c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</row>
    <row r="19" spans="1:55" s="62" customFormat="1" ht="12" customHeight="1">
      <c r="A19" s="3" t="s">
        <v>60</v>
      </c>
      <c r="B19" s="56">
        <f>SUM(B9:B18)</f>
        <v>31889.589883800272</v>
      </c>
      <c r="C19" s="56">
        <f t="shared" ref="C19:U19" si="3">SUM(C9:C18)</f>
        <v>31919.715165758538</v>
      </c>
      <c r="D19" s="56">
        <f t="shared" si="3"/>
        <v>31950.739500696298</v>
      </c>
      <c r="E19" s="56">
        <f t="shared" si="3"/>
        <v>37082.634067677107</v>
      </c>
      <c r="F19" s="56">
        <f t="shared" si="3"/>
        <v>38907.886181710819</v>
      </c>
      <c r="G19" s="56">
        <f t="shared" si="3"/>
        <v>39420.640257179919</v>
      </c>
      <c r="H19" s="56">
        <f t="shared" si="3"/>
        <v>39940.391029001643</v>
      </c>
      <c r="I19" s="56">
        <f t="shared" si="3"/>
        <v>40467.204770949043</v>
      </c>
      <c r="J19" s="56">
        <f t="shared" si="3"/>
        <v>41001.311466115185</v>
      </c>
      <c r="K19" s="56">
        <f t="shared" si="3"/>
        <v>41537.56497131857</v>
      </c>
      <c r="L19" s="56">
        <f t="shared" si="3"/>
        <v>42336.246415444453</v>
      </c>
      <c r="M19" s="56">
        <f t="shared" si="3"/>
        <v>43150.517847160882</v>
      </c>
      <c r="N19" s="56">
        <f t="shared" si="3"/>
        <v>43979.539998788154</v>
      </c>
      <c r="O19" s="56">
        <f t="shared" si="3"/>
        <v>44822.932811368271</v>
      </c>
      <c r="P19" s="56">
        <f t="shared" si="3"/>
        <v>45682.604157112088</v>
      </c>
      <c r="Q19" s="56">
        <f t="shared" si="3"/>
        <v>46350.941880252263</v>
      </c>
      <c r="R19" s="56">
        <f t="shared" si="3"/>
        <v>47029.230613549822</v>
      </c>
      <c r="S19" s="56">
        <f t="shared" si="3"/>
        <v>47717.697845815856</v>
      </c>
      <c r="T19" s="56">
        <f t="shared" si="3"/>
        <v>48416.503862894089</v>
      </c>
      <c r="U19" s="56">
        <f t="shared" si="3"/>
        <v>49125.811684693552</v>
      </c>
      <c r="W19" s="91">
        <f>SUM(B19:U19)</f>
        <v>832729.70441128674</v>
      </c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</row>
    <row r="20" spans="1:55" s="62" customFormat="1" ht="12" customHeight="1">
      <c r="A20" s="4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W20" s="91"/>
    </row>
    <row r="21" spans="1:55">
      <c r="A21" s="1" t="s">
        <v>61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W21" s="91"/>
    </row>
    <row r="22" spans="1:55">
      <c r="A22" s="3" t="s">
        <v>48</v>
      </c>
      <c r="B22" s="127">
        <f>Assumptions!D28*(1+Assumptions!$D$25)</f>
        <v>1772.9410188000002</v>
      </c>
      <c r="C22" s="127">
        <f>B22*(1+Assumptions!$D$25)</f>
        <v>1826.1292493640003</v>
      </c>
      <c r="D22" s="127">
        <f>C22*(1+Assumptions!$D$25)</f>
        <v>1880.9131268449203</v>
      </c>
      <c r="E22" s="127">
        <f>D22*(1+Assumptions!$D$25)</f>
        <v>1937.340520650268</v>
      </c>
      <c r="F22" s="127">
        <f>E22*(1+Assumptions!$D$25)</f>
        <v>1995.4607362697761</v>
      </c>
      <c r="G22" s="127">
        <f>F22*(1+Assumptions!$D$25)</f>
        <v>2055.3245583578696</v>
      </c>
      <c r="H22" s="127">
        <f>G22*(1+Assumptions!$D$25)</f>
        <v>2116.9842951086057</v>
      </c>
      <c r="I22" s="127">
        <f>H22*(1+Assumptions!$D$25)</f>
        <v>2180.4938239618641</v>
      </c>
      <c r="J22" s="127">
        <f>I22*(1+Assumptions!$D$25)</f>
        <v>2245.9086386807203</v>
      </c>
      <c r="K22" s="127">
        <f>J22*(1+Assumptions!$D$25)</f>
        <v>2313.2858978411418</v>
      </c>
      <c r="L22" s="127">
        <f>K22*(1+Assumptions!$D$25)</f>
        <v>2382.6844747763762</v>
      </c>
      <c r="M22" s="127">
        <f>L22*(1+Assumptions!$D$25)</f>
        <v>2454.1650090196677</v>
      </c>
      <c r="N22" s="127">
        <f>M22*(1+Assumptions!$D$25)</f>
        <v>2527.7899592902577</v>
      </c>
      <c r="O22" s="127">
        <f>N22*(1+Assumptions!$D$25)</f>
        <v>2603.6236580689656</v>
      </c>
      <c r="P22" s="127">
        <f>O22*(1+Assumptions!$D$25)</f>
        <v>2681.7323678110347</v>
      </c>
      <c r="Q22" s="127">
        <f>P22*(1+Assumptions!$D$25)</f>
        <v>2762.1843388453658</v>
      </c>
      <c r="R22" s="127">
        <f>Q22*(1+Assumptions!$D$25)</f>
        <v>2845.049869010727</v>
      </c>
      <c r="S22" s="127">
        <f>R22*(1+Assumptions!$D$25)</f>
        <v>2930.4013650810489</v>
      </c>
      <c r="T22" s="127">
        <f>S22*(1+Assumptions!$D$25)</f>
        <v>3018.3134060334805</v>
      </c>
      <c r="U22" s="127">
        <f>T22*(1+Assumptions!$D$25)</f>
        <v>3108.8628082144851</v>
      </c>
      <c r="W22" s="91">
        <f t="shared" ref="W22:W29" si="4">SUM(B22:U22)</f>
        <v>47639.589122030571</v>
      </c>
    </row>
    <row r="23" spans="1:55">
      <c r="A23" s="3" t="s">
        <v>49</v>
      </c>
      <c r="B23" s="127">
        <f>Assumptions!$D$29*(1+Assumptions!$D$25)</f>
        <v>560.4638619031831</v>
      </c>
      <c r="C23" s="127">
        <f>B23*(1+Assumptions!$D$25)</f>
        <v>577.27777776027858</v>
      </c>
      <c r="D23" s="127">
        <f>C23*(1+Assumptions!$D$25)</f>
        <v>594.59611109308696</v>
      </c>
      <c r="E23" s="127">
        <f>Assumptions!$D$19*Assumptions!$D$23*(1+Assumptions!$D$25)^(E5-2000)/1000</f>
        <v>612.43399442587952</v>
      </c>
      <c r="F23" s="127">
        <f>Assumptions!$D$19*Assumptions!$D$23*(1+Assumptions!$D$25)^(F5-2000)/1000</f>
        <v>630.80701425865584</v>
      </c>
      <c r="G23" s="127">
        <f>Assumptions!$D$19*Assumptions!$D$23*(1+Assumptions!$D$25)^(G5-2000)/1000</f>
        <v>649.73122468641554</v>
      </c>
      <c r="H23" s="127">
        <f>Assumptions!$D$19*Assumptions!$D$23*(1+Assumptions!$D$25)^(H5-2000)/1000</f>
        <v>669.22316142700811</v>
      </c>
      <c r="I23" s="127">
        <f>Assumptions!$D$19*Assumptions!$D$23*(1+Assumptions!$D$25)^(I5-2000)/1000</f>
        <v>689.29985626981829</v>
      </c>
      <c r="J23" s="127">
        <f>Assumptions!$D$19*Assumptions!$D$23*(1+Assumptions!$D$25)^(J5-2000)/1000</f>
        <v>709.97885195791275</v>
      </c>
      <c r="K23" s="127">
        <f>Assumptions!$D$19*Assumptions!$D$23*(1+Assumptions!$D$25)^(K5-2000)/1000</f>
        <v>731.27821751665022</v>
      </c>
      <c r="L23" s="127">
        <f>Assumptions!$D$19*Assumptions!$D$23*(1+Assumptions!$D$25)^(L5-2000)/1000</f>
        <v>753.21656404214968</v>
      </c>
      <c r="M23" s="127">
        <f>Assumptions!$D$19*Assumptions!$D$23*(1+Assumptions!$D$25)^(M5-2000)/1000</f>
        <v>775.81306096341416</v>
      </c>
      <c r="N23" s="127">
        <f>Assumptions!$D$19*Assumptions!$D$23*(1+Assumptions!$D$25)^(N5-2000)/1000</f>
        <v>799.08745279231641</v>
      </c>
      <c r="O23" s="127">
        <f>Assumptions!$D$19*Assumptions!$D$23*(1+Assumptions!$D$25)^(O5-2000)/1000</f>
        <v>823.06007637608604</v>
      </c>
      <c r="P23" s="127">
        <f>Assumptions!$D$19*Assumptions!$D$23*(1+Assumptions!$D$25)^(P5-2000)/1000</f>
        <v>847.75187866736871</v>
      </c>
      <c r="Q23" s="127">
        <f>Assumptions!$D$19*Assumptions!$D$23*(1+Assumptions!$D$25)^(Q5-2000)/1000</f>
        <v>873.18443502738955</v>
      </c>
      <c r="R23" s="127">
        <f>Assumptions!$D$19*Assumptions!$D$23*(1+Assumptions!$D$25)^(R5-2000)/1000</f>
        <v>899.37996807821128</v>
      </c>
      <c r="S23" s="127">
        <f>Assumptions!$D$19*Assumptions!$D$23*(1+Assumptions!$D$25)^(S5-2000)/1000</f>
        <v>926.3613671205577</v>
      </c>
      <c r="T23" s="127">
        <f>Assumptions!$D$19*Assumptions!$D$23*(1+Assumptions!$D$25)^(T5-2000)/1000</f>
        <v>954.15220813417432</v>
      </c>
      <c r="U23" s="127">
        <f>Assumptions!$D$19*Assumptions!$D$23*(1+Assumptions!$D$25)^(U5-2000)/1000</f>
        <v>982.77677437819955</v>
      </c>
      <c r="W23" s="91">
        <f t="shared" si="4"/>
        <v>15059.873856878756</v>
      </c>
    </row>
    <row r="24" spans="1:55">
      <c r="A24" s="3" t="s">
        <v>262</v>
      </c>
      <c r="B24" s="127">
        <f>Assumptions!$D$24*Assumptions!$D$11*Assumptions!$D$8/1000*(1+Assumptions!$D$25)</f>
        <v>463.5</v>
      </c>
      <c r="C24" s="91">
        <f>B24*(1+Assumptions!$D$25)</f>
        <v>477.40500000000003</v>
      </c>
      <c r="D24" s="91">
        <f>C24*(1+Assumptions!$D$25)</f>
        <v>491.72715000000005</v>
      </c>
      <c r="E24" s="91">
        <f>D24*(1+Assumptions!$D$25)</f>
        <v>506.47896450000007</v>
      </c>
      <c r="F24" s="91">
        <f>E24*(1+Assumptions!$D$25)</f>
        <v>521.67333343500013</v>
      </c>
      <c r="G24" s="91">
        <f>F24*(1+Assumptions!$D$25)</f>
        <v>537.32353343805016</v>
      </c>
      <c r="H24" s="91">
        <f>G24*(1+Assumptions!$D$25)</f>
        <v>553.44323944119174</v>
      </c>
      <c r="I24" s="91">
        <f>H24*(1+Assumptions!$D$25)</f>
        <v>570.04653662442752</v>
      </c>
      <c r="J24" s="91">
        <f>I24*(1+Assumptions!$D$25)</f>
        <v>587.14793272316035</v>
      </c>
      <c r="K24" s="91">
        <f>J24*(1+Assumptions!$D$25)</f>
        <v>604.76237070485513</v>
      </c>
      <c r="L24" s="91">
        <f>K24*(1+Assumptions!$D$25)</f>
        <v>622.90524182600075</v>
      </c>
      <c r="M24" s="91">
        <f>L24*(1+Assumptions!$D$25)</f>
        <v>641.59239908078075</v>
      </c>
      <c r="N24" s="91">
        <f>M24*(1+Assumptions!$D$25)</f>
        <v>660.84017105320424</v>
      </c>
      <c r="O24" s="91">
        <f>N24*(1+Assumptions!$D$25)</f>
        <v>680.66537618480038</v>
      </c>
      <c r="P24" s="91">
        <f>O24*(1+Assumptions!$D$25)</f>
        <v>701.08533747034437</v>
      </c>
      <c r="Q24" s="91">
        <f>P24*(1+Assumptions!$D$25)</f>
        <v>722.11789759445469</v>
      </c>
      <c r="R24" s="91">
        <f>Q24*(1+Assumptions!$D$25)</f>
        <v>743.78143452228835</v>
      </c>
      <c r="S24" s="91">
        <f>R24*(1+Assumptions!$D$25)</f>
        <v>766.09487755795703</v>
      </c>
      <c r="T24" s="91">
        <f>S24*(1+Assumptions!$D$25)</f>
        <v>789.07772388469573</v>
      </c>
      <c r="U24" s="91">
        <f>T24*(1+Assumptions!$D$25)</f>
        <v>812.75005560123657</v>
      </c>
      <c r="W24" s="91">
        <f t="shared" si="4"/>
        <v>12454.418575642445</v>
      </c>
    </row>
    <row r="25" spans="1:55">
      <c r="A25" s="3" t="s">
        <v>112</v>
      </c>
      <c r="B25" s="127">
        <f>Assumptions!D31*(1+Assumptions!$D$25)</f>
        <v>0</v>
      </c>
      <c r="C25" s="127">
        <f>B25*(1+Assumptions!$D$25)</f>
        <v>0</v>
      </c>
      <c r="D25" s="127">
        <f>C25*(1+Assumptions!$D$25)</f>
        <v>0</v>
      </c>
      <c r="E25" s="127">
        <f>D25*(1+Assumptions!$D$25)</f>
        <v>0</v>
      </c>
      <c r="F25" s="127">
        <f>E25*(1+Assumptions!$D$25)</f>
        <v>0</v>
      </c>
      <c r="G25" s="127">
        <f>F25*(1+Assumptions!$D$25)</f>
        <v>0</v>
      </c>
      <c r="H25" s="127">
        <f>G25*(1+Assumptions!$D$25)</f>
        <v>0</v>
      </c>
      <c r="I25" s="127">
        <f>H25*(1+Assumptions!$D$25)</f>
        <v>0</v>
      </c>
      <c r="J25" s="127">
        <f>I25*(1+Assumptions!$D$25)</f>
        <v>0</v>
      </c>
      <c r="K25" s="127">
        <f>J25*(1+Assumptions!$D$25)</f>
        <v>0</v>
      </c>
      <c r="L25" s="127">
        <f>K25*(1+Assumptions!$D$25)</f>
        <v>0</v>
      </c>
      <c r="M25" s="127">
        <f>L25*(1+Assumptions!$D$25)</f>
        <v>0</v>
      </c>
      <c r="N25" s="127">
        <f>M25*(1+Assumptions!$D$25)</f>
        <v>0</v>
      </c>
      <c r="O25" s="127">
        <f>N25*(1+Assumptions!$D$25)</f>
        <v>0</v>
      </c>
      <c r="P25" s="127">
        <f>O25*(1+Assumptions!$D$25)</f>
        <v>0</v>
      </c>
      <c r="Q25" s="127">
        <f>P25*(1+Assumptions!$D$25)</f>
        <v>0</v>
      </c>
      <c r="R25" s="127">
        <f>Q25*(1+Assumptions!$D$25)</f>
        <v>0</v>
      </c>
      <c r="S25" s="127">
        <f>R25*(1+Assumptions!$D$25)</f>
        <v>0</v>
      </c>
      <c r="T25" s="127">
        <f>S25*(1+Assumptions!$D$25)</f>
        <v>0</v>
      </c>
      <c r="U25" s="127">
        <f>T25*(1+Assumptions!$D$25)</f>
        <v>0</v>
      </c>
      <c r="W25" s="91">
        <f t="shared" si="4"/>
        <v>0</v>
      </c>
    </row>
    <row r="26" spans="1:55">
      <c r="A26" s="3" t="s">
        <v>113</v>
      </c>
      <c r="B26" s="127">
        <f>Assumptions!D32*(1+Assumptions!$D$25)</f>
        <v>423.2585866666667</v>
      </c>
      <c r="C26" s="127">
        <f>B26*(1+Assumptions!$D$25)</f>
        <v>435.95634426666669</v>
      </c>
      <c r="D26" s="127">
        <f>C26*(1+Assumptions!$D$25)</f>
        <v>449.03503459466668</v>
      </c>
      <c r="E26" s="127">
        <f>D26*(1+Assumptions!$D$25)</f>
        <v>462.50608563250671</v>
      </c>
      <c r="F26" s="127">
        <f>E26*(1+Assumptions!$D$25)</f>
        <v>476.38126820148193</v>
      </c>
      <c r="G26" s="127">
        <f>F26*(1+Assumptions!$D$25)</f>
        <v>490.67270624752638</v>
      </c>
      <c r="H26" s="127">
        <f>G26*(1+Assumptions!$D$25)</f>
        <v>505.39288743495217</v>
      </c>
      <c r="I26" s="127">
        <f>H26*(1+Assumptions!$D$25)</f>
        <v>520.55467405800073</v>
      </c>
      <c r="J26" s="127">
        <f>I26*(1+Assumptions!$D$25)</f>
        <v>536.17131427974073</v>
      </c>
      <c r="K26" s="127">
        <f>J26*(1+Assumptions!$D$25)</f>
        <v>552.25645370813299</v>
      </c>
      <c r="L26" s="127">
        <f>K26*(1+Assumptions!$D$25)</f>
        <v>568.82414731937695</v>
      </c>
      <c r="M26" s="127">
        <f>L26*(1+Assumptions!$D$25)</f>
        <v>585.8888717389583</v>
      </c>
      <c r="N26" s="127">
        <f>M26*(1+Assumptions!$D$25)</f>
        <v>603.46553789112704</v>
      </c>
      <c r="O26" s="127">
        <f>N26*(1+Assumptions!$D$25)</f>
        <v>621.56950402786083</v>
      </c>
      <c r="P26" s="127">
        <f>O26*(1+Assumptions!$D$25)</f>
        <v>640.2165891486967</v>
      </c>
      <c r="Q26" s="127">
        <f>P26*(1+Assumptions!$D$25)</f>
        <v>659.42308682315763</v>
      </c>
      <c r="R26" s="127">
        <f>Q26*(1+Assumptions!$D$25)</f>
        <v>679.20577942785235</v>
      </c>
      <c r="S26" s="127">
        <f>R26*(1+Assumptions!$D$25)</f>
        <v>699.58195281068788</v>
      </c>
      <c r="T26" s="127">
        <f>S26*(1+Assumptions!$D$25)</f>
        <v>720.5694113950085</v>
      </c>
      <c r="U26" s="127">
        <f>T26*(1+Assumptions!$D$25)</f>
        <v>742.18649373685878</v>
      </c>
      <c r="W26" s="91">
        <f t="shared" si="4"/>
        <v>11373.116729409925</v>
      </c>
    </row>
    <row r="27" spans="1:55">
      <c r="A27" s="3" t="s">
        <v>190</v>
      </c>
      <c r="B27" s="460">
        <v>579.4</v>
      </c>
      <c r="C27" s="460">
        <v>573.6</v>
      </c>
      <c r="D27" s="460">
        <v>567.9</v>
      </c>
      <c r="E27" s="460">
        <v>562.20000000000005</v>
      </c>
      <c r="F27" s="460">
        <v>556.6</v>
      </c>
      <c r="G27" s="460">
        <v>551</v>
      </c>
      <c r="H27" s="460">
        <v>534.5</v>
      </c>
      <c r="I27" s="460">
        <v>518.5</v>
      </c>
      <c r="J27" s="460">
        <v>492.6</v>
      </c>
      <c r="K27" s="460">
        <v>877.7</v>
      </c>
      <c r="L27" s="460">
        <v>694.8</v>
      </c>
      <c r="M27" s="460">
        <v>493.7</v>
      </c>
      <c r="N27" s="460">
        <v>365.7</v>
      </c>
      <c r="O27" s="460">
        <v>365.7</v>
      </c>
      <c r="P27" s="460">
        <v>365.7</v>
      </c>
      <c r="Q27" s="460">
        <v>365.7</v>
      </c>
      <c r="R27" s="460">
        <v>365.7</v>
      </c>
      <c r="S27" s="460">
        <v>365.7</v>
      </c>
      <c r="T27" s="460">
        <v>365.7</v>
      </c>
      <c r="U27" s="460">
        <f>T27</f>
        <v>365.7</v>
      </c>
      <c r="W27" s="91">
        <f t="shared" si="4"/>
        <v>9928.100000000004</v>
      </c>
    </row>
    <row r="28" spans="1:55" s="16" customFormat="1">
      <c r="A28" s="3" t="s">
        <v>186</v>
      </c>
      <c r="B28" s="146">
        <f>B82</f>
        <v>481.42903040037135</v>
      </c>
      <c r="C28" s="146">
        <f t="shared" ref="C28:U28" si="5">C82</f>
        <v>468.83375414297075</v>
      </c>
      <c r="D28" s="146">
        <f t="shared" si="5"/>
        <v>455.96305793756466</v>
      </c>
      <c r="E28" s="146">
        <f t="shared" si="5"/>
        <v>425.26461017084745</v>
      </c>
      <c r="F28" s="146">
        <f t="shared" si="5"/>
        <v>392.59615068997556</v>
      </c>
      <c r="G28" s="146">
        <f t="shared" si="5"/>
        <v>362.81446238897246</v>
      </c>
      <c r="H28" s="146">
        <f t="shared" si="5"/>
        <v>341.49518820433661</v>
      </c>
      <c r="I28" s="146">
        <f t="shared" si="5"/>
        <v>320.03463074594788</v>
      </c>
      <c r="J28" s="146">
        <f t="shared" si="5"/>
        <v>298.66474333842439</v>
      </c>
      <c r="K28" s="146">
        <f t="shared" si="5"/>
        <v>276.54253180199311</v>
      </c>
      <c r="L28" s="146">
        <f t="shared" si="5"/>
        <v>255.70876258187789</v>
      </c>
      <c r="M28" s="146">
        <f t="shared" si="5"/>
        <v>234.75847140128849</v>
      </c>
      <c r="N28" s="146">
        <f t="shared" si="5"/>
        <v>213.49764658975445</v>
      </c>
      <c r="O28" s="146">
        <f t="shared" si="5"/>
        <v>191.87038419522054</v>
      </c>
      <c r="P28" s="146">
        <f t="shared" si="5"/>
        <v>170.17071687751698</v>
      </c>
      <c r="Q28" s="146">
        <f t="shared" si="5"/>
        <v>154.11519597081036</v>
      </c>
      <c r="R28" s="146">
        <f t="shared" si="5"/>
        <v>143.63097523949372</v>
      </c>
      <c r="S28" s="146">
        <f t="shared" si="5"/>
        <v>133.1278041084463</v>
      </c>
      <c r="T28" s="146">
        <f t="shared" si="5"/>
        <v>122.60670566955544</v>
      </c>
      <c r="U28" s="146">
        <f t="shared" si="5"/>
        <v>112.06913629699555</v>
      </c>
      <c r="V28" s="91"/>
      <c r="W28" s="91">
        <f t="shared" si="4"/>
        <v>5555.193958752363</v>
      </c>
    </row>
    <row r="29" spans="1:55">
      <c r="A29" s="3" t="s">
        <v>62</v>
      </c>
      <c r="B29" s="127">
        <f t="shared" ref="B29:U29" si="6">SUM(B22:B28)</f>
        <v>4280.9924977702212</v>
      </c>
      <c r="C29" s="127">
        <f t="shared" si="6"/>
        <v>4359.2021255339168</v>
      </c>
      <c r="D29" s="127">
        <f t="shared" si="6"/>
        <v>4440.1344804702385</v>
      </c>
      <c r="E29" s="127">
        <f t="shared" si="6"/>
        <v>4506.2241753795024</v>
      </c>
      <c r="F29" s="127">
        <f t="shared" si="6"/>
        <v>4573.5185028548894</v>
      </c>
      <c r="G29" s="127">
        <f t="shared" si="6"/>
        <v>4646.8664851188341</v>
      </c>
      <c r="H29" s="127">
        <f t="shared" si="6"/>
        <v>4721.0387716160949</v>
      </c>
      <c r="I29" s="127">
        <f t="shared" si="6"/>
        <v>4798.9295216600585</v>
      </c>
      <c r="J29" s="127">
        <f t="shared" si="6"/>
        <v>4870.4714809799589</v>
      </c>
      <c r="K29" s="127">
        <f t="shared" si="6"/>
        <v>5355.8254715727735</v>
      </c>
      <c r="L29" s="127">
        <f t="shared" si="6"/>
        <v>5278.1391905457813</v>
      </c>
      <c r="M29" s="127">
        <f t="shared" si="6"/>
        <v>5185.9178122041085</v>
      </c>
      <c r="N29" s="127">
        <f t="shared" si="6"/>
        <v>5170.3807676166598</v>
      </c>
      <c r="O29" s="127">
        <f t="shared" si="6"/>
        <v>5286.4889988529321</v>
      </c>
      <c r="P29" s="127">
        <f t="shared" si="6"/>
        <v>5406.6568899749618</v>
      </c>
      <c r="Q29" s="127">
        <f t="shared" si="6"/>
        <v>5536.724954261178</v>
      </c>
      <c r="R29" s="127">
        <f t="shared" si="6"/>
        <v>5676.748026278573</v>
      </c>
      <c r="S29" s="127">
        <f t="shared" si="6"/>
        <v>5821.2673666786968</v>
      </c>
      <c r="T29" s="127">
        <f t="shared" si="6"/>
        <v>5970.4194551169148</v>
      </c>
      <c r="U29" s="127">
        <f t="shared" si="6"/>
        <v>6124.3452682277757</v>
      </c>
      <c r="W29" s="91">
        <f t="shared" si="4"/>
        <v>102010.29224271406</v>
      </c>
    </row>
    <row r="30" spans="1:55" s="62" customFormat="1" outlineLevel="1">
      <c r="A30" s="5"/>
      <c r="B30" s="130"/>
      <c r="C30" s="131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W30" s="91"/>
    </row>
    <row r="31" spans="1:55" s="62" customFormat="1" ht="6.75" customHeight="1">
      <c r="A31" s="5"/>
      <c r="B31" s="130"/>
      <c r="C31" s="131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W31" s="91"/>
    </row>
    <row r="32" spans="1:55" s="57" customFormat="1">
      <c r="A32" s="1" t="s">
        <v>63</v>
      </c>
      <c r="B32" s="132">
        <f t="shared" ref="B32:U32" si="7">B19-B29</f>
        <v>27608.597386030051</v>
      </c>
      <c r="C32" s="132">
        <f t="shared" si="7"/>
        <v>27560.513040224621</v>
      </c>
      <c r="D32" s="132">
        <f t="shared" si="7"/>
        <v>27510.605020226059</v>
      </c>
      <c r="E32" s="132">
        <f t="shared" si="7"/>
        <v>32576.409892297605</v>
      </c>
      <c r="F32" s="132">
        <f t="shared" si="7"/>
        <v>34334.367678855931</v>
      </c>
      <c r="G32" s="132">
        <f t="shared" si="7"/>
        <v>34773.773772061082</v>
      </c>
      <c r="H32" s="132">
        <f t="shared" si="7"/>
        <v>35219.352257385544</v>
      </c>
      <c r="I32" s="132">
        <f t="shared" si="7"/>
        <v>35668.275249288985</v>
      </c>
      <c r="J32" s="132">
        <f t="shared" si="7"/>
        <v>36130.83998513523</v>
      </c>
      <c r="K32" s="132">
        <f t="shared" si="7"/>
        <v>36181.739499745796</v>
      </c>
      <c r="L32" s="132">
        <f t="shared" si="7"/>
        <v>37058.107224898675</v>
      </c>
      <c r="M32" s="132">
        <f t="shared" si="7"/>
        <v>37964.600034956777</v>
      </c>
      <c r="N32" s="132">
        <f t="shared" si="7"/>
        <v>38809.159231171492</v>
      </c>
      <c r="O32" s="132">
        <f t="shared" si="7"/>
        <v>39536.443812515339</v>
      </c>
      <c r="P32" s="132">
        <f t="shared" si="7"/>
        <v>40275.947267137126</v>
      </c>
      <c r="Q32" s="132">
        <f t="shared" si="7"/>
        <v>40814.216925991088</v>
      </c>
      <c r="R32" s="132">
        <f t="shared" si="7"/>
        <v>41352.482587271246</v>
      </c>
      <c r="S32" s="132">
        <f t="shared" si="7"/>
        <v>41896.430479137161</v>
      </c>
      <c r="T32" s="132">
        <f t="shared" si="7"/>
        <v>42446.084407777176</v>
      </c>
      <c r="U32" s="132">
        <f t="shared" si="7"/>
        <v>43001.466416465773</v>
      </c>
      <c r="W32" s="91">
        <f>SUM(B32:U32)</f>
        <v>730719.41216857266</v>
      </c>
    </row>
    <row r="33" spans="1:23" s="57" customFormat="1">
      <c r="A33" s="1"/>
      <c r="B33" s="132"/>
      <c r="C33" s="133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W33" s="91"/>
    </row>
    <row r="34" spans="1:23">
      <c r="A34" s="3" t="s">
        <v>64</v>
      </c>
      <c r="B34" s="127">
        <f>Depreciation!C21</f>
        <v>5620.9099017869885</v>
      </c>
      <c r="C34" s="127">
        <f>Depreciation!D21</f>
        <v>5620.9099017869885</v>
      </c>
      <c r="D34" s="127">
        <f>Depreciation!E21</f>
        <v>5620.9099017869885</v>
      </c>
      <c r="E34" s="127">
        <f>Depreciation!F21</f>
        <v>5620.9099017869885</v>
      </c>
      <c r="F34" s="127">
        <f>Depreciation!G21</f>
        <v>5620.9099017869885</v>
      </c>
      <c r="G34" s="127">
        <f>Depreciation!H21</f>
        <v>5620.9099017869885</v>
      </c>
      <c r="H34" s="127">
        <f>Depreciation!I21</f>
        <v>5620.9099017869885</v>
      </c>
      <c r="I34" s="127">
        <f>Depreciation!J21</f>
        <v>5620.9099017869885</v>
      </c>
      <c r="J34" s="127">
        <f>Depreciation!K21</f>
        <v>5620.9099017869885</v>
      </c>
      <c r="K34" s="127">
        <f>Depreciation!L21</f>
        <v>5620.9099017869885</v>
      </c>
      <c r="L34" s="127">
        <f>Depreciation!M21</f>
        <v>5620.9099017869885</v>
      </c>
      <c r="M34" s="127">
        <f>Depreciation!N21</f>
        <v>5620.9099017869885</v>
      </c>
      <c r="N34" s="127">
        <f>Depreciation!O21</f>
        <v>5620.9099017869885</v>
      </c>
      <c r="O34" s="127">
        <f>Depreciation!P21</f>
        <v>5620.9099017869885</v>
      </c>
      <c r="P34" s="127">
        <f>Depreciation!Q21</f>
        <v>5620.9099017869885</v>
      </c>
      <c r="Q34" s="127">
        <f>Depreciation!R21</f>
        <v>5620.9099017869885</v>
      </c>
      <c r="R34" s="127">
        <f>Depreciation!S21</f>
        <v>5620.9099017869885</v>
      </c>
      <c r="S34" s="127">
        <f>Depreciation!T21</f>
        <v>5620.9099017869885</v>
      </c>
      <c r="T34" s="127">
        <f>Depreciation!U21</f>
        <v>5620.9099017869885</v>
      </c>
      <c r="U34" s="127">
        <f>Depreciation!V21</f>
        <v>5620.9099017869885</v>
      </c>
      <c r="W34" s="91">
        <f>SUM(B34:U34)</f>
        <v>112418.19803573977</v>
      </c>
    </row>
    <row r="35" spans="1:23">
      <c r="A35" s="3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W35" s="91"/>
    </row>
    <row r="36" spans="1:23" s="57" customFormat="1">
      <c r="A36" s="1" t="s">
        <v>65</v>
      </c>
      <c r="B36" s="132">
        <f t="shared" ref="B36:U36" si="8">B32-B34</f>
        <v>21987.687484243062</v>
      </c>
      <c r="C36" s="132">
        <f t="shared" si="8"/>
        <v>21939.603138437633</v>
      </c>
      <c r="D36" s="132">
        <f t="shared" si="8"/>
        <v>21889.695118439071</v>
      </c>
      <c r="E36" s="132">
        <f t="shared" si="8"/>
        <v>26955.499990510616</v>
      </c>
      <c r="F36" s="132">
        <f t="shared" si="8"/>
        <v>28713.457777068943</v>
      </c>
      <c r="G36" s="132">
        <f t="shared" si="8"/>
        <v>29152.863870274094</v>
      </c>
      <c r="H36" s="132">
        <f t="shared" si="8"/>
        <v>29598.442355598556</v>
      </c>
      <c r="I36" s="132">
        <f t="shared" si="8"/>
        <v>30047.365347501996</v>
      </c>
      <c r="J36" s="132">
        <f t="shared" si="8"/>
        <v>30509.930083348241</v>
      </c>
      <c r="K36" s="132">
        <f t="shared" si="8"/>
        <v>30560.829597958807</v>
      </c>
      <c r="L36" s="132">
        <f t="shared" si="8"/>
        <v>31437.197323111686</v>
      </c>
      <c r="M36" s="132">
        <f t="shared" si="8"/>
        <v>32343.690133169788</v>
      </c>
      <c r="N36" s="132">
        <f t="shared" si="8"/>
        <v>33188.249329384504</v>
      </c>
      <c r="O36" s="132">
        <f t="shared" si="8"/>
        <v>33915.533910728351</v>
      </c>
      <c r="P36" s="132">
        <f t="shared" si="8"/>
        <v>34655.037365350137</v>
      </c>
      <c r="Q36" s="132">
        <f t="shared" si="8"/>
        <v>35193.307024204099</v>
      </c>
      <c r="R36" s="132">
        <f t="shared" si="8"/>
        <v>35731.572685484258</v>
      </c>
      <c r="S36" s="132">
        <f t="shared" si="8"/>
        <v>36275.520577350173</v>
      </c>
      <c r="T36" s="132">
        <f t="shared" si="8"/>
        <v>36825.174505990188</v>
      </c>
      <c r="U36" s="132">
        <f t="shared" si="8"/>
        <v>37380.556514678785</v>
      </c>
      <c r="W36" s="91">
        <f>SUM(B36:U36)</f>
        <v>618301.21413283306</v>
      </c>
    </row>
    <row r="37" spans="1:23" s="57" customFormat="1">
      <c r="A37" s="1"/>
      <c r="B37" s="132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W37" s="91"/>
    </row>
    <row r="38" spans="1:23">
      <c r="A38" s="6" t="s">
        <v>66</v>
      </c>
      <c r="B38" s="127">
        <f>IS!B39*Allocation!$E$8</f>
        <v>12499.099364782833</v>
      </c>
      <c r="C38" s="127">
        <f>IS!C39*Allocation!$E$8</f>
        <v>12311.554821474587</v>
      </c>
      <c r="D38" s="127">
        <f>IS!D39*Allocation!$E$8</f>
        <v>12047.016900990198</v>
      </c>
      <c r="E38" s="127">
        <f>IS!E39*Allocation!$E$8</f>
        <v>11839.355515782559</v>
      </c>
      <c r="F38" s="127">
        <f>IS!F39*Allocation!$E$8</f>
        <v>11471.958275317575</v>
      </c>
      <c r="G38" s="127">
        <f>IS!G39*Allocation!$E$8</f>
        <v>11036.497481793214</v>
      </c>
      <c r="H38" s="127">
        <f>IS!H39*Allocation!$E$8</f>
        <v>10547.098180399027</v>
      </c>
      <c r="I38" s="127">
        <f>IS!I39*Allocation!$E$8</f>
        <v>10035.096656043352</v>
      </c>
      <c r="J38" s="127">
        <f>IS!J39*Allocation!$E$8</f>
        <v>9399.1108807762794</v>
      </c>
      <c r="K38" s="127">
        <f>IS!K39*Allocation!$E$8</f>
        <v>8694.3912639748396</v>
      </c>
      <c r="L38" s="127">
        <f>IS!L39*Allocation!$E$8</f>
        <v>7952.8652228521869</v>
      </c>
      <c r="M38" s="127">
        <f>IS!M39*Allocation!$E$8</f>
        <v>7144.3551396098246</v>
      </c>
      <c r="N38" s="127">
        <f>IS!N39*Allocation!$E$8</f>
        <v>6295.663592171506</v>
      </c>
      <c r="O38" s="127">
        <f>IS!O39*Allocation!$E$8</f>
        <v>5467.0627768311651</v>
      </c>
      <c r="P38" s="127">
        <f>IS!P39*Allocation!$E$8</f>
        <v>4628.0193210783164</v>
      </c>
      <c r="Q38" s="127">
        <f>IS!Q39*Allocation!$E$8</f>
        <v>3758.4424928149806</v>
      </c>
      <c r="R38" s="127">
        <f>IS!R39*Allocation!$E$8</f>
        <v>2836.0849276840759</v>
      </c>
      <c r="S38" s="127">
        <f>IS!S39*Allocation!$E$8</f>
        <v>1966.3945924597347</v>
      </c>
      <c r="T38" s="127">
        <f>IS!T39*Allocation!$E$8</f>
        <v>1220.653858653428</v>
      </c>
      <c r="U38" s="127">
        <f>IS!U39*Allocation!$E$8</f>
        <v>476.72923622320968</v>
      </c>
      <c r="W38" s="91">
        <f>SUM(B38:U38)</f>
        <v>151627.45050171282</v>
      </c>
    </row>
    <row r="39" spans="1:23" ht="6" customHeight="1">
      <c r="B39" s="67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W39" s="91"/>
    </row>
    <row r="40" spans="1:23" s="57" customFormat="1">
      <c r="A40" s="1" t="s">
        <v>67</v>
      </c>
      <c r="B40" s="132">
        <f t="shared" ref="B40:U40" si="9">B36-B38</f>
        <v>9488.5881194602298</v>
      </c>
      <c r="C40" s="132">
        <f t="shared" si="9"/>
        <v>9628.0483169630461</v>
      </c>
      <c r="D40" s="132">
        <f t="shared" si="9"/>
        <v>9842.6782174488726</v>
      </c>
      <c r="E40" s="132">
        <f t="shared" si="9"/>
        <v>15116.144474728057</v>
      </c>
      <c r="F40" s="132">
        <f t="shared" si="9"/>
        <v>17241.499501751368</v>
      </c>
      <c r="G40" s="132">
        <f t="shared" si="9"/>
        <v>18116.366388480878</v>
      </c>
      <c r="H40" s="132">
        <f t="shared" si="9"/>
        <v>19051.344175199527</v>
      </c>
      <c r="I40" s="132">
        <f t="shared" si="9"/>
        <v>20012.268691458645</v>
      </c>
      <c r="J40" s="132">
        <f t="shared" si="9"/>
        <v>21110.819202571962</v>
      </c>
      <c r="K40" s="132">
        <f t="shared" si="9"/>
        <v>21866.43833398397</v>
      </c>
      <c r="L40" s="132">
        <f t="shared" si="9"/>
        <v>23484.3321002595</v>
      </c>
      <c r="M40" s="132">
        <f t="shared" si="9"/>
        <v>25199.334993559962</v>
      </c>
      <c r="N40" s="132">
        <f t="shared" si="9"/>
        <v>26892.585737212998</v>
      </c>
      <c r="O40" s="132">
        <f t="shared" si="9"/>
        <v>28448.471133897187</v>
      </c>
      <c r="P40" s="132">
        <f t="shared" si="9"/>
        <v>30027.018044271819</v>
      </c>
      <c r="Q40" s="132">
        <f t="shared" si="9"/>
        <v>31434.864531389117</v>
      </c>
      <c r="R40" s="132">
        <f t="shared" si="9"/>
        <v>32895.487757800183</v>
      </c>
      <c r="S40" s="132">
        <f t="shared" si="9"/>
        <v>34309.125984890437</v>
      </c>
      <c r="T40" s="132">
        <f t="shared" si="9"/>
        <v>35604.520647336758</v>
      </c>
      <c r="U40" s="132">
        <f t="shared" si="9"/>
        <v>36903.827278455574</v>
      </c>
      <c r="W40" s="91">
        <f>SUM(B40:U40)</f>
        <v>466673.76363112009</v>
      </c>
    </row>
    <row r="41" spans="1:23" s="57" customFormat="1">
      <c r="A41" s="1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W41" s="91"/>
    </row>
    <row r="42" spans="1:23">
      <c r="A42" s="3" t="s">
        <v>68</v>
      </c>
      <c r="B42" s="127">
        <f>B40*-Assumptions!$D$39</f>
        <v>-474.42940597301151</v>
      </c>
      <c r="C42" s="127">
        <f>C40*-Assumptions!$D$39</f>
        <v>-481.40241584815232</v>
      </c>
      <c r="D42" s="127">
        <f>D40*-Assumptions!$D$39</f>
        <v>-492.13391087244366</v>
      </c>
      <c r="E42" s="127">
        <f>E40*-Assumptions!$D$39</f>
        <v>-755.80722373640288</v>
      </c>
      <c r="F42" s="127">
        <f>F40*-Assumptions!$D$39</f>
        <v>-862.07497508756842</v>
      </c>
      <c r="G42" s="127">
        <f>G40*-Assumptions!$D$39</f>
        <v>-905.81831942404392</v>
      </c>
      <c r="H42" s="127">
        <f>H40*-Assumptions!$D$39</f>
        <v>-952.56720875997644</v>
      </c>
      <c r="I42" s="127">
        <f>I40*-Assumptions!$D$39</f>
        <v>-1000.6134345729323</v>
      </c>
      <c r="J42" s="127">
        <f>J40*-Assumptions!$D$39</f>
        <v>-1055.540960128598</v>
      </c>
      <c r="K42" s="127">
        <f>K40*-Assumptions!$D$39</f>
        <v>-1093.3219166991985</v>
      </c>
      <c r="L42" s="127">
        <f>L40*-Assumptions!$D$39</f>
        <v>-1174.2166050129752</v>
      </c>
      <c r="M42" s="127">
        <f>M40*-Assumptions!$D$39</f>
        <v>-1259.9667496779982</v>
      </c>
      <c r="N42" s="127">
        <f>N40*-Assumptions!$D$39</f>
        <v>-1344.6292868606499</v>
      </c>
      <c r="O42" s="127">
        <f>O40*-Assumptions!$D$39</f>
        <v>-1422.4235566948594</v>
      </c>
      <c r="P42" s="127">
        <f>P40*-Assumptions!$D$39</f>
        <v>-1501.3509022135911</v>
      </c>
      <c r="Q42" s="127">
        <f>Q40*-Assumptions!$D$39</f>
        <v>-1571.7432265694561</v>
      </c>
      <c r="R42" s="127">
        <f>R40*-Assumptions!$D$39</f>
        <v>-1644.7743878900092</v>
      </c>
      <c r="S42" s="127">
        <f>S40*-Assumptions!$D$39</f>
        <v>-1715.4562992445219</v>
      </c>
      <c r="T42" s="127">
        <f>T40*-Assumptions!$D$39</f>
        <v>-1780.2260323668379</v>
      </c>
      <c r="U42" s="127">
        <f>U40*-Assumptions!$D$39</f>
        <v>-1845.1913639227787</v>
      </c>
      <c r="W42" s="91">
        <f>SUM(B42:U42)</f>
        <v>-23333.688181556005</v>
      </c>
    </row>
    <row r="43" spans="1:23">
      <c r="A43" s="3" t="s">
        <v>69</v>
      </c>
      <c r="B43" s="121">
        <f>(B40+B42)*-Assumptions!$D$38</f>
        <v>-3154.9555497205265</v>
      </c>
      <c r="C43" s="121">
        <f>(C40+C42)*-Assumptions!$D$38</f>
        <v>-3201.326065390213</v>
      </c>
      <c r="D43" s="121">
        <f>(D40+D42)*-Assumptions!$D$38</f>
        <v>-3272.6905073017497</v>
      </c>
      <c r="E43" s="121">
        <f>(E40+E42)*-Assumptions!$D$38</f>
        <v>-5026.1180378470781</v>
      </c>
      <c r="F43" s="121">
        <f>(F40+F42)*-Assumptions!$D$38</f>
        <v>-5732.7985843323295</v>
      </c>
      <c r="G43" s="121">
        <f>(G40+G42)*-Assumptions!$D$38</f>
        <v>-6023.6918241698913</v>
      </c>
      <c r="H43" s="121">
        <f>(H40+H42)*-Assumptions!$D$38</f>
        <v>-6334.5719382538418</v>
      </c>
      <c r="I43" s="121">
        <f>(I40+I42)*-Assumptions!$D$38</f>
        <v>-6654.0793399099985</v>
      </c>
      <c r="J43" s="121">
        <f>(J40+J42)*-Assumptions!$D$38</f>
        <v>-7019.3473848551776</v>
      </c>
      <c r="K43" s="121">
        <f>(K40+K42)*-Assumptions!$D$38</f>
        <v>-7270.5907460496692</v>
      </c>
      <c r="L43" s="121">
        <f>(L40+L42)*-Assumptions!$D$38</f>
        <v>-7808.5404233362833</v>
      </c>
      <c r="M43" s="121">
        <f>(M40+M42)*-Assumptions!$D$38</f>
        <v>-8378.7788853586862</v>
      </c>
      <c r="N43" s="121">
        <f>(N40+N42)*-Assumptions!$D$38</f>
        <v>-8941.7847576233216</v>
      </c>
      <c r="O43" s="121">
        <f>(O40+O42)*-Assumptions!$D$38</f>
        <v>-9459.1166520208135</v>
      </c>
      <c r="P43" s="121">
        <f>(P40+P42)*-Assumptions!$D$38</f>
        <v>-9983.9834997203798</v>
      </c>
      <c r="Q43" s="121">
        <f>(Q40+Q42)*-Assumptions!$D$38</f>
        <v>-10452.092456686882</v>
      </c>
      <c r="R43" s="121">
        <f>(R40+R42)*-Assumptions!$D$38</f>
        <v>-10937.749679468561</v>
      </c>
      <c r="S43" s="121">
        <f>(S40+S42)*-Assumptions!$D$38</f>
        <v>-11407.78438997607</v>
      </c>
      <c r="T43" s="121">
        <f>(T40+T42)*-Assumptions!$D$38</f>
        <v>-11838.503115239471</v>
      </c>
      <c r="U43" s="121">
        <f>(U40+U42)*-Assumptions!$D$38</f>
        <v>-12270.522570086478</v>
      </c>
      <c r="W43" s="91">
        <f>SUM(B43:U43)</f>
        <v>-155169.02640734738</v>
      </c>
    </row>
    <row r="44" spans="1:23" ht="6" customHeight="1"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W44" s="91"/>
    </row>
    <row r="45" spans="1:23" s="64" customFormat="1" ht="15.75">
      <c r="A45" s="45" t="s">
        <v>220</v>
      </c>
      <c r="B45" s="134">
        <f t="shared" ref="B45:U45" si="10">SUM(B40:B43)</f>
        <v>5859.2031637666923</v>
      </c>
      <c r="C45" s="134">
        <f t="shared" si="10"/>
        <v>5945.319835724682</v>
      </c>
      <c r="D45" s="134">
        <f t="shared" si="10"/>
        <v>6077.8537992746787</v>
      </c>
      <c r="E45" s="134">
        <f t="shared" si="10"/>
        <v>9334.2192131445754</v>
      </c>
      <c r="F45" s="134">
        <f t="shared" si="10"/>
        <v>10646.62594233147</v>
      </c>
      <c r="G45" s="134">
        <f t="shared" si="10"/>
        <v>11186.856244886942</v>
      </c>
      <c r="H45" s="134">
        <f t="shared" si="10"/>
        <v>11764.205028185708</v>
      </c>
      <c r="I45" s="134">
        <f t="shared" si="10"/>
        <v>12357.575916975713</v>
      </c>
      <c r="J45" s="134">
        <f t="shared" si="10"/>
        <v>13035.930857588188</v>
      </c>
      <c r="K45" s="134">
        <f t="shared" si="10"/>
        <v>13502.525671235102</v>
      </c>
      <c r="L45" s="134">
        <f t="shared" si="10"/>
        <v>14501.575071910243</v>
      </c>
      <c r="M45" s="134">
        <f t="shared" si="10"/>
        <v>15560.589358523277</v>
      </c>
      <c r="N45" s="134">
        <f t="shared" si="10"/>
        <v>16606.171692729025</v>
      </c>
      <c r="O45" s="134">
        <f t="shared" si="10"/>
        <v>17566.930925181514</v>
      </c>
      <c r="P45" s="134">
        <f t="shared" si="10"/>
        <v>18541.683642337848</v>
      </c>
      <c r="Q45" s="134">
        <f t="shared" si="10"/>
        <v>19411.028848132781</v>
      </c>
      <c r="R45" s="134">
        <f t="shared" si="10"/>
        <v>20312.963690441615</v>
      </c>
      <c r="S45" s="134">
        <f t="shared" si="10"/>
        <v>21185.885295669847</v>
      </c>
      <c r="T45" s="134">
        <f t="shared" si="10"/>
        <v>21985.791499730447</v>
      </c>
      <c r="U45" s="134">
        <f t="shared" si="10"/>
        <v>22788.113344446319</v>
      </c>
      <c r="W45" s="91">
        <f>SUM(B45:U45)</f>
        <v>288171.04904221673</v>
      </c>
    </row>
    <row r="46" spans="1:23" s="62" customFormat="1" ht="9" outlineLevel="1">
      <c r="A46" s="4"/>
      <c r="B46" s="60"/>
      <c r="C46" s="61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</row>
    <row r="47" spans="1:23">
      <c r="A47" s="1"/>
      <c r="B47" s="56"/>
      <c r="C47" s="59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</row>
    <row r="48" spans="1:23" outlineLevel="1">
      <c r="A48" s="13"/>
      <c r="B48" s="56"/>
      <c r="C48" s="59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</row>
    <row r="49" spans="1:55" ht="18.75" outlineLevel="1">
      <c r="A49" s="55" t="s">
        <v>172</v>
      </c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</row>
    <row r="50" spans="1:55" outlineLevel="1">
      <c r="A50" s="1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</row>
    <row r="51" spans="1:55" ht="12.75" customHeight="1" outlineLevel="1">
      <c r="A51" s="1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</row>
    <row r="52" spans="1:55" ht="12.75" customHeight="1" outlineLevel="1">
      <c r="A52" s="1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</row>
    <row r="53" spans="1:55" ht="13.5" outlineLevel="1" thickBot="1">
      <c r="A53" s="194" t="s">
        <v>56</v>
      </c>
      <c r="B53" s="8">
        <v>2001</v>
      </c>
      <c r="C53" s="8">
        <f t="shared" ref="C53:U53" si="11">B53+1</f>
        <v>2002</v>
      </c>
      <c r="D53" s="8">
        <f t="shared" si="11"/>
        <v>2003</v>
      </c>
      <c r="E53" s="8">
        <f t="shared" si="11"/>
        <v>2004</v>
      </c>
      <c r="F53" s="8">
        <f t="shared" si="11"/>
        <v>2005</v>
      </c>
      <c r="G53" s="8">
        <f t="shared" si="11"/>
        <v>2006</v>
      </c>
      <c r="H53" s="8">
        <f t="shared" si="11"/>
        <v>2007</v>
      </c>
      <c r="I53" s="8">
        <f t="shared" si="11"/>
        <v>2008</v>
      </c>
      <c r="J53" s="8">
        <f t="shared" si="11"/>
        <v>2009</v>
      </c>
      <c r="K53" s="8">
        <f t="shared" si="11"/>
        <v>2010</v>
      </c>
      <c r="L53" s="8">
        <f t="shared" si="11"/>
        <v>2011</v>
      </c>
      <c r="M53" s="8">
        <f t="shared" si="11"/>
        <v>2012</v>
      </c>
      <c r="N53" s="8">
        <f t="shared" si="11"/>
        <v>2013</v>
      </c>
      <c r="O53" s="8">
        <f t="shared" si="11"/>
        <v>2014</v>
      </c>
      <c r="P53" s="8">
        <f t="shared" si="11"/>
        <v>2015</v>
      </c>
      <c r="Q53" s="8">
        <f t="shared" si="11"/>
        <v>2016</v>
      </c>
      <c r="R53" s="8">
        <f t="shared" si="11"/>
        <v>2017</v>
      </c>
      <c r="S53" s="8">
        <f t="shared" si="11"/>
        <v>2018</v>
      </c>
      <c r="T53" s="8">
        <f t="shared" si="11"/>
        <v>2019</v>
      </c>
      <c r="U53" s="8">
        <f t="shared" si="11"/>
        <v>2020</v>
      </c>
      <c r="W53" s="403" t="s">
        <v>161</v>
      </c>
    </row>
    <row r="54" spans="1:55" outlineLevel="1">
      <c r="A54" s="12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W54" s="44"/>
    </row>
    <row r="55" spans="1:55" outlineLevel="1">
      <c r="A55" s="13" t="s">
        <v>276</v>
      </c>
      <c r="B55" s="67">
        <f>B32-B12</f>
        <v>19349.858506184624</v>
      </c>
      <c r="C55" s="67">
        <f>C32-C12</f>
        <v>19301.774160379195</v>
      </c>
      <c r="D55" s="67">
        <f>D32-D12</f>
        <v>19251.866140380633</v>
      </c>
      <c r="E55" s="67">
        <f t="shared" ref="E55:U55" si="12">E32</f>
        <v>32576.409892297605</v>
      </c>
      <c r="F55" s="67">
        <f t="shared" si="12"/>
        <v>34334.367678855931</v>
      </c>
      <c r="G55" s="67">
        <f t="shared" si="12"/>
        <v>34773.773772061082</v>
      </c>
      <c r="H55" s="67">
        <f t="shared" si="12"/>
        <v>35219.352257385544</v>
      </c>
      <c r="I55" s="67">
        <f t="shared" si="12"/>
        <v>35668.275249288985</v>
      </c>
      <c r="J55" s="67">
        <f t="shared" si="12"/>
        <v>36130.83998513523</v>
      </c>
      <c r="K55" s="67">
        <f t="shared" si="12"/>
        <v>36181.739499745796</v>
      </c>
      <c r="L55" s="67">
        <f t="shared" si="12"/>
        <v>37058.107224898675</v>
      </c>
      <c r="M55" s="67">
        <f t="shared" si="12"/>
        <v>37964.600034956777</v>
      </c>
      <c r="N55" s="67">
        <f t="shared" si="12"/>
        <v>38809.159231171492</v>
      </c>
      <c r="O55" s="67">
        <f t="shared" si="12"/>
        <v>39536.443812515339</v>
      </c>
      <c r="P55" s="67">
        <f t="shared" si="12"/>
        <v>40275.947267137126</v>
      </c>
      <c r="Q55" s="67">
        <f t="shared" si="12"/>
        <v>40814.216925991088</v>
      </c>
      <c r="R55" s="67">
        <f t="shared" si="12"/>
        <v>41352.482587271246</v>
      </c>
      <c r="S55" s="67">
        <f t="shared" si="12"/>
        <v>41896.430479137161</v>
      </c>
      <c r="T55" s="67">
        <f t="shared" si="12"/>
        <v>42446.084407777176</v>
      </c>
      <c r="U55" s="67">
        <f t="shared" si="12"/>
        <v>43001.466416465773</v>
      </c>
      <c r="W55" s="404">
        <f>SUM(B55:U55)</f>
        <v>705943.19552903646</v>
      </c>
    </row>
    <row r="56" spans="1:55">
      <c r="A56" s="13" t="s">
        <v>169</v>
      </c>
      <c r="B56" s="67">
        <f>B27</f>
        <v>579.4</v>
      </c>
      <c r="C56" s="67">
        <f t="shared" ref="C56:T56" si="13">C27</f>
        <v>573.6</v>
      </c>
      <c r="D56" s="67">
        <f t="shared" si="13"/>
        <v>567.9</v>
      </c>
      <c r="E56" s="67">
        <f t="shared" si="13"/>
        <v>562.20000000000005</v>
      </c>
      <c r="F56" s="67">
        <f t="shared" si="13"/>
        <v>556.6</v>
      </c>
      <c r="G56" s="67">
        <f t="shared" si="13"/>
        <v>551</v>
      </c>
      <c r="H56" s="67">
        <f t="shared" si="13"/>
        <v>534.5</v>
      </c>
      <c r="I56" s="67">
        <f t="shared" si="13"/>
        <v>518.5</v>
      </c>
      <c r="J56" s="67">
        <f t="shared" si="13"/>
        <v>492.6</v>
      </c>
      <c r="K56" s="67">
        <f t="shared" si="13"/>
        <v>877.7</v>
      </c>
      <c r="L56" s="67">
        <f t="shared" si="13"/>
        <v>694.8</v>
      </c>
      <c r="M56" s="67">
        <f t="shared" si="13"/>
        <v>493.7</v>
      </c>
      <c r="N56" s="67">
        <f t="shared" si="13"/>
        <v>365.7</v>
      </c>
      <c r="O56" s="67">
        <f t="shared" si="13"/>
        <v>365.7</v>
      </c>
      <c r="P56" s="67">
        <f t="shared" si="13"/>
        <v>365.7</v>
      </c>
      <c r="Q56" s="67">
        <f t="shared" si="13"/>
        <v>365.7</v>
      </c>
      <c r="R56" s="67">
        <f t="shared" si="13"/>
        <v>365.7</v>
      </c>
      <c r="S56" s="67">
        <f t="shared" si="13"/>
        <v>365.7</v>
      </c>
      <c r="T56" s="67">
        <f t="shared" si="13"/>
        <v>365.7</v>
      </c>
      <c r="U56" s="67">
        <f>T56</f>
        <v>365.7</v>
      </c>
      <c r="W56" s="404">
        <f>SUM(B56:U56)</f>
        <v>9928.100000000004</v>
      </c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</row>
    <row r="57" spans="1:55">
      <c r="A57" s="13" t="s">
        <v>170</v>
      </c>
      <c r="B57" s="466">
        <v>-591.20000000000005</v>
      </c>
      <c r="C57" s="67">
        <f>-B56</f>
        <v>-579.4</v>
      </c>
      <c r="D57" s="67">
        <f t="shared" ref="D57:U57" si="14">-C56</f>
        <v>-573.6</v>
      </c>
      <c r="E57" s="67">
        <f t="shared" si="14"/>
        <v>-567.9</v>
      </c>
      <c r="F57" s="67">
        <f t="shared" si="14"/>
        <v>-562.20000000000005</v>
      </c>
      <c r="G57" s="67">
        <f t="shared" si="14"/>
        <v>-556.6</v>
      </c>
      <c r="H57" s="67">
        <f t="shared" si="14"/>
        <v>-551</v>
      </c>
      <c r="I57" s="67">
        <f t="shared" si="14"/>
        <v>-534.5</v>
      </c>
      <c r="J57" s="67">
        <f t="shared" si="14"/>
        <v>-518.5</v>
      </c>
      <c r="K57" s="67">
        <f t="shared" si="14"/>
        <v>-492.6</v>
      </c>
      <c r="L57" s="67">
        <f t="shared" si="14"/>
        <v>-877.7</v>
      </c>
      <c r="M57" s="67">
        <f t="shared" si="14"/>
        <v>-694.8</v>
      </c>
      <c r="N57" s="67">
        <f t="shared" si="14"/>
        <v>-493.7</v>
      </c>
      <c r="O57" s="67">
        <f t="shared" si="14"/>
        <v>-365.7</v>
      </c>
      <c r="P57" s="67">
        <f t="shared" si="14"/>
        <v>-365.7</v>
      </c>
      <c r="Q57" s="67">
        <f t="shared" si="14"/>
        <v>-365.7</v>
      </c>
      <c r="R57" s="67">
        <f t="shared" si="14"/>
        <v>-365.7</v>
      </c>
      <c r="S57" s="67">
        <f t="shared" si="14"/>
        <v>-365.7</v>
      </c>
      <c r="T57" s="67">
        <f t="shared" si="14"/>
        <v>-365.7</v>
      </c>
      <c r="U57" s="67">
        <f t="shared" si="14"/>
        <v>-365.7</v>
      </c>
      <c r="W57" s="404">
        <f>SUM(B57:U57)</f>
        <v>-10153.600000000004</v>
      </c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</row>
    <row r="58" spans="1:55" outlineLevel="1">
      <c r="A58" s="13" t="s">
        <v>71</v>
      </c>
      <c r="B58" s="402">
        <f>-Debt!B77*Allocation!$E$8</f>
        <v>-14914.909407499601</v>
      </c>
      <c r="C58" s="402">
        <f>-Debt!C77*Allocation!$E$8</f>
        <v>-14902.705915678864</v>
      </c>
      <c r="D58" s="402">
        <f>-Debt!D77*Allocation!$E$8</f>
        <v>-14832.99138573615</v>
      </c>
      <c r="E58" s="402">
        <f>-Debt!E77*Allocation!$E$8</f>
        <v>-14621.433532717676</v>
      </c>
      <c r="F58" s="402">
        <f>-Debt!F77*Allocation!$E$8</f>
        <v>-15301.406839804737</v>
      </c>
      <c r="G58" s="402">
        <f>-Debt!G77*Allocation!$E$8</f>
        <v>-15389.631320056398</v>
      </c>
      <c r="H58" s="402">
        <f>-Debt!H77*Allocation!$E$8</f>
        <v>-15292.995973994228</v>
      </c>
      <c r="I58" s="402">
        <f>-Debt!I77*Allocation!$E$8</f>
        <v>-15435.601041858577</v>
      </c>
      <c r="J58" s="402">
        <f>-Debt!J77*Allocation!$E$8</f>
        <v>-15323.300540367529</v>
      </c>
      <c r="K58" s="402">
        <f>-Debt!K77*Allocation!$E$8</f>
        <v>-15499.961942376625</v>
      </c>
      <c r="L58" s="402">
        <f>-Debt!L77*Allocation!$E$8</f>
        <v>-15356.154063435832</v>
      </c>
      <c r="M58" s="402">
        <f>-Debt!M77*Allocation!$E$8</f>
        <v>-14547.64398019347</v>
      </c>
      <c r="N58" s="402">
        <f>-Debt!N77*Allocation!$E$8</f>
        <v>-13698.952432755152</v>
      </c>
      <c r="O58" s="402">
        <f>-Debt!O77*Allocation!$E$8</f>
        <v>-12870.35161741481</v>
      </c>
      <c r="P58" s="402">
        <f>-Debt!P77*Allocation!$E$8</f>
        <v>-12401.472603691143</v>
      </c>
      <c r="Q58" s="402">
        <f>-Debt!Q77*Allocation!$E$8</f>
        <v>-11902.06021745699</v>
      </c>
      <c r="R58" s="402">
        <f>-Debt!R77*Allocation!$E$8</f>
        <v>-10979.702652326087</v>
      </c>
      <c r="S58" s="402">
        <f>-Debt!S77*Allocation!$E$8</f>
        <v>-8629.3545489850148</v>
      </c>
      <c r="T58" s="402">
        <f>-Debt!T77*Allocation!$E$8</f>
        <v>-7883.613815178709</v>
      </c>
      <c r="U58" s="402">
        <f>-Debt!U77*Allocation!$E$8</f>
        <v>-6399.360308690133</v>
      </c>
      <c r="W58" s="404">
        <f>SUM(B58:U58)</f>
        <v>-266183.60414021771</v>
      </c>
    </row>
    <row r="59" spans="1:55" outlineLevel="1">
      <c r="A59" s="13"/>
      <c r="B59" s="135"/>
      <c r="C59" s="135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  <c r="S59" s="135"/>
      <c r="T59" s="135"/>
      <c r="U59" s="135"/>
      <c r="W59" s="405"/>
    </row>
    <row r="60" spans="1:55" s="57" customFormat="1" outlineLevel="1">
      <c r="A60" s="12" t="s">
        <v>72</v>
      </c>
      <c r="B60" s="136">
        <f t="shared" ref="B60:U60" si="15">SUM(B55:B58)</f>
        <v>4423.149098685024</v>
      </c>
      <c r="C60" s="136">
        <f t="shared" si="15"/>
        <v>4393.2682447003281</v>
      </c>
      <c r="D60" s="136">
        <f t="shared" si="15"/>
        <v>4413.1747546444858</v>
      </c>
      <c r="E60" s="136">
        <f t="shared" si="15"/>
        <v>17949.276359579926</v>
      </c>
      <c r="F60" s="136">
        <f t="shared" si="15"/>
        <v>19027.360839051194</v>
      </c>
      <c r="G60" s="136">
        <f t="shared" si="15"/>
        <v>19378.542452004687</v>
      </c>
      <c r="H60" s="136">
        <f t="shared" si="15"/>
        <v>19909.856283391317</v>
      </c>
      <c r="I60" s="136">
        <f t="shared" si="15"/>
        <v>20216.674207430406</v>
      </c>
      <c r="J60" s="136">
        <f t="shared" si="15"/>
        <v>20781.639444767701</v>
      </c>
      <c r="K60" s="136">
        <f t="shared" si="15"/>
        <v>21066.877557369167</v>
      </c>
      <c r="L60" s="136">
        <f t="shared" si="15"/>
        <v>21519.053161462849</v>
      </c>
      <c r="M60" s="136">
        <f t="shared" si="15"/>
        <v>23215.856054763302</v>
      </c>
      <c r="N60" s="136">
        <f t="shared" si="15"/>
        <v>24982.20679841634</v>
      </c>
      <c r="O60" s="136">
        <f t="shared" si="15"/>
        <v>26666.092195100529</v>
      </c>
      <c r="P60" s="136">
        <f t="shared" si="15"/>
        <v>27874.474663445981</v>
      </c>
      <c r="Q60" s="136">
        <f t="shared" si="15"/>
        <v>28912.156708534098</v>
      </c>
      <c r="R60" s="136">
        <f t="shared" si="15"/>
        <v>30372.77993494516</v>
      </c>
      <c r="S60" s="136">
        <f t="shared" si="15"/>
        <v>33267.075930152147</v>
      </c>
      <c r="T60" s="136">
        <f t="shared" si="15"/>
        <v>34562.470592598467</v>
      </c>
      <c r="U60" s="136">
        <f t="shared" si="15"/>
        <v>36602.106107775639</v>
      </c>
      <c r="W60" s="404">
        <f>SUM(B60:U60)</f>
        <v>439534.09138881881</v>
      </c>
    </row>
    <row r="61" spans="1:55" outlineLevel="1">
      <c r="A61" s="12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W61" s="405"/>
    </row>
    <row r="62" spans="1:55" outlineLevel="1">
      <c r="A62" s="13" t="s">
        <v>99</v>
      </c>
      <c r="B62" s="121">
        <f>-B101</f>
        <v>0</v>
      </c>
      <c r="C62" s="121">
        <f t="shared" ref="C62:U62" si="16">-C101</f>
        <v>0</v>
      </c>
      <c r="D62" s="121">
        <f t="shared" si="16"/>
        <v>0</v>
      </c>
      <c r="E62" s="121">
        <f t="shared" si="16"/>
        <v>0</v>
      </c>
      <c r="F62" s="121">
        <f t="shared" si="16"/>
        <v>-169.1170781541465</v>
      </c>
      <c r="G62" s="121">
        <f t="shared" si="16"/>
        <v>-680.40391787666658</v>
      </c>
      <c r="H62" s="121">
        <f t="shared" si="16"/>
        <v>-753.97973592690403</v>
      </c>
      <c r="I62" s="121">
        <f t="shared" si="16"/>
        <v>-801.21302450609301</v>
      </c>
      <c r="J62" s="121">
        <f t="shared" si="16"/>
        <v>-856.95348729552575</v>
      </c>
      <c r="K62" s="121">
        <f t="shared" si="16"/>
        <v>-893.92150663235918</v>
      </c>
      <c r="L62" s="121">
        <f t="shared" si="16"/>
        <v>-975.62913217990263</v>
      </c>
      <c r="M62" s="121">
        <f t="shared" si="16"/>
        <v>-1060.5663396111588</v>
      </c>
      <c r="N62" s="121">
        <f t="shared" si="16"/>
        <v>-1146.0418140275776</v>
      </c>
      <c r="O62" s="121">
        <f t="shared" si="16"/>
        <v>-1223.02314662802</v>
      </c>
      <c r="P62" s="121">
        <f t="shared" si="16"/>
        <v>-1302.7634293805186</v>
      </c>
      <c r="Q62" s="121">
        <f t="shared" si="16"/>
        <v>-1612.9722376975944</v>
      </c>
      <c r="R62" s="121">
        <f t="shared" si="16"/>
        <v>-1925.8198829793587</v>
      </c>
      <c r="S62" s="121">
        <f t="shared" si="16"/>
        <v>-1996.5017943338714</v>
      </c>
      <c r="T62" s="121">
        <f t="shared" si="16"/>
        <v>-2061.2715274561874</v>
      </c>
      <c r="U62" s="121">
        <f t="shared" si="16"/>
        <v>-2126.2368590121282</v>
      </c>
      <c r="W62" s="404">
        <f>SUM(B62:U62)</f>
        <v>-19586.414913698016</v>
      </c>
    </row>
    <row r="63" spans="1:55" outlineLevel="1">
      <c r="A63" s="13" t="s">
        <v>100</v>
      </c>
      <c r="B63" s="128">
        <f>-Allocation!$E$8*Tax!B24</f>
        <v>0</v>
      </c>
      <c r="C63" s="128">
        <f>-Allocation!$E$8*Tax!C24</f>
        <v>0</v>
      </c>
      <c r="D63" s="128">
        <f>-Allocation!$E$8*Tax!D24</f>
        <v>0</v>
      </c>
      <c r="E63" s="128">
        <f>-Allocation!$E$8*Tax!E24</f>
        <v>0</v>
      </c>
      <c r="F63" s="128">
        <f>-Allocation!$E$8*Tax!F24</f>
        <v>-169.68466518862661</v>
      </c>
      <c r="G63" s="128">
        <f>-Allocation!$E$8*Tax!G24</f>
        <v>-4422.7147562475857</v>
      </c>
      <c r="H63" s="128">
        <f>-Allocation!$E$8*Tax!H24</f>
        <v>-4859.3436567720037</v>
      </c>
      <c r="I63" s="128">
        <f>-Allocation!$E$8*Tax!I24</f>
        <v>-5193.3521632219708</v>
      </c>
      <c r="J63" s="128">
        <f>-Allocation!$E$8*Tax!J24</f>
        <v>-5589.3047294720946</v>
      </c>
      <c r="K63" s="128">
        <f>-Allocation!$E$8*Tax!K24</f>
        <v>-5952.5989721823589</v>
      </c>
      <c r="L63" s="128">
        <f>-Allocation!$E$8*Tax!L24</f>
        <v>-6427.7870184924204</v>
      </c>
      <c r="M63" s="128">
        <f>-Allocation!$E$8*Tax!M24</f>
        <v>-6927.2563089334226</v>
      </c>
      <c r="N63" s="128">
        <f>-Allocation!$E$8*Tax!N24</f>
        <v>-7428.8089321306816</v>
      </c>
      <c r="O63" s="128">
        <f>-Allocation!$E$8*Tax!O24</f>
        <v>-7921.1025218371433</v>
      </c>
      <c r="P63" s="128">
        <f>-Allocation!$E$8*Tax!P24</f>
        <v>-8406.2336400168424</v>
      </c>
      <c r="Q63" s="128">
        <f>-Allocation!$E$8*Tax!Q24</f>
        <v>-10534.5665130496</v>
      </c>
      <c r="R63" s="128">
        <f>-Allocation!$E$8*Tax!R24</f>
        <v>-12651.737052623643</v>
      </c>
      <c r="S63" s="128">
        <f>-Allocation!$E$8*Tax!S24</f>
        <v>-13122.934170108581</v>
      </c>
      <c r="T63" s="128">
        <f>-Allocation!$E$8*Tax!T24</f>
        <v>-13555.64222428179</v>
      </c>
      <c r="U63" s="128">
        <f>-Allocation!$E$8*Tax!U24</f>
        <v>-13990.405008473197</v>
      </c>
      <c r="W63" s="404">
        <f>SUM(B63:U63)</f>
        <v>-127153.47233303198</v>
      </c>
    </row>
    <row r="64" spans="1:55" outlineLevel="1">
      <c r="A64" s="13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/>
      <c r="T64" s="121"/>
      <c r="U64" s="121"/>
      <c r="W64" s="405"/>
    </row>
    <row r="65" spans="1:44" s="64" customFormat="1" ht="15.75" outlineLevel="1">
      <c r="A65" s="46" t="s">
        <v>73</v>
      </c>
      <c r="B65" s="137">
        <f t="shared" ref="B65:U65" si="17">B60+B63+B62</f>
        <v>4423.149098685024</v>
      </c>
      <c r="C65" s="137">
        <f t="shared" si="17"/>
        <v>4393.2682447003281</v>
      </c>
      <c r="D65" s="137">
        <f t="shared" si="17"/>
        <v>4413.1747546444858</v>
      </c>
      <c r="E65" s="137">
        <f t="shared" si="17"/>
        <v>17949.276359579926</v>
      </c>
      <c r="F65" s="137">
        <f t="shared" si="17"/>
        <v>18688.559095708421</v>
      </c>
      <c r="G65" s="137">
        <f t="shared" si="17"/>
        <v>14275.423777880434</v>
      </c>
      <c r="H65" s="137">
        <f t="shared" si="17"/>
        <v>14296.53289069241</v>
      </c>
      <c r="I65" s="137">
        <f t="shared" si="17"/>
        <v>14222.109019702342</v>
      </c>
      <c r="J65" s="137">
        <f t="shared" si="17"/>
        <v>14335.38122800008</v>
      </c>
      <c r="K65" s="137">
        <f t="shared" si="17"/>
        <v>14220.357078554449</v>
      </c>
      <c r="L65" s="137">
        <f t="shared" si="17"/>
        <v>14115.637010790524</v>
      </c>
      <c r="M65" s="137">
        <f t="shared" si="17"/>
        <v>15228.033406218721</v>
      </c>
      <c r="N65" s="137">
        <f t="shared" si="17"/>
        <v>16407.356052258085</v>
      </c>
      <c r="O65" s="137">
        <f t="shared" si="17"/>
        <v>17521.966526635366</v>
      </c>
      <c r="P65" s="137">
        <f t="shared" si="17"/>
        <v>18165.477594048622</v>
      </c>
      <c r="Q65" s="137">
        <f t="shared" si="17"/>
        <v>16764.617957786901</v>
      </c>
      <c r="R65" s="137">
        <f t="shared" si="17"/>
        <v>15795.222999342161</v>
      </c>
      <c r="S65" s="137">
        <f t="shared" si="17"/>
        <v>18147.639965709695</v>
      </c>
      <c r="T65" s="137">
        <f t="shared" si="17"/>
        <v>18945.556840860489</v>
      </c>
      <c r="U65" s="137">
        <f t="shared" si="17"/>
        <v>20485.464240290312</v>
      </c>
      <c r="W65" s="404">
        <f>SUM(B65:U65)</f>
        <v>292794.20414208877</v>
      </c>
    </row>
    <row r="66" spans="1:44" outlineLevel="1">
      <c r="A66" s="68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</row>
    <row r="67" spans="1:44" outlineLevel="1">
      <c r="A67" s="68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</row>
    <row r="68" spans="1:44" outlineLevel="1">
      <c r="A68" s="6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</row>
    <row r="69" spans="1:44" ht="18.75" outlineLevel="1">
      <c r="A69" s="55" t="s">
        <v>187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r="70" spans="1:44" outlineLevel="1">
      <c r="A70" s="57"/>
      <c r="B70" s="18"/>
      <c r="C70" s="18"/>
      <c r="D70" s="18"/>
      <c r="E70" s="18"/>
      <c r="F70" s="18"/>
      <c r="G70" s="138"/>
      <c r="H70" s="18"/>
      <c r="I70" s="18"/>
      <c r="J70" s="18"/>
      <c r="K70" s="18"/>
      <c r="L70" s="18"/>
      <c r="M70" s="138"/>
      <c r="N70" s="18"/>
      <c r="O70" s="18"/>
      <c r="P70" s="18"/>
      <c r="Q70" s="18"/>
      <c r="R70" s="18"/>
      <c r="S70" s="138"/>
      <c r="T70" s="18"/>
      <c r="U70" s="18"/>
    </row>
    <row r="71" spans="1:44" outlineLevel="1">
      <c r="A71" s="226"/>
      <c r="B71" s="242">
        <v>3</v>
      </c>
      <c r="C71" s="242">
        <v>4</v>
      </c>
      <c r="D71" s="242">
        <v>5</v>
      </c>
      <c r="E71" s="243">
        <v>6</v>
      </c>
      <c r="F71" s="242">
        <v>7</v>
      </c>
      <c r="G71" s="242">
        <v>8</v>
      </c>
      <c r="H71" s="242">
        <v>9</v>
      </c>
      <c r="I71" s="242">
        <v>10</v>
      </c>
      <c r="J71" s="242">
        <v>11</v>
      </c>
      <c r="K71" s="243">
        <v>12</v>
      </c>
      <c r="L71" s="242">
        <v>13</v>
      </c>
      <c r="M71" s="242">
        <v>14</v>
      </c>
      <c r="N71" s="242">
        <v>15</v>
      </c>
      <c r="O71" s="242">
        <v>16</v>
      </c>
      <c r="P71" s="242">
        <v>17</v>
      </c>
      <c r="Q71" s="243">
        <v>18</v>
      </c>
      <c r="R71" s="242">
        <v>19</v>
      </c>
      <c r="S71" s="242">
        <v>20</v>
      </c>
      <c r="T71" s="242">
        <v>21</v>
      </c>
      <c r="U71" s="242">
        <v>22</v>
      </c>
    </row>
    <row r="72" spans="1:44" ht="13.5" outlineLevel="1" thickBot="1">
      <c r="A72" s="194" t="s">
        <v>56</v>
      </c>
      <c r="B72" s="8">
        <v>2001</v>
      </c>
      <c r="C72" s="8">
        <v>2002</v>
      </c>
      <c r="D72" s="8">
        <v>2003</v>
      </c>
      <c r="E72" s="8">
        <v>2004</v>
      </c>
      <c r="F72" s="8">
        <v>2005</v>
      </c>
      <c r="G72" s="8">
        <v>2006</v>
      </c>
      <c r="H72" s="8">
        <v>2007</v>
      </c>
      <c r="I72" s="8">
        <v>2008</v>
      </c>
      <c r="J72" s="8">
        <v>2009</v>
      </c>
      <c r="K72" s="8">
        <v>2010</v>
      </c>
      <c r="L72" s="8">
        <v>2011</v>
      </c>
      <c r="M72" s="8">
        <v>2012</v>
      </c>
      <c r="N72" s="8">
        <v>2013</v>
      </c>
      <c r="O72" s="8">
        <v>2014</v>
      </c>
      <c r="P72" s="8">
        <v>2015</v>
      </c>
      <c r="Q72" s="8">
        <v>2016</v>
      </c>
      <c r="R72" s="8">
        <v>2017</v>
      </c>
      <c r="S72" s="8">
        <v>2018</v>
      </c>
      <c r="T72" s="8">
        <v>2019</v>
      </c>
      <c r="U72" s="8">
        <v>2020</v>
      </c>
    </row>
    <row r="73" spans="1:44" outlineLevel="1">
      <c r="A73" s="226"/>
      <c r="B73" s="24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44" outlineLevel="1">
      <c r="A74" s="226"/>
      <c r="B74" s="24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spans="1:44" outlineLevel="1">
      <c r="A75" s="227" t="s">
        <v>183</v>
      </c>
      <c r="B75" s="24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44" outlineLevel="1">
      <c r="A76" s="226"/>
      <c r="B76" s="24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spans="1:44" outlineLevel="1">
      <c r="A77" s="7" t="s">
        <v>181</v>
      </c>
      <c r="B77" s="443">
        <f>Allocation!$C$8*'Summary Output'!$C$8</f>
        <v>87384.075987621734</v>
      </c>
      <c r="C77" s="443">
        <f>Allocation!$C$8*'Summary Output'!$C$8</f>
        <v>87384.075987621734</v>
      </c>
      <c r="D77" s="443">
        <f>Allocation!$C$8*'Summary Output'!$C$8</f>
        <v>87384.075987621734</v>
      </c>
      <c r="E77" s="443">
        <f>Allocation!$C$8*'Summary Output'!$C$8</f>
        <v>87384.075987621734</v>
      </c>
      <c r="F77" s="443">
        <f>Allocation!$C$8*'Summary Output'!$C$8</f>
        <v>87384.075987621734</v>
      </c>
      <c r="G77" s="443">
        <f>Allocation!$C$8*'Summary Output'!$C$8</f>
        <v>87384.075987621734</v>
      </c>
      <c r="H77" s="443">
        <f>Allocation!$C$8*'Summary Output'!$C$8</f>
        <v>87384.075987621734</v>
      </c>
      <c r="I77" s="443">
        <f>Allocation!$C$8*'Summary Output'!$C$8</f>
        <v>87384.075987621734</v>
      </c>
      <c r="J77" s="443">
        <f>Allocation!$C$8*'Summary Output'!$C$8</f>
        <v>87384.075987621734</v>
      </c>
      <c r="K77" s="443">
        <f>Allocation!$C$8*'Summary Output'!$C$8</f>
        <v>87384.075987621734</v>
      </c>
      <c r="L77" s="443">
        <f>Allocation!$C$8*'Summary Output'!$C$8</f>
        <v>87384.075987621734</v>
      </c>
      <c r="M77" s="443">
        <f>Allocation!$C$8*'Summary Output'!$C$8</f>
        <v>87384.075987621734</v>
      </c>
      <c r="N77" s="443">
        <f>Allocation!$C$8*'Summary Output'!$C$8</f>
        <v>87384.075987621734</v>
      </c>
      <c r="O77" s="443">
        <f>Allocation!$C$8*'Summary Output'!$C$8</f>
        <v>87384.075987621734</v>
      </c>
      <c r="P77" s="443">
        <f>Allocation!$C$8*'Summary Output'!$C$8</f>
        <v>87384.075987621734</v>
      </c>
      <c r="Q77" s="443">
        <f>Allocation!$C$8*'Summary Output'!$C$8</f>
        <v>87384.075987621734</v>
      </c>
      <c r="R77" s="443">
        <f>Allocation!$C$8*'Summary Output'!$C$8</f>
        <v>87384.075987621734</v>
      </c>
      <c r="S77" s="443">
        <f>Allocation!$C$8*'Summary Output'!$C$8</f>
        <v>87384.075987621734</v>
      </c>
      <c r="T77" s="443">
        <f>Allocation!$C$8*'Summary Output'!$C$8</f>
        <v>87384.075987621734</v>
      </c>
      <c r="U77" s="443">
        <f>Allocation!$C$8*'Summary Output'!$C$8</f>
        <v>87384.075987621734</v>
      </c>
    </row>
    <row r="78" spans="1:44" outlineLevel="1">
      <c r="A78" s="447" t="s">
        <v>279</v>
      </c>
      <c r="B78" s="444">
        <f>B45-B65-B12*(Assumptions!$D$39+(1-Assumptions!$D$39)*Assumptions!$D$38)</f>
        <v>-1722.9135564592075</v>
      </c>
      <c r="C78" s="444">
        <f>C45-C65-C12*(Assumptions!$D$39+(1-Assumptions!$D$39)*Assumptions!$D$38)+B78</f>
        <v>-3329.8295869757294</v>
      </c>
      <c r="D78" s="444">
        <f>D45-D65-D12*(Assumptions!$D$39+(1-Assumptions!$D$39)*Assumptions!$D$38)+C78</f>
        <v>-4824.1181638864127</v>
      </c>
      <c r="E78" s="444">
        <f t="shared" ref="E78:U78" si="18">E45-E65+D78</f>
        <v>-13439.175310321763</v>
      </c>
      <c r="F78" s="444">
        <f t="shared" si="18"/>
        <v>-21481.108463698714</v>
      </c>
      <c r="G78" s="444">
        <f t="shared" si="18"/>
        <v>-24569.675996692207</v>
      </c>
      <c r="H78" s="444">
        <f t="shared" si="18"/>
        <v>-27102.003859198907</v>
      </c>
      <c r="I78" s="444">
        <f t="shared" si="18"/>
        <v>-28966.536961925536</v>
      </c>
      <c r="J78" s="444">
        <f t="shared" si="18"/>
        <v>-30265.987332337427</v>
      </c>
      <c r="K78" s="444">
        <f t="shared" si="18"/>
        <v>-30983.818739656774</v>
      </c>
      <c r="L78" s="444">
        <f t="shared" si="18"/>
        <v>-30597.880678537054</v>
      </c>
      <c r="M78" s="444">
        <f t="shared" si="18"/>
        <v>-30265.324726232499</v>
      </c>
      <c r="N78" s="444">
        <f t="shared" si="18"/>
        <v>-30066.509085761558</v>
      </c>
      <c r="O78" s="444">
        <f t="shared" si="18"/>
        <v>-30021.54468721541</v>
      </c>
      <c r="P78" s="444">
        <f t="shared" si="18"/>
        <v>-29645.338638926183</v>
      </c>
      <c r="Q78" s="444">
        <f t="shared" si="18"/>
        <v>-26998.927748580303</v>
      </c>
      <c r="R78" s="444">
        <f t="shared" si="18"/>
        <v>-22481.187057480849</v>
      </c>
      <c r="S78" s="444">
        <f t="shared" si="18"/>
        <v>-19442.941727520698</v>
      </c>
      <c r="T78" s="444">
        <f t="shared" si="18"/>
        <v>-16402.70706865074</v>
      </c>
      <c r="U78" s="444">
        <f t="shared" si="18"/>
        <v>-14100.057964494732</v>
      </c>
      <c r="Y78" s="444"/>
      <c r="Z78" s="444"/>
      <c r="AA78" s="444"/>
      <c r="AB78" s="444"/>
      <c r="AC78" s="444"/>
      <c r="AD78" s="444"/>
      <c r="AE78" s="444"/>
      <c r="AF78" s="444"/>
      <c r="AG78" s="444"/>
      <c r="AH78" s="444"/>
      <c r="AI78" s="444"/>
      <c r="AJ78" s="444"/>
      <c r="AK78" s="444"/>
      <c r="AL78" s="444"/>
      <c r="AM78" s="444"/>
      <c r="AN78" s="444"/>
      <c r="AO78" s="444"/>
      <c r="AP78" s="444"/>
      <c r="AQ78" s="444"/>
      <c r="AR78" s="444"/>
    </row>
    <row r="79" spans="1:44" outlineLevel="1">
      <c r="A79" s="447" t="s">
        <v>188</v>
      </c>
      <c r="B79" s="445">
        <f>Debt!B73*Allocation!$E$8</f>
        <v>112140.34359578806</v>
      </c>
      <c r="C79" s="445">
        <f>Debt!C73*Allocation!$E$8</f>
        <v>109549.19250158378</v>
      </c>
      <c r="D79" s="445">
        <f>Debt!D73*Allocation!$E$8</f>
        <v>106763.21801683784</v>
      </c>
      <c r="E79" s="445">
        <f>Debt!E73*Allocation!$E$8</f>
        <v>103981.13999990272</v>
      </c>
      <c r="F79" s="445">
        <f>Debt!F73*Allocation!$E$8</f>
        <v>100151.69143541556</v>
      </c>
      <c r="G79" s="445">
        <f>Debt!G73*Allocation!$E$8</f>
        <v>95798.557597152365</v>
      </c>
      <c r="H79" s="445">
        <f>Debt!H73*Allocation!$E$8</f>
        <v>91052.659803557166</v>
      </c>
      <c r="I79" s="445">
        <f>Debt!I73*Allocation!$E$8</f>
        <v>85652.155417741946</v>
      </c>
      <c r="J79" s="445">
        <f>Debt!J73*Allocation!$E$8</f>
        <v>79727.965758150691</v>
      </c>
      <c r="K79" s="445">
        <f>Debt!K73*Allocation!$E$8</f>
        <v>72922.395079748909</v>
      </c>
      <c r="L79" s="445">
        <f>Debt!L73*Allocation!$E$8</f>
        <v>65519.106239165259</v>
      </c>
      <c r="M79" s="445">
        <f>Debt!M73*Allocation!$E$8</f>
        <v>58115.817398581617</v>
      </c>
      <c r="N79" s="445">
        <f>Debt!N73*Allocation!$E$8</f>
        <v>50712.528557997968</v>
      </c>
      <c r="O79" s="445">
        <f>Debt!O73*Allocation!$E$8</f>
        <v>43309.239717414326</v>
      </c>
      <c r="P79" s="445">
        <f>Debt!P73*Allocation!$E$8</f>
        <v>35535.786434801499</v>
      </c>
      <c r="Q79" s="445">
        <f>Debt!Q73*Allocation!$E$8</f>
        <v>27392.168710159487</v>
      </c>
      <c r="R79" s="445">
        <f>Debt!R73*Allocation!$E$8</f>
        <v>19248.550985517479</v>
      </c>
      <c r="S79" s="445">
        <f>Debt!S73*Allocation!$E$8</f>
        <v>12585.591028992198</v>
      </c>
      <c r="T79" s="445">
        <f>Debt!T73*Allocation!$E$8</f>
        <v>5922.6310724669165</v>
      </c>
      <c r="U79" s="445">
        <f>Debt!U73*Allocation!$E$8</f>
        <v>-6.2371176200640148E-12</v>
      </c>
    </row>
    <row r="80" spans="1:44" outlineLevel="1">
      <c r="A80" s="226" t="s">
        <v>189</v>
      </c>
      <c r="B80" s="446">
        <f>SUM(B77:B79)</f>
        <v>197801.50602695058</v>
      </c>
      <c r="C80" s="446">
        <f t="shared" ref="C80:U80" si="19">SUM(C77:C79)</f>
        <v>193603.43890222977</v>
      </c>
      <c r="D80" s="446">
        <f t="shared" si="19"/>
        <v>189323.17584057315</v>
      </c>
      <c r="E80" s="446">
        <f t="shared" si="19"/>
        <v>177926.04067720269</v>
      </c>
      <c r="F80" s="446">
        <f t="shared" si="19"/>
        <v>166054.65895933859</v>
      </c>
      <c r="G80" s="446">
        <f t="shared" si="19"/>
        <v>158612.95758808189</v>
      </c>
      <c r="H80" s="446">
        <f t="shared" si="19"/>
        <v>151334.73193198</v>
      </c>
      <c r="I80" s="446">
        <f t="shared" si="19"/>
        <v>144069.69444343814</v>
      </c>
      <c r="J80" s="446">
        <f t="shared" si="19"/>
        <v>136846.05441343499</v>
      </c>
      <c r="K80" s="446">
        <f t="shared" si="19"/>
        <v>129322.65232771388</v>
      </c>
      <c r="L80" s="446">
        <f t="shared" si="19"/>
        <v>122305.30154824993</v>
      </c>
      <c r="M80" s="446">
        <f t="shared" si="19"/>
        <v>115234.56865997086</v>
      </c>
      <c r="N80" s="446">
        <f t="shared" si="19"/>
        <v>108030.09545985814</v>
      </c>
      <c r="O80" s="446">
        <f t="shared" si="19"/>
        <v>100671.77101782065</v>
      </c>
      <c r="P80" s="446">
        <f t="shared" si="19"/>
        <v>93274.523783497047</v>
      </c>
      <c r="Q80" s="446">
        <f t="shared" si="19"/>
        <v>87777.316949200918</v>
      </c>
      <c r="R80" s="446">
        <f t="shared" si="19"/>
        <v>84151.439915658368</v>
      </c>
      <c r="S80" s="446">
        <f t="shared" si="19"/>
        <v>80526.725289093243</v>
      </c>
      <c r="T80" s="446">
        <f t="shared" si="19"/>
        <v>76903.999991437915</v>
      </c>
      <c r="U80" s="446">
        <f t="shared" si="19"/>
        <v>73284.018023127006</v>
      </c>
    </row>
    <row r="81" spans="1:44" outlineLevel="1">
      <c r="A81" s="447" t="s">
        <v>184</v>
      </c>
      <c r="B81" s="449">
        <f>Assumptions!$D$42</f>
        <v>2.5000000000000001E-3</v>
      </c>
      <c r="C81" s="449">
        <f>Assumptions!$D$43</f>
        <v>2.5000000000000001E-3</v>
      </c>
      <c r="D81" s="449">
        <f>Assumptions!$D$43</f>
        <v>2.5000000000000001E-3</v>
      </c>
      <c r="E81" s="449">
        <f>Assumptions!$D$43</f>
        <v>2.5000000000000001E-3</v>
      </c>
      <c r="F81" s="449">
        <f>Assumptions!$D$43</f>
        <v>2.5000000000000001E-3</v>
      </c>
      <c r="G81" s="449">
        <f>Assumptions!$D$43</f>
        <v>2.5000000000000001E-3</v>
      </c>
      <c r="H81" s="449">
        <f>Assumptions!$D$43</f>
        <v>2.5000000000000001E-3</v>
      </c>
      <c r="I81" s="449">
        <f>Assumptions!$D$43</f>
        <v>2.5000000000000001E-3</v>
      </c>
      <c r="J81" s="449">
        <f>Assumptions!$D$43</f>
        <v>2.5000000000000001E-3</v>
      </c>
      <c r="K81" s="449">
        <f>Assumptions!$D$43</f>
        <v>2.5000000000000001E-3</v>
      </c>
      <c r="L81" s="449">
        <f>Assumptions!$D$43</f>
        <v>2.5000000000000001E-3</v>
      </c>
      <c r="M81" s="449">
        <f>Assumptions!$D$43</f>
        <v>2.5000000000000001E-3</v>
      </c>
      <c r="N81" s="449">
        <f>Assumptions!$D$43</f>
        <v>2.5000000000000001E-3</v>
      </c>
      <c r="O81" s="449">
        <f>Assumptions!$D$43</f>
        <v>2.5000000000000001E-3</v>
      </c>
      <c r="P81" s="449">
        <f>Assumptions!$D$43</f>
        <v>2.5000000000000001E-3</v>
      </c>
      <c r="Q81" s="449">
        <f>Assumptions!$D$43</f>
        <v>2.5000000000000001E-3</v>
      </c>
      <c r="R81" s="449">
        <f>Assumptions!$D$43</f>
        <v>2.5000000000000001E-3</v>
      </c>
      <c r="S81" s="449">
        <f>Assumptions!$D$43</f>
        <v>2.5000000000000001E-3</v>
      </c>
      <c r="T81" s="449">
        <f>Assumptions!$D$43</f>
        <v>2.5000000000000001E-3</v>
      </c>
      <c r="U81" s="449">
        <f>Assumptions!$D$43</f>
        <v>2.5000000000000001E-3</v>
      </c>
    </row>
    <row r="82" spans="1:44" outlineLevel="1">
      <c r="A82" s="226" t="s">
        <v>185</v>
      </c>
      <c r="B82" s="465">
        <v>481.42903040037135</v>
      </c>
      <c r="C82" s="465">
        <v>468.83375414297075</v>
      </c>
      <c r="D82" s="465">
        <v>455.96305793756466</v>
      </c>
      <c r="E82" s="465">
        <v>425.26461017084745</v>
      </c>
      <c r="F82" s="465">
        <v>392.59615068997556</v>
      </c>
      <c r="G82" s="465">
        <v>362.81446238897246</v>
      </c>
      <c r="H82" s="465">
        <v>341.49518820433661</v>
      </c>
      <c r="I82" s="465">
        <v>320.03463074594788</v>
      </c>
      <c r="J82" s="465">
        <v>298.66474333842439</v>
      </c>
      <c r="K82" s="465">
        <v>276.54253180199311</v>
      </c>
      <c r="L82" s="465">
        <v>255.70876258187789</v>
      </c>
      <c r="M82" s="465">
        <v>234.75847140128849</v>
      </c>
      <c r="N82" s="465">
        <v>213.49764658975445</v>
      </c>
      <c r="O82" s="465">
        <v>191.87038419522054</v>
      </c>
      <c r="P82" s="465">
        <v>170.17071687751698</v>
      </c>
      <c r="Q82" s="465">
        <v>154.11519597081036</v>
      </c>
      <c r="R82" s="465">
        <v>143.63097523949372</v>
      </c>
      <c r="S82" s="465">
        <v>133.1278041084463</v>
      </c>
      <c r="T82" s="465">
        <v>122.60670566955544</v>
      </c>
      <c r="U82" s="465">
        <v>112.06913629699555</v>
      </c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1:44" outlineLevel="1">
      <c r="A83" s="447"/>
      <c r="B83" s="448"/>
      <c r="C83" s="448"/>
      <c r="D83" s="448"/>
      <c r="E83" s="448"/>
      <c r="F83" s="448"/>
      <c r="G83" s="448"/>
      <c r="H83" s="448"/>
      <c r="I83" s="448"/>
      <c r="J83" s="448"/>
      <c r="K83" s="448"/>
      <c r="L83" s="448"/>
      <c r="M83" s="448"/>
      <c r="N83" s="448"/>
      <c r="O83" s="448"/>
      <c r="P83" s="448"/>
      <c r="Q83" s="448"/>
      <c r="R83" s="448"/>
      <c r="S83" s="448"/>
      <c r="T83" s="448"/>
      <c r="U83" s="448"/>
    </row>
    <row r="84" spans="1:44" outlineLevel="1">
      <c r="A84" s="226"/>
      <c r="B84" s="24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spans="1:44" outlineLevel="1">
      <c r="A85" s="227" t="s">
        <v>83</v>
      </c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</row>
    <row r="86" spans="1:44">
      <c r="A86" s="22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</row>
    <row r="87" spans="1:44" outlineLevel="1">
      <c r="A87" s="21" t="s">
        <v>277</v>
      </c>
      <c r="B87" s="20">
        <f>B40-B12</f>
        <v>1229.8492396148013</v>
      </c>
      <c r="C87" s="20">
        <f>C40-C12</f>
        <v>1369.3094371176176</v>
      </c>
      <c r="D87" s="20">
        <f>D40-D12</f>
        <v>1583.9393376034441</v>
      </c>
      <c r="E87" s="20">
        <f t="shared" ref="E87:U87" si="20">E40</f>
        <v>15116.144474728057</v>
      </c>
      <c r="F87" s="20">
        <f t="shared" si="20"/>
        <v>17241.499501751368</v>
      </c>
      <c r="G87" s="20">
        <f t="shared" si="20"/>
        <v>18116.366388480878</v>
      </c>
      <c r="H87" s="20">
        <f t="shared" si="20"/>
        <v>19051.344175199527</v>
      </c>
      <c r="I87" s="20">
        <f t="shared" si="20"/>
        <v>20012.268691458645</v>
      </c>
      <c r="J87" s="20">
        <f t="shared" si="20"/>
        <v>21110.819202571962</v>
      </c>
      <c r="K87" s="20">
        <f t="shared" si="20"/>
        <v>21866.43833398397</v>
      </c>
      <c r="L87" s="20">
        <f t="shared" si="20"/>
        <v>23484.3321002595</v>
      </c>
      <c r="M87" s="20">
        <f t="shared" si="20"/>
        <v>25199.334993559962</v>
      </c>
      <c r="N87" s="20">
        <f t="shared" si="20"/>
        <v>26892.585737212998</v>
      </c>
      <c r="O87" s="20">
        <f t="shared" si="20"/>
        <v>28448.471133897187</v>
      </c>
      <c r="P87" s="20">
        <f t="shared" si="20"/>
        <v>30027.018044271819</v>
      </c>
      <c r="Q87" s="20">
        <f t="shared" si="20"/>
        <v>31434.864531389117</v>
      </c>
      <c r="R87" s="20">
        <f t="shared" si="20"/>
        <v>32895.487757800183</v>
      </c>
      <c r="S87" s="20">
        <f t="shared" si="20"/>
        <v>34309.125984890437</v>
      </c>
      <c r="T87" s="20">
        <f t="shared" si="20"/>
        <v>35604.520647336758</v>
      </c>
      <c r="U87" s="20">
        <f t="shared" si="20"/>
        <v>36903.827278455574</v>
      </c>
      <c r="W87" s="424">
        <f>SUM(B87:U87)</f>
        <v>441897.54699158377</v>
      </c>
    </row>
    <row r="88" spans="1:44" outlineLevel="1">
      <c r="A88" s="21" t="s">
        <v>133</v>
      </c>
      <c r="B88" s="20">
        <f>B34</f>
        <v>5620.9099017869885</v>
      </c>
      <c r="C88" s="20">
        <f t="shared" ref="C88:U88" si="21">C34</f>
        <v>5620.9099017869885</v>
      </c>
      <c r="D88" s="20">
        <f t="shared" si="21"/>
        <v>5620.9099017869885</v>
      </c>
      <c r="E88" s="20">
        <f t="shared" si="21"/>
        <v>5620.9099017869885</v>
      </c>
      <c r="F88" s="20">
        <f t="shared" si="21"/>
        <v>5620.9099017869885</v>
      </c>
      <c r="G88" s="20">
        <f t="shared" si="21"/>
        <v>5620.9099017869885</v>
      </c>
      <c r="H88" s="20">
        <f t="shared" si="21"/>
        <v>5620.9099017869885</v>
      </c>
      <c r="I88" s="20">
        <f t="shared" si="21"/>
        <v>5620.9099017869885</v>
      </c>
      <c r="J88" s="20">
        <f t="shared" si="21"/>
        <v>5620.9099017869885</v>
      </c>
      <c r="K88" s="20">
        <f t="shared" si="21"/>
        <v>5620.9099017869885</v>
      </c>
      <c r="L88" s="20">
        <f t="shared" si="21"/>
        <v>5620.9099017869885</v>
      </c>
      <c r="M88" s="20">
        <f t="shared" si="21"/>
        <v>5620.9099017869885</v>
      </c>
      <c r="N88" s="20">
        <f t="shared" si="21"/>
        <v>5620.9099017869885</v>
      </c>
      <c r="O88" s="20">
        <f t="shared" si="21"/>
        <v>5620.9099017869885</v>
      </c>
      <c r="P88" s="20">
        <f t="shared" si="21"/>
        <v>5620.9099017869885</v>
      </c>
      <c r="Q88" s="20">
        <f t="shared" si="21"/>
        <v>5620.9099017869885</v>
      </c>
      <c r="R88" s="20">
        <f t="shared" si="21"/>
        <v>5620.9099017869885</v>
      </c>
      <c r="S88" s="20">
        <f t="shared" si="21"/>
        <v>5620.9099017869885</v>
      </c>
      <c r="T88" s="20">
        <f t="shared" si="21"/>
        <v>5620.9099017869885</v>
      </c>
      <c r="U88" s="20">
        <f t="shared" si="21"/>
        <v>5620.9099017869885</v>
      </c>
      <c r="W88" s="424">
        <f>SUM(B88:U88)</f>
        <v>112418.19803573977</v>
      </c>
    </row>
    <row r="89" spans="1:44" ht="15" outlineLevel="1">
      <c r="A89" s="21" t="s">
        <v>203</v>
      </c>
      <c r="B89" s="230">
        <f>-Depreciation!C75</f>
        <v>-8129.3723376681664</v>
      </c>
      <c r="C89" s="230">
        <f>-Depreciation!D75</f>
        <v>-15445.807441569516</v>
      </c>
      <c r="D89" s="230">
        <f>-Depreciation!E75</f>
        <v>-13901.226697412565</v>
      </c>
      <c r="E89" s="230">
        <f>-Depreciation!F75</f>
        <v>-12519.233400008976</v>
      </c>
      <c r="F89" s="230">
        <f>-Depreciation!G75</f>
        <v>-11267.310060008078</v>
      </c>
      <c r="G89" s="230">
        <f>-Depreciation!H75</f>
        <v>-10129.197932734536</v>
      </c>
      <c r="H89" s="230">
        <f>-Depreciation!I75</f>
        <v>-9592.6593584484363</v>
      </c>
      <c r="I89" s="230">
        <f>-Depreciation!J75</f>
        <v>-9608.9181031237731</v>
      </c>
      <c r="J89" s="230">
        <f>-Depreciation!K75</f>
        <v>-9592.6593584484363</v>
      </c>
      <c r="K89" s="230">
        <f>-Depreciation!L75</f>
        <v>-9608.9181031237731</v>
      </c>
      <c r="L89" s="230">
        <f>-Depreciation!M75</f>
        <v>-9592.6593584484363</v>
      </c>
      <c r="M89" s="230">
        <f>-Depreciation!N75</f>
        <v>-9608.9181031237731</v>
      </c>
      <c r="N89" s="230">
        <f>-Depreciation!O75</f>
        <v>-9592.6593584484363</v>
      </c>
      <c r="O89" s="230">
        <f>-Depreciation!P75</f>
        <v>-9608.9181031237731</v>
      </c>
      <c r="P89" s="230">
        <f>-Depreciation!Q75</f>
        <v>-9592.6593584484363</v>
      </c>
      <c r="Q89" s="230">
        <f>-Depreciation!R75</f>
        <v>-4796.3296792242181</v>
      </c>
      <c r="R89" s="230">
        <f>-Depreciation!S75</f>
        <v>0</v>
      </c>
      <c r="S89" s="230">
        <f>-Depreciation!T75</f>
        <v>0</v>
      </c>
      <c r="T89" s="230">
        <f>-Depreciation!U75</f>
        <v>0</v>
      </c>
      <c r="U89" s="230">
        <f>-Depreciation!V75</f>
        <v>0</v>
      </c>
      <c r="W89" s="425">
        <f>SUM(B89:U89)</f>
        <v>-162587.4467533633</v>
      </c>
    </row>
    <row r="90" spans="1:44" outlineLevel="1">
      <c r="A90" s="229" t="s">
        <v>132</v>
      </c>
      <c r="B90" s="22">
        <f t="shared" ref="B90:U90" si="22">SUM(B87:B89)</f>
        <v>-1278.6131962663767</v>
      </c>
      <c r="C90" s="22">
        <f t="shared" si="22"/>
        <v>-8455.5881026649095</v>
      </c>
      <c r="D90" s="22">
        <f t="shared" si="22"/>
        <v>-6696.3774580221325</v>
      </c>
      <c r="E90" s="22">
        <f t="shared" si="22"/>
        <v>8217.8209765060674</v>
      </c>
      <c r="F90" s="22">
        <f t="shared" si="22"/>
        <v>11595.099343530279</v>
      </c>
      <c r="G90" s="22">
        <f t="shared" si="22"/>
        <v>13608.07835753333</v>
      </c>
      <c r="H90" s="22">
        <f t="shared" si="22"/>
        <v>15079.594718538079</v>
      </c>
      <c r="I90" s="22">
        <f t="shared" si="22"/>
        <v>16024.26049012186</v>
      </c>
      <c r="J90" s="22">
        <f t="shared" si="22"/>
        <v>17139.069745910514</v>
      </c>
      <c r="K90" s="22">
        <f t="shared" si="22"/>
        <v>17878.430132647183</v>
      </c>
      <c r="L90" s="22">
        <f t="shared" si="22"/>
        <v>19512.582643598053</v>
      </c>
      <c r="M90" s="22">
        <f t="shared" si="22"/>
        <v>21211.326792223175</v>
      </c>
      <c r="N90" s="22">
        <f t="shared" si="22"/>
        <v>22920.83628055155</v>
      </c>
      <c r="O90" s="22">
        <f t="shared" si="22"/>
        <v>24460.462932560396</v>
      </c>
      <c r="P90" s="22">
        <f t="shared" si="22"/>
        <v>26055.268587610371</v>
      </c>
      <c r="Q90" s="22">
        <f t="shared" si="22"/>
        <v>32259.444753951888</v>
      </c>
      <c r="R90" s="22">
        <f t="shared" si="22"/>
        <v>38516.397659587172</v>
      </c>
      <c r="S90" s="22">
        <f t="shared" si="22"/>
        <v>39930.035886677426</v>
      </c>
      <c r="T90" s="22">
        <f t="shared" si="22"/>
        <v>41225.430549123746</v>
      </c>
      <c r="U90" s="22">
        <f t="shared" si="22"/>
        <v>42524.737180242562</v>
      </c>
      <c r="W90" s="424">
        <f>SUM(B90:U90)</f>
        <v>391728.29827396024</v>
      </c>
    </row>
    <row r="91" spans="1:44" outlineLevel="1">
      <c r="A91" s="21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44" outlineLevel="1">
      <c r="A92" s="21" t="s">
        <v>39</v>
      </c>
      <c r="B92" s="422">
        <f>Assumptions!$D$39</f>
        <v>0.05</v>
      </c>
      <c r="C92" s="422">
        <f>Assumptions!$D$39</f>
        <v>0.05</v>
      </c>
      <c r="D92" s="422">
        <f>Assumptions!$D$39</f>
        <v>0.05</v>
      </c>
      <c r="E92" s="422">
        <f>Assumptions!$D$39</f>
        <v>0.05</v>
      </c>
      <c r="F92" s="422">
        <f>Assumptions!$D$39</f>
        <v>0.05</v>
      </c>
      <c r="G92" s="422">
        <f>Assumptions!$D$39</f>
        <v>0.05</v>
      </c>
      <c r="H92" s="422">
        <f>Assumptions!$D$39</f>
        <v>0.05</v>
      </c>
      <c r="I92" s="422">
        <f>Assumptions!$D$39</f>
        <v>0.05</v>
      </c>
      <c r="J92" s="422">
        <f>Assumptions!$D$39</f>
        <v>0.05</v>
      </c>
      <c r="K92" s="422">
        <f>Assumptions!$D$39</f>
        <v>0.05</v>
      </c>
      <c r="L92" s="422">
        <f>Assumptions!$D$39</f>
        <v>0.05</v>
      </c>
      <c r="M92" s="422">
        <f>Assumptions!$D$39</f>
        <v>0.05</v>
      </c>
      <c r="N92" s="422">
        <f>Assumptions!$D$39</f>
        <v>0.05</v>
      </c>
      <c r="O92" s="422">
        <f>Assumptions!$D$39</f>
        <v>0.05</v>
      </c>
      <c r="P92" s="422">
        <f>Assumptions!$D$39</f>
        <v>0.05</v>
      </c>
      <c r="Q92" s="422">
        <f>Assumptions!$D$39</f>
        <v>0.05</v>
      </c>
      <c r="R92" s="422">
        <f>Assumptions!$D$39</f>
        <v>0.05</v>
      </c>
      <c r="S92" s="422">
        <f>Assumptions!$D$39</f>
        <v>0.05</v>
      </c>
      <c r="T92" s="422">
        <f>Assumptions!$D$39</f>
        <v>0.05</v>
      </c>
      <c r="U92" s="422">
        <f>Assumptions!$D$39</f>
        <v>0.05</v>
      </c>
    </row>
    <row r="93" spans="1:44" outlineLevel="1">
      <c r="A93" s="21" t="s">
        <v>134</v>
      </c>
      <c r="B93" s="20">
        <f>B90*B92</f>
        <v>-63.93065981331884</v>
      </c>
      <c r="C93" s="20">
        <f t="shared" ref="C93:U93" si="23">C90*C92</f>
        <v>-422.77940513324552</v>
      </c>
      <c r="D93" s="20">
        <f t="shared" si="23"/>
        <v>-334.81887290110666</v>
      </c>
      <c r="E93" s="20">
        <f t="shared" si="23"/>
        <v>410.89104882530341</v>
      </c>
      <c r="F93" s="20">
        <f t="shared" si="23"/>
        <v>579.75496717651401</v>
      </c>
      <c r="G93" s="20">
        <f t="shared" si="23"/>
        <v>680.40391787666658</v>
      </c>
      <c r="H93" s="20">
        <f t="shared" si="23"/>
        <v>753.97973592690403</v>
      </c>
      <c r="I93" s="20">
        <f t="shared" si="23"/>
        <v>801.21302450609301</v>
      </c>
      <c r="J93" s="20">
        <f t="shared" si="23"/>
        <v>856.95348729552575</v>
      </c>
      <c r="K93" s="20">
        <f t="shared" si="23"/>
        <v>893.92150663235918</v>
      </c>
      <c r="L93" s="20">
        <f t="shared" si="23"/>
        <v>975.62913217990263</v>
      </c>
      <c r="M93" s="20">
        <f t="shared" si="23"/>
        <v>1060.5663396111588</v>
      </c>
      <c r="N93" s="20">
        <f t="shared" si="23"/>
        <v>1146.0418140275776</v>
      </c>
      <c r="O93" s="20">
        <f t="shared" si="23"/>
        <v>1223.02314662802</v>
      </c>
      <c r="P93" s="20">
        <f t="shared" si="23"/>
        <v>1302.7634293805186</v>
      </c>
      <c r="Q93" s="20">
        <f t="shared" si="23"/>
        <v>1612.9722376975944</v>
      </c>
      <c r="R93" s="20">
        <f t="shared" si="23"/>
        <v>1925.8198829793587</v>
      </c>
      <c r="S93" s="20">
        <f t="shared" si="23"/>
        <v>1996.5017943338714</v>
      </c>
      <c r="T93" s="20">
        <f t="shared" si="23"/>
        <v>2061.2715274561874</v>
      </c>
      <c r="U93" s="20">
        <f t="shared" si="23"/>
        <v>2126.2368590121282</v>
      </c>
    </row>
    <row r="94" spans="1:44" outlineLevel="1">
      <c r="A94" s="21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44" outlineLevel="1">
      <c r="A95" s="21" t="s">
        <v>135</v>
      </c>
      <c r="B95" s="20">
        <v>0</v>
      </c>
      <c r="C95" s="20">
        <f t="shared" ref="C95:U95" si="24">B99</f>
        <v>63.93065981331884</v>
      </c>
      <c r="D95" s="20">
        <f t="shared" si="24"/>
        <v>486.71006494656433</v>
      </c>
      <c r="E95" s="20">
        <f t="shared" si="24"/>
        <v>821.52893784767093</v>
      </c>
      <c r="F95" s="20">
        <f t="shared" si="24"/>
        <v>410.63788902236752</v>
      </c>
      <c r="G95" s="20">
        <f t="shared" si="24"/>
        <v>0</v>
      </c>
      <c r="H95" s="20">
        <f t="shared" si="24"/>
        <v>0</v>
      </c>
      <c r="I95" s="20">
        <f t="shared" si="24"/>
        <v>0</v>
      </c>
      <c r="J95" s="20">
        <f t="shared" si="24"/>
        <v>0</v>
      </c>
      <c r="K95" s="20">
        <f t="shared" si="24"/>
        <v>0</v>
      </c>
      <c r="L95" s="20">
        <f t="shared" si="24"/>
        <v>0</v>
      </c>
      <c r="M95" s="20">
        <f t="shared" si="24"/>
        <v>0</v>
      </c>
      <c r="N95" s="20">
        <f>M99</f>
        <v>0</v>
      </c>
      <c r="O95" s="20">
        <f t="shared" si="24"/>
        <v>0</v>
      </c>
      <c r="P95" s="20">
        <f t="shared" si="24"/>
        <v>0</v>
      </c>
      <c r="Q95" s="20">
        <f t="shared" si="24"/>
        <v>0</v>
      </c>
      <c r="R95" s="20">
        <v>0</v>
      </c>
      <c r="S95" s="20">
        <f t="shared" si="24"/>
        <v>0</v>
      </c>
      <c r="T95" s="20">
        <f t="shared" si="24"/>
        <v>0</v>
      </c>
      <c r="U95" s="20">
        <f t="shared" si="24"/>
        <v>0</v>
      </c>
    </row>
    <row r="96" spans="1:44" outlineLevel="1">
      <c r="A96" s="21" t="s">
        <v>136</v>
      </c>
      <c r="B96" s="241">
        <f t="shared" ref="B96:U96" si="25">IF(B69&gt;2020,0,IF(B93&lt;0,-B93,0))</f>
        <v>63.93065981331884</v>
      </c>
      <c r="C96" s="241">
        <f t="shared" si="25"/>
        <v>422.77940513324552</v>
      </c>
      <c r="D96" s="241">
        <f t="shared" si="25"/>
        <v>334.81887290110666</v>
      </c>
      <c r="E96" s="241">
        <f t="shared" si="25"/>
        <v>0</v>
      </c>
      <c r="F96" s="241">
        <f t="shared" si="25"/>
        <v>0</v>
      </c>
      <c r="G96" s="241">
        <f t="shared" si="25"/>
        <v>0</v>
      </c>
      <c r="H96" s="241">
        <f t="shared" si="25"/>
        <v>0</v>
      </c>
      <c r="I96" s="241">
        <f t="shared" si="25"/>
        <v>0</v>
      </c>
      <c r="J96" s="241">
        <f t="shared" si="25"/>
        <v>0</v>
      </c>
      <c r="K96" s="241">
        <f t="shared" si="25"/>
        <v>0</v>
      </c>
      <c r="L96" s="241">
        <f t="shared" si="25"/>
        <v>0</v>
      </c>
      <c r="M96" s="241">
        <f t="shared" si="25"/>
        <v>0</v>
      </c>
      <c r="N96" s="241">
        <f t="shared" si="25"/>
        <v>0</v>
      </c>
      <c r="O96" s="241">
        <f t="shared" si="25"/>
        <v>0</v>
      </c>
      <c r="P96" s="241">
        <f t="shared" si="25"/>
        <v>0</v>
      </c>
      <c r="Q96" s="241">
        <f t="shared" si="25"/>
        <v>0</v>
      </c>
      <c r="R96" s="241">
        <f t="shared" si="25"/>
        <v>0</v>
      </c>
      <c r="S96" s="241">
        <f t="shared" si="25"/>
        <v>0</v>
      </c>
      <c r="T96" s="241">
        <f t="shared" si="25"/>
        <v>0</v>
      </c>
      <c r="U96" s="241">
        <f t="shared" si="25"/>
        <v>0</v>
      </c>
    </row>
    <row r="97" spans="1:23" outlineLevel="1">
      <c r="A97" s="21" t="s">
        <v>137</v>
      </c>
      <c r="B97" s="231">
        <v>0</v>
      </c>
      <c r="C97" s="231">
        <v>0</v>
      </c>
      <c r="D97" s="231">
        <v>0</v>
      </c>
      <c r="E97" s="231">
        <v>0</v>
      </c>
      <c r="F97" s="231">
        <v>0</v>
      </c>
      <c r="G97" s="231">
        <v>0</v>
      </c>
      <c r="H97" s="231">
        <v>0</v>
      </c>
      <c r="I97" s="231">
        <v>0</v>
      </c>
      <c r="J97" s="231">
        <v>0</v>
      </c>
      <c r="K97" s="231">
        <v>0</v>
      </c>
      <c r="L97" s="231">
        <v>0</v>
      </c>
      <c r="M97" s="231">
        <v>0</v>
      </c>
      <c r="N97" s="231">
        <v>0</v>
      </c>
      <c r="O97" s="231">
        <v>0</v>
      </c>
      <c r="P97" s="231">
        <v>0</v>
      </c>
      <c r="Q97" s="231">
        <v>0</v>
      </c>
      <c r="R97" s="231">
        <v>0</v>
      </c>
      <c r="S97" s="231">
        <v>0</v>
      </c>
      <c r="T97" s="20">
        <f>IF(L96&gt;(SUM(M98:S98)+SUM(L97:S97))*-1,L96-(SUM(L98:S98)+SUM(L97:S97))*-1,0)</f>
        <v>0</v>
      </c>
      <c r="U97" s="20">
        <f>IF(M96&gt;(SUM(N98:T98)+SUM(M97:T97))*-1,M96-(SUM(M98:T98)+SUM(M97:T97))*-1,0)</f>
        <v>0</v>
      </c>
    </row>
    <row r="98" spans="1:23" outlineLevel="1">
      <c r="A98" s="17" t="s">
        <v>138</v>
      </c>
      <c r="B98" s="232">
        <f t="shared" ref="B98:T98" si="26">IF(B93&lt;0,0,IF(B95&gt;B93,-B93,-B95))</f>
        <v>0</v>
      </c>
      <c r="C98" s="232">
        <f t="shared" si="26"/>
        <v>0</v>
      </c>
      <c r="D98" s="232">
        <f t="shared" si="26"/>
        <v>0</v>
      </c>
      <c r="E98" s="232">
        <f t="shared" si="26"/>
        <v>-410.89104882530341</v>
      </c>
      <c r="F98" s="232">
        <f t="shared" si="26"/>
        <v>-410.63788902236752</v>
      </c>
      <c r="G98" s="232">
        <f t="shared" si="26"/>
        <v>0</v>
      </c>
      <c r="H98" s="232">
        <f t="shared" si="26"/>
        <v>0</v>
      </c>
      <c r="I98" s="232">
        <f t="shared" si="26"/>
        <v>0</v>
      </c>
      <c r="J98" s="232">
        <f t="shared" si="26"/>
        <v>0</v>
      </c>
      <c r="K98" s="232">
        <f t="shared" si="26"/>
        <v>0</v>
      </c>
      <c r="L98" s="232">
        <f t="shared" si="26"/>
        <v>0</v>
      </c>
      <c r="M98" s="232">
        <f t="shared" si="26"/>
        <v>0</v>
      </c>
      <c r="N98" s="232">
        <f t="shared" si="26"/>
        <v>0</v>
      </c>
      <c r="O98" s="232">
        <f t="shared" si="26"/>
        <v>0</v>
      </c>
      <c r="P98" s="232">
        <f t="shared" si="26"/>
        <v>0</v>
      </c>
      <c r="Q98" s="232">
        <f t="shared" si="26"/>
        <v>0</v>
      </c>
      <c r="R98" s="232">
        <f t="shared" si="26"/>
        <v>0</v>
      </c>
      <c r="S98" s="232">
        <f t="shared" si="26"/>
        <v>0</v>
      </c>
      <c r="T98" s="232">
        <f t="shared" si="26"/>
        <v>0</v>
      </c>
      <c r="U98" s="232">
        <f>IF(U93&lt;0,0,IF(U95&gt;U93,-U93,-U95))</f>
        <v>0</v>
      </c>
    </row>
    <row r="99" spans="1:23" outlineLevel="1">
      <c r="A99" s="17" t="s">
        <v>139</v>
      </c>
      <c r="B99" s="232">
        <f t="shared" ref="B99:U99" si="27">SUM(B95:B98)</f>
        <v>63.93065981331884</v>
      </c>
      <c r="C99" s="232">
        <f t="shared" si="27"/>
        <v>486.71006494656433</v>
      </c>
      <c r="D99" s="232">
        <f t="shared" si="27"/>
        <v>821.52893784767093</v>
      </c>
      <c r="E99" s="232">
        <f t="shared" si="27"/>
        <v>410.63788902236752</v>
      </c>
      <c r="F99" s="232">
        <f t="shared" si="27"/>
        <v>0</v>
      </c>
      <c r="G99" s="232">
        <f t="shared" si="27"/>
        <v>0</v>
      </c>
      <c r="H99" s="232">
        <f t="shared" si="27"/>
        <v>0</v>
      </c>
      <c r="I99" s="232">
        <f t="shared" si="27"/>
        <v>0</v>
      </c>
      <c r="J99" s="232">
        <f t="shared" si="27"/>
        <v>0</v>
      </c>
      <c r="K99" s="232">
        <f t="shared" si="27"/>
        <v>0</v>
      </c>
      <c r="L99" s="232">
        <f t="shared" si="27"/>
        <v>0</v>
      </c>
      <c r="M99" s="232">
        <f t="shared" si="27"/>
        <v>0</v>
      </c>
      <c r="N99" s="232">
        <f t="shared" si="27"/>
        <v>0</v>
      </c>
      <c r="O99" s="232">
        <f t="shared" si="27"/>
        <v>0</v>
      </c>
      <c r="P99" s="232">
        <f t="shared" si="27"/>
        <v>0</v>
      </c>
      <c r="Q99" s="232">
        <f t="shared" si="27"/>
        <v>0</v>
      </c>
      <c r="R99" s="232">
        <f t="shared" si="27"/>
        <v>0</v>
      </c>
      <c r="S99" s="232">
        <f t="shared" si="27"/>
        <v>0</v>
      </c>
      <c r="T99" s="232">
        <f t="shared" si="27"/>
        <v>0</v>
      </c>
      <c r="U99" s="232">
        <f t="shared" si="27"/>
        <v>0</v>
      </c>
    </row>
    <row r="100" spans="1:23" outlineLevel="1">
      <c r="A100" s="17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</row>
    <row r="101" spans="1:23" ht="13.5" outlineLevel="1" thickBot="1">
      <c r="A101" s="32" t="s">
        <v>131</v>
      </c>
      <c r="B101" s="330">
        <f t="shared" ref="B101:U101" si="28">IF(B93&lt;0,0,B93+B98)</f>
        <v>0</v>
      </c>
      <c r="C101" s="330">
        <f t="shared" si="28"/>
        <v>0</v>
      </c>
      <c r="D101" s="330">
        <f t="shared" si="28"/>
        <v>0</v>
      </c>
      <c r="E101" s="330">
        <f t="shared" si="28"/>
        <v>0</v>
      </c>
      <c r="F101" s="330">
        <f t="shared" si="28"/>
        <v>169.1170781541465</v>
      </c>
      <c r="G101" s="330">
        <f t="shared" si="28"/>
        <v>680.40391787666658</v>
      </c>
      <c r="H101" s="330">
        <f t="shared" si="28"/>
        <v>753.97973592690403</v>
      </c>
      <c r="I101" s="330">
        <f t="shared" si="28"/>
        <v>801.21302450609301</v>
      </c>
      <c r="J101" s="330">
        <f t="shared" si="28"/>
        <v>856.95348729552575</v>
      </c>
      <c r="K101" s="330">
        <f t="shared" si="28"/>
        <v>893.92150663235918</v>
      </c>
      <c r="L101" s="330">
        <f t="shared" si="28"/>
        <v>975.62913217990263</v>
      </c>
      <c r="M101" s="330">
        <f t="shared" si="28"/>
        <v>1060.5663396111588</v>
      </c>
      <c r="N101" s="330">
        <f t="shared" si="28"/>
        <v>1146.0418140275776</v>
      </c>
      <c r="O101" s="330">
        <f t="shared" si="28"/>
        <v>1223.02314662802</v>
      </c>
      <c r="P101" s="330">
        <f t="shared" si="28"/>
        <v>1302.7634293805186</v>
      </c>
      <c r="Q101" s="330">
        <f t="shared" si="28"/>
        <v>1612.9722376975944</v>
      </c>
      <c r="R101" s="330">
        <f t="shared" si="28"/>
        <v>1925.8198829793587</v>
      </c>
      <c r="S101" s="330">
        <f t="shared" si="28"/>
        <v>1996.5017943338714</v>
      </c>
      <c r="T101" s="330">
        <f t="shared" si="28"/>
        <v>2061.2715274561874</v>
      </c>
      <c r="U101" s="330">
        <f t="shared" si="28"/>
        <v>2126.2368590121282</v>
      </c>
      <c r="W101" s="424">
        <f>SUM(B101:U101)</f>
        <v>19586.414913698016</v>
      </c>
    </row>
    <row r="102" spans="1:23" outlineLevel="1">
      <c r="A102" s="7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59"/>
      <c r="M102" s="59"/>
      <c r="N102" s="59"/>
      <c r="O102" s="59"/>
      <c r="P102" s="59"/>
      <c r="Q102" s="59"/>
      <c r="R102" s="59"/>
      <c r="S102" s="59"/>
      <c r="T102" s="59"/>
      <c r="U102" s="59"/>
    </row>
    <row r="103" spans="1:23" ht="15.75" outlineLevel="1">
      <c r="A103" s="72"/>
      <c r="B103" s="7"/>
      <c r="C103" s="73"/>
      <c r="D103" s="7"/>
      <c r="E103" s="7"/>
      <c r="F103" s="7"/>
      <c r="G103" s="7"/>
      <c r="H103" s="7"/>
      <c r="I103" s="7"/>
      <c r="J103" s="7"/>
      <c r="K103" s="7"/>
      <c r="L103" s="59"/>
      <c r="M103" s="59"/>
      <c r="N103" s="59"/>
      <c r="O103" s="59"/>
      <c r="P103" s="59"/>
      <c r="Q103" s="59"/>
      <c r="R103" s="59"/>
      <c r="S103" s="59"/>
      <c r="T103" s="59"/>
      <c r="U103" s="59"/>
    </row>
    <row r="104" spans="1:23" outlineLevel="1">
      <c r="A104" s="57"/>
      <c r="B104" s="73"/>
      <c r="C104" s="76"/>
      <c r="D104" s="77"/>
      <c r="E104" s="77"/>
      <c r="F104" s="77"/>
      <c r="G104" s="77"/>
      <c r="H104" s="77"/>
      <c r="I104" s="77"/>
      <c r="J104" s="77"/>
      <c r="K104" s="77"/>
      <c r="L104" s="59"/>
      <c r="M104" s="59"/>
      <c r="N104" s="59"/>
      <c r="O104" s="59"/>
      <c r="P104" s="59"/>
      <c r="Q104" s="59"/>
      <c r="R104" s="59"/>
      <c r="S104" s="59"/>
      <c r="T104" s="59"/>
      <c r="U104" s="59"/>
    </row>
    <row r="105" spans="1:23" outlineLevel="1">
      <c r="A105" s="524"/>
      <c r="B105" s="524"/>
      <c r="C105" s="524"/>
      <c r="D105" s="524"/>
      <c r="E105" s="524"/>
      <c r="F105" s="524"/>
      <c r="G105" s="524"/>
      <c r="H105" s="524"/>
      <c r="I105" s="524"/>
      <c r="J105" s="524"/>
      <c r="K105" s="524"/>
      <c r="L105" s="524"/>
      <c r="M105" s="524"/>
      <c r="N105" s="524"/>
      <c r="O105" s="524"/>
      <c r="P105" s="524"/>
      <c r="Q105" s="524"/>
      <c r="R105" s="524"/>
      <c r="S105" s="524"/>
      <c r="T105" s="524"/>
      <c r="U105" s="524"/>
    </row>
    <row r="106" spans="1:23" outlineLevel="1">
      <c r="A106" s="78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</row>
    <row r="107" spans="1:23" outlineLevel="1">
      <c r="A107" s="527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</row>
    <row r="108" spans="1:23" outlineLevel="1">
      <c r="A108" s="528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</row>
    <row r="109" spans="1:23" outlineLevel="1">
      <c r="A109" s="7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59"/>
      <c r="M109" s="59"/>
      <c r="N109" s="59"/>
      <c r="O109" s="59"/>
      <c r="P109" s="59"/>
      <c r="Q109" s="59"/>
      <c r="R109" s="59"/>
      <c r="S109" s="59"/>
      <c r="T109" s="59"/>
      <c r="U109" s="59"/>
    </row>
    <row r="110" spans="1:23" outlineLevel="1">
      <c r="A110" s="57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59"/>
      <c r="M110" s="59"/>
      <c r="N110" s="59"/>
      <c r="O110" s="59"/>
      <c r="P110" s="59"/>
      <c r="Q110" s="59"/>
      <c r="R110" s="59"/>
      <c r="S110" s="59"/>
      <c r="T110" s="59"/>
      <c r="U110" s="59"/>
    </row>
    <row r="111" spans="1:23" outlineLevel="1">
      <c r="A111" s="5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59"/>
      <c r="M111" s="59"/>
      <c r="N111" s="59"/>
      <c r="O111" s="59"/>
      <c r="P111" s="59"/>
      <c r="Q111" s="59"/>
      <c r="R111" s="59"/>
      <c r="S111" s="59"/>
      <c r="T111" s="59"/>
      <c r="U111" s="59"/>
    </row>
    <row r="112" spans="1:23" outlineLevel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59"/>
      <c r="M112" s="59"/>
      <c r="N112" s="59"/>
      <c r="O112" s="59"/>
      <c r="P112" s="59"/>
      <c r="Q112" s="59"/>
      <c r="R112" s="59"/>
      <c r="S112" s="59"/>
      <c r="T112" s="59"/>
      <c r="U112" s="59"/>
    </row>
    <row r="113" spans="1:21" outlineLevel="1">
      <c r="A113" s="7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59"/>
      <c r="M113" s="59"/>
      <c r="N113" s="59"/>
      <c r="O113" s="59"/>
      <c r="P113" s="59"/>
      <c r="Q113" s="59"/>
      <c r="R113" s="59"/>
      <c r="S113" s="59"/>
      <c r="T113" s="59"/>
      <c r="U113" s="59"/>
    </row>
    <row r="114" spans="1:21" ht="14.25" outlineLevel="1">
      <c r="A114" s="75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</row>
    <row r="115" spans="1:21" outlineLevel="1">
      <c r="A115" s="78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</row>
    <row r="116" spans="1:21" outlineLevel="1">
      <c r="A116" s="7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</row>
    <row r="117" spans="1:21" outlineLevel="1">
      <c r="A117" s="7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</row>
    <row r="118" spans="1:21" outlineLevel="1">
      <c r="A118" s="7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</row>
    <row r="119" spans="1:21" outlineLevel="1">
      <c r="A119" s="7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</row>
    <row r="120" spans="1:21" outlineLevel="1">
      <c r="A120" s="7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</row>
    <row r="121" spans="1:21" outlineLevel="1">
      <c r="A121" s="7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</row>
    <row r="122" spans="1:21" outlineLevel="1">
      <c r="A122" s="7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</row>
    <row r="123" spans="1:21" outlineLevel="1">
      <c r="A123" s="80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</row>
    <row r="124" spans="1:21" outlineLevel="1">
      <c r="A124" s="81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</row>
    <row r="125" spans="1:21" outlineLevel="1">
      <c r="A125" s="7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</row>
    <row r="126" spans="1:21" outlineLevel="1">
      <c r="A126" s="7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</row>
    <row r="127" spans="1:21" outlineLevel="1">
      <c r="A127" s="82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</row>
    <row r="128" spans="1:21" outlineLevel="1">
      <c r="A128" s="82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</row>
    <row r="129" spans="1:21" outlineLevel="1">
      <c r="A129" s="7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</row>
    <row r="130" spans="1:21" outlineLevel="1">
      <c r="A130" s="82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</row>
    <row r="131" spans="1:21" outlineLevel="1">
      <c r="A131" s="7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</row>
    <row r="132" spans="1:21" outlineLevel="1">
      <c r="A132" s="7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</row>
    <row r="133" spans="1:21" outlineLevel="1">
      <c r="A133" s="7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</row>
    <row r="134" spans="1:21" outlineLevel="1">
      <c r="A134" s="82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</row>
    <row r="135" spans="1:21" outlineLevel="1">
      <c r="A135" s="78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</row>
    <row r="136" spans="1:21" outlineLevel="1">
      <c r="A136" s="80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</row>
    <row r="137" spans="1:21" outlineLevel="1">
      <c r="A137" s="80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</row>
    <row r="138" spans="1:21" ht="15" customHeight="1" outlineLevel="1">
      <c r="A138" s="80"/>
      <c r="B138" s="69"/>
      <c r="C138" s="6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</row>
    <row r="139" spans="1:21" outlineLevel="1">
      <c r="A139" s="80"/>
      <c r="B139" s="69"/>
      <c r="C139" s="6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</row>
    <row r="140" spans="1:21" ht="14.25" customHeight="1" outlineLevel="1">
      <c r="A140" s="80"/>
      <c r="B140" s="69"/>
      <c r="C140" s="6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</row>
    <row r="141" spans="1:21" outlineLevel="1">
      <c r="A141" s="80"/>
      <c r="B141" s="69"/>
      <c r="C141" s="6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</row>
    <row r="142" spans="1:21" outlineLevel="1">
      <c r="A142" s="80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</row>
    <row r="143" spans="1:21" outlineLevel="1">
      <c r="A143" s="83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</row>
    <row r="144" spans="1:21" outlineLevel="1">
      <c r="A144" s="83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</row>
    <row r="145" spans="1:21" outlineLevel="1">
      <c r="A145" s="83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</row>
    <row r="146" spans="1:21" outlineLevel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</row>
    <row r="147" spans="1:21" outlineLevel="1">
      <c r="A147" s="7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</row>
    <row r="148" spans="1:21" outlineLevel="1">
      <c r="A148" s="7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</row>
    <row r="149" spans="1:21" outlineLevel="1">
      <c r="A149" s="7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</row>
    <row r="150" spans="1:21" ht="18.75" outlineLevel="1">
      <c r="A150" s="84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</row>
    <row r="151" spans="1:21" outlineLevel="1">
      <c r="A151" s="57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</row>
    <row r="152" spans="1:21" outlineLevel="1">
      <c r="A152" s="57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</row>
    <row r="153" spans="1:21" outlineLevel="1">
      <c r="A153" s="7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</row>
    <row r="154" spans="1:21" outlineLevel="1">
      <c r="A154" s="7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</row>
    <row r="155" spans="1:21" outlineLevel="1">
      <c r="A155" s="2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</row>
    <row r="156" spans="1:21" outlineLevel="1">
      <c r="A156" s="80"/>
      <c r="B156" s="69"/>
      <c r="C156" s="6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</row>
    <row r="157" spans="1:21" outlineLevel="1">
      <c r="A157" s="79"/>
      <c r="B157" s="69"/>
      <c r="C157" s="6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</row>
    <row r="158" spans="1:21" outlineLevel="1">
      <c r="A158" s="79"/>
      <c r="B158" s="69"/>
      <c r="C158" s="6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</row>
    <row r="159" spans="1:21" outlineLevel="1">
      <c r="A159" s="78"/>
      <c r="B159" s="69"/>
      <c r="C159" s="6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</row>
    <row r="160" spans="1:21" outlineLevel="1">
      <c r="A160" s="69"/>
      <c r="B160" s="69"/>
      <c r="C160" s="6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</row>
    <row r="161" spans="1:21" outlineLevel="1">
      <c r="A161" s="80"/>
      <c r="B161" s="69"/>
      <c r="C161" s="6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</row>
    <row r="162" spans="1:21" outlineLevel="1">
      <c r="A162" s="79"/>
      <c r="B162" s="69"/>
      <c r="C162" s="6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</row>
    <row r="163" spans="1:21" outlineLevel="1">
      <c r="A163" s="79"/>
      <c r="B163" s="69"/>
      <c r="C163" s="6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</row>
    <row r="164" spans="1:21" outlineLevel="1">
      <c r="A164" s="79"/>
      <c r="B164" s="69"/>
      <c r="C164" s="6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</row>
    <row r="165" spans="1:21" outlineLevel="1">
      <c r="A165" s="79"/>
      <c r="B165" s="69"/>
      <c r="C165" s="6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</row>
    <row r="166" spans="1:21" outlineLevel="1">
      <c r="A166" s="69"/>
      <c r="B166" s="69"/>
      <c r="C166" s="6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</row>
    <row r="167" spans="1:21" outlineLevel="1">
      <c r="A167" s="80"/>
      <c r="B167" s="69"/>
      <c r="C167" s="6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</row>
    <row r="168" spans="1:21" outlineLevel="1">
      <c r="A168" s="69"/>
      <c r="B168" s="69"/>
      <c r="C168" s="6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</row>
    <row r="169" spans="1:21" outlineLevel="1">
      <c r="A169" s="80"/>
      <c r="B169" s="69"/>
      <c r="C169" s="6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</row>
    <row r="170" spans="1:21" outlineLevel="1">
      <c r="A170" s="79"/>
      <c r="B170" s="69"/>
      <c r="C170" s="6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</row>
    <row r="171" spans="1:21" outlineLevel="1">
      <c r="A171" s="80"/>
      <c r="B171" s="69"/>
      <c r="C171" s="6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</row>
    <row r="172" spans="1:21" outlineLevel="1">
      <c r="A172" s="82"/>
      <c r="B172" s="69"/>
      <c r="C172" s="6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</row>
    <row r="173" spans="1:21" outlineLevel="1">
      <c r="A173" s="79"/>
      <c r="B173" s="69"/>
      <c r="C173" s="6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</row>
    <row r="174" spans="1:21" outlineLevel="1">
      <c r="A174" s="78"/>
      <c r="B174" s="69"/>
      <c r="C174" s="6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</row>
    <row r="175" spans="1:21" outlineLevel="1">
      <c r="A175" s="79"/>
      <c r="B175" s="69"/>
      <c r="C175" s="6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</row>
    <row r="176" spans="1:21" outlineLevel="1">
      <c r="A176" s="78"/>
      <c r="B176" s="69"/>
      <c r="C176" s="6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</row>
    <row r="177" spans="1:21" outlineLevel="1">
      <c r="A177" s="79"/>
      <c r="B177" s="69"/>
      <c r="C177" s="6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</row>
    <row r="178" spans="1:21" outlineLevel="1">
      <c r="A178" s="79"/>
      <c r="B178" s="69"/>
      <c r="C178" s="6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</row>
    <row r="179" spans="1:21" outlineLevel="1">
      <c r="A179" s="79"/>
      <c r="B179" s="69"/>
      <c r="C179" s="6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</row>
    <row r="180" spans="1:21" outlineLevel="1">
      <c r="A180" s="79"/>
      <c r="B180" s="69"/>
      <c r="C180" s="6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</row>
    <row r="181" spans="1:21" outlineLevel="1">
      <c r="A181" s="79"/>
      <c r="B181" s="69"/>
      <c r="C181" s="6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</row>
    <row r="182" spans="1:21" outlineLevel="1">
      <c r="A182" s="79"/>
      <c r="B182" s="69"/>
      <c r="C182" s="6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</row>
    <row r="183" spans="1:21" outlineLevel="1">
      <c r="A183" s="80"/>
      <c r="B183" s="69"/>
      <c r="C183" s="6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</row>
    <row r="184" spans="1:21" outlineLevel="1">
      <c r="A184" s="81"/>
      <c r="B184" s="69"/>
      <c r="C184" s="6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</row>
    <row r="185" spans="1:21" outlineLevel="1">
      <c r="A185" s="79"/>
      <c r="B185" s="69"/>
      <c r="C185" s="6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</row>
    <row r="186" spans="1:21" outlineLevel="1">
      <c r="A186" s="82"/>
      <c r="B186" s="69"/>
      <c r="C186" s="6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</row>
    <row r="187" spans="1:21" outlineLevel="1">
      <c r="A187" s="82"/>
      <c r="B187" s="69"/>
      <c r="C187" s="6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</row>
    <row r="188" spans="1:21" outlineLevel="1">
      <c r="A188" s="79"/>
      <c r="B188" s="69"/>
      <c r="C188" s="6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</row>
    <row r="189" spans="1:21" outlineLevel="1">
      <c r="A189" s="79"/>
      <c r="B189" s="69"/>
      <c r="C189" s="6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</row>
    <row r="190" spans="1:21" outlineLevel="1">
      <c r="A190" s="78"/>
      <c r="B190" s="69"/>
      <c r="C190" s="6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</row>
    <row r="191" spans="1:21" outlineLevel="1">
      <c r="A191" s="80"/>
      <c r="B191" s="69"/>
      <c r="C191" s="6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</row>
    <row r="192" spans="1:21" outlineLevel="1">
      <c r="A192" s="80"/>
      <c r="B192" s="69"/>
      <c r="C192" s="6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</row>
    <row r="193" spans="1:21" outlineLevel="1">
      <c r="A193" s="80"/>
      <c r="B193" s="69"/>
      <c r="C193" s="6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</row>
    <row r="194" spans="1:21" outlineLevel="1">
      <c r="A194" s="80"/>
      <c r="B194" s="69"/>
      <c r="C194" s="6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</row>
    <row r="195" spans="1:21" outlineLevel="1">
      <c r="A195" s="80"/>
      <c r="B195" s="69"/>
      <c r="C195" s="6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</row>
    <row r="196" spans="1:21" outlineLevel="1">
      <c r="A196" s="80"/>
      <c r="B196" s="69"/>
      <c r="C196" s="6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</row>
    <row r="197" spans="1:21" outlineLevel="1">
      <c r="A197" s="80"/>
      <c r="B197" s="69"/>
      <c r="C197" s="6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</row>
    <row r="198" spans="1:21" outlineLevel="1">
      <c r="A198" s="7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</row>
    <row r="199" spans="1:21" outlineLevel="1">
      <c r="A199" s="7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</row>
    <row r="200" spans="1:21" outlineLevel="1">
      <c r="A200" s="7"/>
      <c r="B200" s="7"/>
      <c r="C200" s="7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</row>
    <row r="201" spans="1:21" ht="18.75" outlineLevel="1">
      <c r="A201" s="8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</row>
    <row r="202" spans="1:21" outlineLevel="1">
      <c r="A202" s="5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spans="1:21" outlineLevel="1">
      <c r="A203" s="5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 spans="1:21" outlineLevel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 spans="1:21" outlineLevel="1">
      <c r="A205" s="2"/>
      <c r="B205" s="9"/>
      <c r="C205" s="9"/>
      <c r="D205" s="9"/>
      <c r="E205" s="9"/>
      <c r="F205" s="9"/>
      <c r="G205" s="9"/>
      <c r="H205" s="9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</row>
    <row r="206" spans="1:21" outlineLevel="1">
      <c r="A206" s="5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spans="1:21" outlineLevel="1">
      <c r="A207" s="86"/>
      <c r="B207" s="87"/>
      <c r="C207" s="87"/>
      <c r="D207" s="87"/>
      <c r="E207" s="87"/>
      <c r="F207" s="87"/>
      <c r="G207" s="87"/>
      <c r="H207" s="87"/>
      <c r="I207" s="7"/>
      <c r="J207" s="8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</row>
    <row r="208" spans="1:21" outlineLevel="1">
      <c r="A208" s="86"/>
      <c r="B208" s="87"/>
      <c r="C208" s="87"/>
      <c r="D208" s="87"/>
      <c r="E208" s="87"/>
      <c r="F208" s="87"/>
      <c r="G208" s="87"/>
      <c r="H208" s="87"/>
      <c r="I208" s="7"/>
      <c r="J208" s="8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spans="1:21" outlineLevel="1">
      <c r="A209" s="86"/>
      <c r="B209" s="87"/>
      <c r="C209" s="87"/>
      <c r="D209" s="87"/>
      <c r="E209" s="87"/>
      <c r="F209" s="87"/>
      <c r="G209" s="87"/>
      <c r="H209" s="87"/>
      <c r="I209" s="7"/>
      <c r="J209" s="8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 spans="1:21" outlineLevel="1">
      <c r="A210" s="86"/>
      <c r="B210" s="87"/>
      <c r="C210" s="87"/>
      <c r="D210" s="87"/>
      <c r="E210" s="87"/>
      <c r="F210" s="87"/>
      <c r="G210" s="87"/>
      <c r="H210" s="87"/>
      <c r="I210" s="7"/>
      <c r="J210" s="8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spans="1:21" outlineLevel="1">
      <c r="A211" s="86"/>
      <c r="B211" s="87"/>
      <c r="C211" s="87"/>
      <c r="D211" s="87"/>
      <c r="E211" s="87"/>
      <c r="F211" s="87"/>
      <c r="G211" s="87"/>
      <c r="H211" s="87"/>
      <c r="I211" s="7"/>
      <c r="J211" s="8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 spans="1:21" outlineLevel="1">
      <c r="A212" s="7"/>
      <c r="B212" s="87"/>
      <c r="C212" s="87"/>
      <c r="D212" s="87"/>
      <c r="E212" s="87"/>
      <c r="F212" s="87"/>
      <c r="G212" s="87"/>
      <c r="H212" s="87"/>
      <c r="I212" s="7"/>
      <c r="J212" s="8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spans="1:21" outlineLevel="1">
      <c r="A213" s="57"/>
      <c r="B213" s="87"/>
      <c r="C213" s="87"/>
      <c r="D213" s="87"/>
      <c r="E213" s="87"/>
      <c r="F213" s="87"/>
      <c r="G213" s="87"/>
      <c r="H213" s="87"/>
      <c r="I213" s="7"/>
      <c r="J213" s="8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spans="1:21" outlineLevel="1">
      <c r="A214" s="86"/>
      <c r="B214" s="87"/>
      <c r="C214" s="87"/>
      <c r="D214" s="87"/>
      <c r="E214" s="87"/>
      <c r="F214" s="87"/>
      <c r="G214" s="87"/>
      <c r="H214" s="87"/>
      <c r="I214" s="7"/>
      <c r="J214" s="8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21" outlineLevel="1">
      <c r="A215" s="86"/>
      <c r="B215" s="87"/>
      <c r="C215" s="87"/>
      <c r="D215" s="87"/>
      <c r="E215" s="87"/>
      <c r="F215" s="87"/>
      <c r="G215" s="87"/>
      <c r="H215" s="87"/>
      <c r="I215" s="7"/>
      <c r="J215" s="8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spans="1:21" outlineLevel="1">
      <c r="A216" s="86"/>
      <c r="B216" s="87"/>
      <c r="C216" s="87"/>
      <c r="D216" s="87"/>
      <c r="E216" s="87"/>
      <c r="F216" s="87"/>
      <c r="G216" s="87"/>
      <c r="H216" s="87"/>
      <c r="I216" s="7"/>
      <c r="J216" s="8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spans="1:21" outlineLevel="1">
      <c r="A217" s="86"/>
      <c r="B217" s="87"/>
      <c r="C217" s="87"/>
      <c r="D217" s="87"/>
      <c r="E217" s="87"/>
      <c r="F217" s="87"/>
      <c r="G217" s="87"/>
      <c r="H217" s="87"/>
      <c r="I217" s="7"/>
      <c r="J217" s="8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</row>
    <row r="218" spans="1:21" outlineLevel="1">
      <c r="A218" s="86"/>
      <c r="B218" s="87"/>
      <c r="C218" s="87"/>
      <c r="D218" s="87"/>
      <c r="E218" s="87"/>
      <c r="F218" s="87"/>
      <c r="G218" s="87"/>
      <c r="H218" s="87"/>
      <c r="I218" s="7"/>
      <c r="J218" s="8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 outlineLevel="1">
      <c r="A219" s="86"/>
      <c r="B219" s="87"/>
      <c r="C219" s="87"/>
      <c r="D219" s="87"/>
      <c r="E219" s="87"/>
      <c r="F219" s="87"/>
      <c r="G219" s="87"/>
      <c r="H219" s="87"/>
      <c r="I219" s="7"/>
      <c r="J219" s="8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</row>
    <row r="220" spans="1:21" outlineLevel="1">
      <c r="A220" s="86"/>
      <c r="B220" s="87"/>
      <c r="C220" s="87"/>
      <c r="D220" s="87"/>
      <c r="E220" s="87"/>
      <c r="F220" s="87"/>
      <c r="G220" s="87"/>
      <c r="H220" s="87"/>
      <c r="I220" s="7"/>
      <c r="J220" s="8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 spans="1:21" outlineLevel="1">
      <c r="A221" s="86"/>
      <c r="B221" s="87"/>
      <c r="C221" s="87"/>
      <c r="D221" s="87"/>
      <c r="E221" s="87"/>
      <c r="F221" s="87"/>
      <c r="G221" s="87"/>
      <c r="H221" s="87"/>
      <c r="I221" s="7"/>
      <c r="J221" s="8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</row>
    <row r="222" spans="1:21" outlineLevel="1">
      <c r="A222" s="86"/>
      <c r="B222" s="87"/>
      <c r="C222" s="87"/>
      <c r="D222" s="87"/>
      <c r="E222" s="87"/>
      <c r="F222" s="87"/>
      <c r="G222" s="87"/>
      <c r="H222" s="87"/>
      <c r="I222" s="7"/>
      <c r="J222" s="8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21" outlineLevel="1">
      <c r="A223" s="86"/>
      <c r="B223" s="87"/>
      <c r="C223" s="87"/>
      <c r="D223" s="87"/>
      <c r="E223" s="87"/>
      <c r="F223" s="87"/>
      <c r="G223" s="87"/>
      <c r="H223" s="87"/>
      <c r="I223" s="7"/>
      <c r="J223" s="8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 spans="1:21" outlineLevel="1">
      <c r="A224" s="86"/>
      <c r="B224" s="87"/>
      <c r="C224" s="87"/>
      <c r="D224" s="87"/>
      <c r="E224" s="87"/>
      <c r="F224" s="87"/>
      <c r="G224" s="87"/>
      <c r="H224" s="87"/>
      <c r="I224" s="7"/>
      <c r="J224" s="8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</row>
    <row r="225" spans="1:21" outlineLevel="1">
      <c r="A225" s="57"/>
      <c r="B225" s="87"/>
      <c r="C225" s="87"/>
      <c r="D225" s="87"/>
      <c r="E225" s="87"/>
      <c r="F225" s="87"/>
      <c r="G225" s="87"/>
      <c r="H225" s="87"/>
      <c r="I225" s="7"/>
      <c r="J225" s="8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 spans="1:21" outlineLevel="1">
      <c r="A226" s="86"/>
      <c r="B226" s="87"/>
      <c r="C226" s="87"/>
      <c r="D226" s="87"/>
      <c r="E226" s="87"/>
      <c r="F226" s="87"/>
      <c r="G226" s="87"/>
      <c r="H226" s="87"/>
      <c r="I226" s="7"/>
      <c r="J226" s="8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 outlineLevel="1">
      <c r="A227" s="86"/>
      <c r="B227" s="87"/>
      <c r="C227" s="87"/>
      <c r="D227" s="87"/>
      <c r="E227" s="87"/>
      <c r="F227" s="87"/>
      <c r="G227" s="87"/>
      <c r="H227" s="87"/>
      <c r="I227" s="7"/>
      <c r="J227" s="8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 spans="1:21" outlineLevel="1">
      <c r="A228" s="57"/>
      <c r="B228" s="87"/>
      <c r="C228" s="87"/>
      <c r="D228" s="87"/>
      <c r="E228" s="87"/>
      <c r="F228" s="87"/>
      <c r="G228" s="87"/>
      <c r="H228" s="87"/>
      <c r="I228" s="7"/>
      <c r="J228" s="8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spans="1:21" outlineLevel="1">
      <c r="A229" s="57"/>
      <c r="B229" s="87"/>
      <c r="C229" s="87"/>
      <c r="D229" s="87"/>
      <c r="E229" s="87"/>
      <c r="F229" s="87"/>
      <c r="G229" s="87"/>
      <c r="H229" s="87"/>
      <c r="I229" s="7"/>
      <c r="J229" s="8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 spans="1:21" outlineLevel="1">
      <c r="A230" s="7"/>
      <c r="B230" s="87"/>
      <c r="C230" s="87"/>
      <c r="D230" s="87"/>
      <c r="E230" s="87"/>
      <c r="F230" s="87"/>
      <c r="G230" s="87"/>
      <c r="H230" s="87"/>
      <c r="I230" s="7"/>
      <c r="J230" s="8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 outlineLevel="1">
      <c r="A231" s="7"/>
      <c r="B231" s="87"/>
      <c r="C231" s="87"/>
      <c r="D231" s="87"/>
      <c r="E231" s="87"/>
      <c r="F231" s="87"/>
      <c r="G231" s="87"/>
      <c r="H231" s="87"/>
      <c r="I231" s="7"/>
      <c r="J231" s="8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 spans="1:21" outlineLevel="1">
      <c r="A232" s="57"/>
      <c r="B232" s="87"/>
      <c r="C232" s="87"/>
      <c r="D232" s="87"/>
      <c r="E232" s="87"/>
      <c r="F232" s="87"/>
      <c r="G232" s="87"/>
      <c r="H232" s="87"/>
      <c r="I232" s="7"/>
      <c r="J232" s="8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 outlineLevel="1">
      <c r="A233" s="86"/>
      <c r="B233" s="87"/>
      <c r="C233" s="87"/>
      <c r="D233" s="87"/>
      <c r="E233" s="87"/>
      <c r="F233" s="87"/>
      <c r="G233" s="87"/>
      <c r="H233" s="87"/>
      <c r="I233" s="7"/>
      <c r="J233" s="8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</row>
    <row r="234" spans="1:21" outlineLevel="1">
      <c r="A234" s="57"/>
      <c r="B234" s="87"/>
      <c r="C234" s="87"/>
      <c r="D234" s="87"/>
      <c r="E234" s="87"/>
      <c r="F234" s="87"/>
      <c r="G234" s="87"/>
      <c r="H234" s="87"/>
      <c r="I234" s="7"/>
      <c r="J234" s="8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 spans="1:21" outlineLevel="1">
      <c r="A235" s="7"/>
      <c r="B235" s="87"/>
      <c r="C235" s="87"/>
      <c r="D235" s="87"/>
      <c r="E235" s="87"/>
      <c r="F235" s="87"/>
      <c r="G235" s="87"/>
      <c r="H235" s="87"/>
      <c r="I235" s="7"/>
      <c r="J235" s="8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 spans="1:21" outlineLevel="1">
      <c r="A236" s="57"/>
      <c r="B236" s="87"/>
      <c r="C236" s="87"/>
      <c r="D236" s="87"/>
      <c r="E236" s="87"/>
      <c r="F236" s="87"/>
      <c r="G236" s="87"/>
      <c r="H236" s="87"/>
      <c r="I236" s="7"/>
      <c r="J236" s="8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 outlineLevel="1">
      <c r="A237" s="86"/>
      <c r="B237" s="87"/>
      <c r="C237" s="87"/>
      <c r="D237" s="87"/>
      <c r="E237" s="87"/>
      <c r="F237" s="87"/>
      <c r="G237" s="87"/>
      <c r="H237" s="87"/>
      <c r="I237" s="7"/>
      <c r="J237" s="8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 spans="1:21" outlineLevel="1">
      <c r="A238" s="86"/>
      <c r="B238" s="87"/>
      <c r="C238" s="87"/>
      <c r="D238" s="87"/>
      <c r="E238" s="87"/>
      <c r="F238" s="87"/>
      <c r="G238" s="87"/>
      <c r="H238" s="87"/>
      <c r="I238" s="7"/>
      <c r="J238" s="8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 spans="1:21" outlineLevel="1">
      <c r="A239" s="86"/>
      <c r="B239" s="87"/>
      <c r="C239" s="87"/>
      <c r="D239" s="87"/>
      <c r="E239" s="87"/>
      <c r="F239" s="87"/>
      <c r="G239" s="87"/>
      <c r="H239" s="87"/>
      <c r="I239" s="7"/>
      <c r="J239" s="8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</row>
    <row r="240" spans="1:21" outlineLevel="1">
      <c r="A240" s="86"/>
      <c r="B240" s="87"/>
      <c r="C240" s="87"/>
      <c r="D240" s="87"/>
      <c r="E240" s="87"/>
      <c r="F240" s="87"/>
      <c r="G240" s="87"/>
      <c r="H240" s="87"/>
      <c r="I240" s="7"/>
      <c r="J240" s="8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 outlineLevel="1">
      <c r="A241" s="86"/>
      <c r="B241" s="87"/>
      <c r="C241" s="87"/>
      <c r="D241" s="87"/>
      <c r="E241" s="87"/>
      <c r="F241" s="87"/>
      <c r="G241" s="87"/>
      <c r="H241" s="87"/>
      <c r="I241" s="7"/>
      <c r="J241" s="8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 spans="1:21" outlineLevel="1">
      <c r="A242" s="86"/>
      <c r="B242" s="87"/>
      <c r="C242" s="87"/>
      <c r="D242" s="87"/>
      <c r="E242" s="87"/>
      <c r="F242" s="87"/>
      <c r="G242" s="87"/>
      <c r="H242" s="87"/>
      <c r="I242" s="7"/>
      <c r="J242" s="8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 spans="1:21" outlineLevel="1">
      <c r="A243" s="57"/>
      <c r="B243" s="87"/>
      <c r="C243" s="87"/>
      <c r="D243" s="87"/>
      <c r="E243" s="87"/>
      <c r="F243" s="87"/>
      <c r="G243" s="87"/>
      <c r="H243" s="87"/>
      <c r="I243" s="7"/>
      <c r="J243" s="8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 spans="1:21" outlineLevel="1">
      <c r="A244" s="57"/>
      <c r="B244" s="87"/>
      <c r="C244" s="87"/>
      <c r="D244" s="87"/>
      <c r="E244" s="87"/>
      <c r="F244" s="87"/>
      <c r="G244" s="87"/>
      <c r="H244" s="87"/>
      <c r="I244" s="7"/>
      <c r="J244" s="8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 outlineLevel="1">
      <c r="A245" s="7"/>
      <c r="B245" s="87"/>
      <c r="C245" s="87"/>
      <c r="D245" s="87"/>
      <c r="E245" s="87"/>
      <c r="F245" s="87"/>
      <c r="G245" s="87"/>
      <c r="H245" s="87"/>
      <c r="I245" s="7"/>
      <c r="J245" s="8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 spans="1:21" outlineLevel="1">
      <c r="A246" s="57"/>
      <c r="B246" s="87"/>
      <c r="C246" s="87"/>
      <c r="D246" s="87"/>
      <c r="E246" s="87"/>
      <c r="F246" s="87"/>
      <c r="G246" s="87"/>
      <c r="H246" s="87"/>
      <c r="I246" s="7"/>
      <c r="J246" s="8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spans="1:21" outlineLevel="1">
      <c r="A247" s="57"/>
      <c r="B247" s="87"/>
      <c r="C247" s="87"/>
      <c r="D247" s="87"/>
      <c r="E247" s="87"/>
      <c r="F247" s="87"/>
      <c r="G247" s="87"/>
      <c r="H247" s="87"/>
      <c r="I247" s="7"/>
      <c r="J247" s="8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</row>
    <row r="248" spans="1:21" outlineLevel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 outlineLevel="1">
      <c r="A249" s="57"/>
      <c r="B249" s="7"/>
      <c r="C249" s="59"/>
      <c r="D249" s="59"/>
      <c r="E249" s="59"/>
      <c r="F249" s="59"/>
      <c r="G249" s="59"/>
      <c r="H249" s="59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 spans="1:21" outlineLevel="1">
      <c r="A250" s="57"/>
      <c r="B250" s="7"/>
      <c r="C250" s="59"/>
      <c r="D250" s="59"/>
      <c r="E250" s="59"/>
      <c r="F250" s="59"/>
      <c r="G250" s="59"/>
      <c r="H250" s="59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spans="1:21" outlineLevel="1">
      <c r="A251" s="57"/>
      <c r="B251" s="7"/>
      <c r="C251" s="59"/>
      <c r="D251" s="59"/>
      <c r="E251" s="59"/>
      <c r="F251" s="59"/>
      <c r="G251" s="59"/>
      <c r="H251" s="59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</row>
    <row r="252" spans="1:21" outlineLevel="1">
      <c r="A252" s="57"/>
      <c r="B252" s="7"/>
      <c r="C252" s="59"/>
      <c r="D252" s="59"/>
      <c r="E252" s="59"/>
      <c r="F252" s="59"/>
      <c r="G252" s="59"/>
      <c r="H252" s="59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 outlineLevel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 spans="1:21" ht="18.75" outlineLevel="1">
      <c r="A254" s="84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 outlineLevel="1">
      <c r="A255" s="5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 spans="1:21" outlineLevel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 outlineLevel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 spans="1:21" s="90" customFormat="1" outlineLevel="1">
      <c r="A258" s="89"/>
    </row>
    <row r="259" spans="1:21" outlineLevel="1">
      <c r="A259" s="5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</row>
    <row r="260" spans="1:21" outlineLevel="1">
      <c r="A260" s="57"/>
      <c r="B260" s="7"/>
      <c r="C260" s="91"/>
      <c r="D260" s="91"/>
      <c r="E260" s="91"/>
      <c r="F260" s="91"/>
      <c r="G260" s="91"/>
      <c r="H260" s="91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 outlineLevel="1">
      <c r="A261" s="57"/>
      <c r="B261" s="7"/>
      <c r="C261" s="91"/>
      <c r="D261" s="91"/>
      <c r="E261" s="91"/>
      <c r="F261" s="91"/>
      <c r="G261" s="91"/>
      <c r="H261" s="91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</row>
    <row r="262" spans="1:21" outlineLevel="1">
      <c r="A262" s="7"/>
      <c r="B262" s="7"/>
      <c r="C262" s="93"/>
      <c r="D262" s="93"/>
      <c r="E262" s="93"/>
      <c r="F262" s="93"/>
      <c r="G262" s="93"/>
      <c r="H262" s="93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 outlineLevel="1">
      <c r="A263" s="5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 spans="1:21" outlineLevel="1">
      <c r="A264" s="89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 outlineLevel="1">
      <c r="A265" s="94"/>
      <c r="B265" s="7"/>
      <c r="C265" s="59"/>
      <c r="D265" s="59"/>
      <c r="E265" s="59"/>
      <c r="F265" s="59"/>
      <c r="G265" s="59"/>
      <c r="H265" s="59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 spans="1:21" outlineLevel="1">
      <c r="A266" s="94"/>
      <c r="B266" s="7"/>
      <c r="C266" s="59"/>
      <c r="D266" s="59"/>
      <c r="E266" s="59"/>
      <c r="F266" s="59"/>
      <c r="G266" s="59"/>
      <c r="H266" s="59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spans="1:21" outlineLevel="1">
      <c r="A267" s="94"/>
      <c r="B267" s="7"/>
      <c r="C267" s="59"/>
      <c r="D267" s="59"/>
      <c r="E267" s="59"/>
      <c r="F267" s="59"/>
      <c r="G267" s="59"/>
      <c r="H267" s="59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</row>
    <row r="268" spans="1:21" outlineLevel="1">
      <c r="A268" s="94"/>
      <c r="B268" s="7"/>
      <c r="C268" s="59"/>
      <c r="D268" s="59"/>
      <c r="E268" s="59"/>
      <c r="F268" s="59"/>
      <c r="G268" s="59"/>
      <c r="H268" s="59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 outlineLevel="1">
      <c r="A269" s="94"/>
      <c r="B269" s="7"/>
      <c r="C269" s="91"/>
      <c r="D269" s="91"/>
      <c r="E269" s="91"/>
      <c r="F269" s="91"/>
      <c r="G269" s="91"/>
      <c r="H269" s="91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 spans="1:21" outlineLevel="1">
      <c r="A270" s="57"/>
      <c r="B270" s="7"/>
      <c r="C270" s="95"/>
      <c r="D270" s="95"/>
      <c r="E270" s="95"/>
      <c r="F270" s="95"/>
      <c r="G270" s="95"/>
      <c r="H270" s="95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spans="1:21" outlineLevel="1">
      <c r="A271" s="94"/>
      <c r="B271" s="7"/>
      <c r="C271" s="96"/>
      <c r="D271" s="96"/>
      <c r="E271" s="96"/>
      <c r="F271" s="96"/>
      <c r="G271" s="96"/>
      <c r="H271" s="96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</row>
    <row r="272" spans="1:21" outlineLevel="1">
      <c r="A272" s="94"/>
      <c r="B272" s="7"/>
      <c r="C272" s="96"/>
      <c r="D272" s="96"/>
      <c r="E272" s="96"/>
      <c r="F272" s="96"/>
      <c r="G272" s="96"/>
      <c r="H272" s="96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1" outlineLevel="1">
      <c r="A273" s="94"/>
      <c r="B273" s="7"/>
      <c r="C273" s="96"/>
      <c r="D273" s="96"/>
      <c r="E273" s="96"/>
      <c r="F273" s="96"/>
      <c r="G273" s="96"/>
      <c r="H273" s="96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 spans="1:21" outlineLevel="1">
      <c r="A274" s="94"/>
      <c r="B274" s="7"/>
      <c r="C274" s="96"/>
      <c r="D274" s="96"/>
      <c r="E274" s="96"/>
      <c r="F274" s="96"/>
      <c r="G274" s="96"/>
      <c r="H274" s="96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 spans="1:21" outlineLevel="1">
      <c r="A275" s="94"/>
      <c r="B275" s="7"/>
      <c r="C275" s="95"/>
      <c r="D275" s="95"/>
      <c r="E275" s="95"/>
      <c r="F275" s="95"/>
      <c r="G275" s="95"/>
      <c r="H275" s="95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 spans="1:21" outlineLevel="1">
      <c r="A276" s="5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spans="1:21" outlineLevel="1">
      <c r="A277" s="7"/>
      <c r="B277" s="7"/>
      <c r="C277" s="59"/>
      <c r="D277" s="59"/>
      <c r="E277" s="59"/>
      <c r="F277" s="59"/>
      <c r="G277" s="59"/>
      <c r="H277" s="59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 spans="1:21" outlineLevel="1">
      <c r="A278" s="7"/>
      <c r="B278" s="7"/>
      <c r="C278" s="59"/>
      <c r="D278" s="59"/>
      <c r="E278" s="59"/>
      <c r="F278" s="59"/>
      <c r="G278" s="59"/>
      <c r="H278" s="59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 spans="1:21" outlineLevel="1">
      <c r="A279" s="7"/>
      <c r="B279" s="7"/>
      <c r="C279" s="59"/>
      <c r="D279" s="59"/>
      <c r="E279" s="59"/>
      <c r="F279" s="59"/>
      <c r="G279" s="59"/>
      <c r="H279" s="59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 spans="1:21" outlineLevel="1">
      <c r="A280" s="7"/>
      <c r="B280" s="97"/>
      <c r="C280" s="59"/>
      <c r="D280" s="59"/>
      <c r="E280" s="59"/>
      <c r="F280" s="59"/>
      <c r="G280" s="59"/>
      <c r="H280" s="59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spans="1:21" outlineLevel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</row>
    <row r="282" spans="1:21" outlineLevel="1">
      <c r="A282" s="5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spans="1:21" outlineLevel="1">
      <c r="A283" s="7"/>
      <c r="B283" s="7"/>
      <c r="C283" s="91"/>
      <c r="D283" s="91"/>
      <c r="E283" s="91"/>
      <c r="F283" s="91"/>
      <c r="G283" s="91"/>
      <c r="H283" s="91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 spans="1:21" outlineLevel="1">
      <c r="A284" s="94"/>
      <c r="B284" s="7"/>
      <c r="C284" s="91"/>
      <c r="D284" s="91"/>
      <c r="E284" s="91"/>
      <c r="F284" s="91"/>
      <c r="G284" s="91"/>
      <c r="H284" s="91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spans="1:21" outlineLevel="1">
      <c r="A285" s="94"/>
      <c r="B285" s="7"/>
      <c r="C285" s="91"/>
      <c r="D285" s="91"/>
      <c r="E285" s="91"/>
      <c r="F285" s="91"/>
      <c r="G285" s="91"/>
      <c r="H285" s="91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 spans="1:21" outlineLevel="1">
      <c r="A286" s="94"/>
      <c r="B286" s="97"/>
      <c r="C286" s="91"/>
      <c r="D286" s="91"/>
      <c r="E286" s="91"/>
      <c r="F286" s="91"/>
      <c r="G286" s="91"/>
      <c r="H286" s="91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1" outlineLevel="1">
      <c r="A287" s="7"/>
      <c r="B287" s="7"/>
      <c r="C287" s="91"/>
      <c r="D287" s="91"/>
      <c r="E287" s="91"/>
      <c r="F287" s="91"/>
      <c r="G287" s="91"/>
      <c r="H287" s="91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 spans="1:21" outlineLevel="1">
      <c r="A288" s="7"/>
      <c r="B288" s="7"/>
      <c r="C288" s="91"/>
      <c r="D288" s="91"/>
      <c r="E288" s="91"/>
      <c r="F288" s="91"/>
      <c r="G288" s="91"/>
      <c r="H288" s="91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 outlineLevel="1">
      <c r="A289" s="7"/>
      <c r="B289" s="7"/>
      <c r="C289" s="91"/>
      <c r="D289" s="91"/>
      <c r="E289" s="91"/>
      <c r="F289" s="91"/>
      <c r="G289" s="91"/>
      <c r="H289" s="91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</row>
    <row r="290" spans="1:21" outlineLevel="1">
      <c r="A290" s="7"/>
      <c r="B290" s="7"/>
      <c r="C290" s="91"/>
      <c r="D290" s="91"/>
      <c r="E290" s="91"/>
      <c r="F290" s="91"/>
      <c r="G290" s="91"/>
      <c r="H290" s="91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 outlineLevel="1">
      <c r="A291" s="7"/>
      <c r="B291" s="7"/>
      <c r="C291" s="91"/>
      <c r="D291" s="91"/>
      <c r="E291" s="91"/>
      <c r="F291" s="91"/>
      <c r="G291" s="91"/>
      <c r="H291" s="91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</row>
    <row r="292" spans="1:21" outlineLevel="1">
      <c r="A292" s="7"/>
      <c r="B292" s="7"/>
      <c r="C292" s="91"/>
      <c r="D292" s="91"/>
      <c r="E292" s="91"/>
      <c r="F292" s="91"/>
      <c r="G292" s="91"/>
      <c r="H292" s="91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 outlineLevel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 spans="1:21" outlineLevel="1">
      <c r="A294" s="57"/>
      <c r="B294" s="98"/>
      <c r="C294" s="98"/>
      <c r="D294" s="98"/>
      <c r="E294" s="98"/>
      <c r="F294" s="98"/>
      <c r="G294" s="98"/>
      <c r="H294" s="98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 outlineLevel="1">
      <c r="A295" s="57"/>
      <c r="B295" s="97"/>
      <c r="C295" s="98"/>
      <c r="D295" s="98"/>
      <c r="E295" s="98"/>
      <c r="F295" s="98"/>
      <c r="G295" s="98"/>
      <c r="H295" s="98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</row>
    <row r="296" spans="1:21" outlineLevel="1">
      <c r="A296" s="57"/>
      <c r="B296" s="98"/>
      <c r="C296" s="98"/>
      <c r="D296" s="98"/>
      <c r="E296" s="98"/>
      <c r="F296" s="98"/>
      <c r="G296" s="98"/>
      <c r="H296" s="98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 spans="1:21" outlineLevel="1">
      <c r="A297" s="57"/>
      <c r="B297" s="7"/>
      <c r="C297" s="98"/>
      <c r="D297" s="98"/>
      <c r="E297" s="98"/>
      <c r="F297" s="98"/>
      <c r="G297" s="98"/>
      <c r="H297" s="98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</row>
    <row r="298" spans="1:21" outlineLevel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 spans="1:21" outlineLevel="1">
      <c r="A299" s="5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</row>
    <row r="300" spans="1:21" outlineLevel="1">
      <c r="A300" s="5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</row>
    <row r="301" spans="1:21" outlineLevel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</row>
    <row r="302" spans="1:21" outlineLevel="1">
      <c r="A302" s="7"/>
      <c r="B302" s="7"/>
      <c r="C302" s="87"/>
      <c r="D302" s="87"/>
      <c r="E302" s="87"/>
      <c r="F302" s="87"/>
      <c r="G302" s="87"/>
      <c r="H302" s="8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</row>
    <row r="303" spans="1:21" outlineLevel="1">
      <c r="A303" s="7"/>
      <c r="B303" s="7"/>
      <c r="C303" s="98"/>
      <c r="D303" s="98"/>
      <c r="E303" s="98"/>
      <c r="F303" s="98"/>
      <c r="G303" s="98"/>
      <c r="H303" s="98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</row>
    <row r="304" spans="1:21" outlineLevel="1">
      <c r="A304" s="7"/>
      <c r="B304" s="7"/>
      <c r="C304" s="99"/>
      <c r="D304" s="99"/>
      <c r="E304" s="99"/>
      <c r="F304" s="99"/>
      <c r="G304" s="99"/>
      <c r="H304" s="99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</row>
    <row r="305" spans="1:27" outlineLevel="1">
      <c r="A305" s="7"/>
      <c r="B305" s="7"/>
      <c r="C305" s="87"/>
      <c r="D305" s="87"/>
      <c r="E305" s="87"/>
      <c r="F305" s="87"/>
      <c r="G305" s="87"/>
      <c r="H305" s="8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</row>
    <row r="306" spans="1:27" outlineLevel="1">
      <c r="A306" s="7"/>
      <c r="B306" s="7"/>
      <c r="C306" s="99"/>
      <c r="D306" s="99"/>
      <c r="E306" s="99"/>
      <c r="F306" s="99"/>
      <c r="G306" s="99"/>
      <c r="H306" s="99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</row>
    <row r="307" spans="1:27" outlineLevel="1">
      <c r="A307" s="7"/>
      <c r="B307" s="7"/>
      <c r="C307" s="100"/>
      <c r="D307" s="100"/>
      <c r="E307" s="100"/>
      <c r="F307" s="100"/>
      <c r="G307" s="100"/>
      <c r="H307" s="100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</row>
    <row r="308" spans="1:27" outlineLevel="1">
      <c r="A308" s="7"/>
      <c r="B308" s="7"/>
      <c r="C308" s="100"/>
      <c r="D308" s="100"/>
      <c r="E308" s="100"/>
      <c r="F308" s="100"/>
      <c r="G308" s="100"/>
      <c r="H308" s="100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</row>
    <row r="309" spans="1:27" ht="18.75" hidden="1" outlineLevel="2">
      <c r="A309" s="84"/>
      <c r="B309" s="7"/>
      <c r="C309" s="100"/>
      <c r="D309" s="100"/>
      <c r="E309" s="100"/>
      <c r="F309" s="100"/>
      <c r="G309" s="100"/>
      <c r="H309" s="100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</row>
    <row r="310" spans="1:27" hidden="1" outlineLevel="2">
      <c r="A310" s="57"/>
      <c r="B310" s="7"/>
      <c r="C310" s="100"/>
      <c r="D310" s="100"/>
      <c r="E310" s="100"/>
      <c r="F310" s="100"/>
      <c r="G310" s="100"/>
      <c r="H310" s="100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</row>
    <row r="311" spans="1:27" hidden="1" outlineLevel="2">
      <c r="A311" s="7"/>
      <c r="B311" s="7"/>
      <c r="C311" s="100"/>
      <c r="D311" s="100"/>
      <c r="E311" s="100"/>
      <c r="F311" s="100"/>
      <c r="G311" s="100"/>
      <c r="H311" s="100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</row>
    <row r="312" spans="1:27" hidden="1" outlineLevel="2">
      <c r="A312" s="57"/>
      <c r="B312" s="11"/>
      <c r="C312" s="11"/>
      <c r="D312" s="10"/>
      <c r="E312" s="10"/>
      <c r="F312" s="11"/>
      <c r="G312" s="11"/>
      <c r="H312" s="10"/>
      <c r="I312" s="11"/>
      <c r="J312" s="11"/>
      <c r="K312" s="11"/>
      <c r="L312" s="10"/>
      <c r="M312" s="11"/>
      <c r="N312" s="11"/>
      <c r="O312" s="7"/>
      <c r="P312" s="7"/>
      <c r="Q312" s="7"/>
      <c r="R312" s="7"/>
      <c r="S312" s="7"/>
      <c r="T312" s="11"/>
      <c r="U312" s="7"/>
    </row>
    <row r="313" spans="1:27" hidden="1" outlineLevel="2">
      <c r="A313" s="5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</row>
    <row r="314" spans="1:27" hidden="1" outlineLevel="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</row>
    <row r="315" spans="1:27" hidden="1" outlineLevel="2">
      <c r="A315" s="7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7"/>
      <c r="P315" s="7"/>
      <c r="Q315" s="7"/>
      <c r="R315" s="7"/>
      <c r="S315" s="7"/>
      <c r="T315" s="87"/>
      <c r="U315" s="7"/>
    </row>
    <row r="316" spans="1:27" hidden="1" outlineLevel="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</row>
    <row r="317" spans="1:27" hidden="1" outlineLevel="2">
      <c r="A317" s="7"/>
      <c r="B317" s="98"/>
      <c r="C317" s="98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7"/>
      <c r="P317" s="7"/>
      <c r="Q317" s="7"/>
      <c r="R317" s="7"/>
      <c r="S317" s="7"/>
      <c r="T317" s="87"/>
      <c r="U317" s="7"/>
    </row>
    <row r="318" spans="1:27" hidden="1" outlineLevel="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</row>
    <row r="319" spans="1:27" hidden="1" outlineLevel="2">
      <c r="A319" s="7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7"/>
      <c r="P319" s="7"/>
      <c r="Q319" s="7"/>
      <c r="R319" s="7"/>
      <c r="S319" s="7"/>
      <c r="T319" s="87"/>
      <c r="U319" s="87"/>
      <c r="V319" s="87"/>
      <c r="W319" s="87"/>
      <c r="X319" s="87"/>
      <c r="Y319" s="87"/>
      <c r="Z319" s="87"/>
      <c r="AA319" s="87"/>
    </row>
    <row r="320" spans="1:27" hidden="1" outlineLevel="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</row>
    <row r="321" spans="1:22" hidden="1" outlineLevel="2">
      <c r="A321" s="7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7"/>
      <c r="P321" s="7"/>
      <c r="Q321" s="7"/>
      <c r="R321" s="7"/>
      <c r="S321" s="7"/>
      <c r="T321" s="87"/>
      <c r="U321" s="7"/>
    </row>
    <row r="322" spans="1:22" hidden="1" outlineLevel="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</row>
    <row r="323" spans="1:22" hidden="1" outlineLevel="2">
      <c r="A323" s="7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7"/>
      <c r="P323" s="7"/>
      <c r="Q323" s="7"/>
      <c r="R323" s="7"/>
      <c r="S323" s="7"/>
      <c r="T323" s="87"/>
      <c r="U323" s="87"/>
    </row>
    <row r="324" spans="1:22" hidden="1" outlineLevel="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</row>
    <row r="325" spans="1:22" hidden="1" outlineLevel="2">
      <c r="A325" s="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7"/>
      <c r="P325" s="7"/>
      <c r="Q325" s="7"/>
      <c r="R325" s="7"/>
      <c r="S325" s="7"/>
      <c r="T325" s="87"/>
      <c r="U325" s="87"/>
    </row>
    <row r="326" spans="1:22" hidden="1" outlineLevel="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</row>
    <row r="327" spans="1:22" outlineLevel="1" collapsed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</row>
    <row r="328" spans="1:22" outlineLevel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</row>
    <row r="329" spans="1:22" outlineLevel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</row>
    <row r="330" spans="1:22" ht="18.75" outlineLevel="1">
      <c r="A330" s="8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</row>
    <row r="331" spans="1:22" outlineLevel="1">
      <c r="A331" s="5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</row>
    <row r="332" spans="1:22" outlineLevel="1">
      <c r="A332" s="5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</row>
    <row r="333" spans="1:22" outlineLevel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</row>
    <row r="334" spans="1:22" outlineLevel="1">
      <c r="A334" s="2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</row>
    <row r="335" spans="1:22" outlineLevel="1">
      <c r="A335" s="5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</row>
    <row r="336" spans="1:22" outlineLevel="1">
      <c r="A336" s="86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</row>
    <row r="337" spans="1:22" outlineLevel="1">
      <c r="A337" s="86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</row>
    <row r="338" spans="1:22" outlineLevel="1">
      <c r="A338" s="86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</row>
    <row r="339" spans="1:22" outlineLevel="1">
      <c r="A339" s="86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</row>
    <row r="340" spans="1:22" outlineLevel="1">
      <c r="A340" s="86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</row>
    <row r="341" spans="1:22" outlineLevel="1">
      <c r="A341" s="7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</row>
    <row r="342" spans="1:22" outlineLevel="1">
      <c r="A342" s="57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</row>
    <row r="343" spans="1:22" outlineLevel="1">
      <c r="A343" s="86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</row>
    <row r="344" spans="1:22" outlineLevel="1">
      <c r="A344" s="86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</row>
    <row r="345" spans="1:22" outlineLevel="1">
      <c r="A345" s="86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</row>
    <row r="346" spans="1:22" outlineLevel="1">
      <c r="A346" s="86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</row>
    <row r="347" spans="1:22" outlineLevel="1">
      <c r="A347" s="86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</row>
    <row r="348" spans="1:22" outlineLevel="1">
      <c r="A348" s="86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</row>
    <row r="349" spans="1:22" outlineLevel="1">
      <c r="A349" s="86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</row>
    <row r="350" spans="1:22" outlineLevel="1">
      <c r="A350" s="86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</row>
    <row r="351" spans="1:22" outlineLevel="1">
      <c r="A351" s="86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</row>
    <row r="352" spans="1:22" outlineLevel="1">
      <c r="A352" s="86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</row>
    <row r="353" spans="1:22" outlineLevel="1">
      <c r="A353" s="86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</row>
    <row r="354" spans="1:22" outlineLevel="1">
      <c r="A354" s="57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</row>
    <row r="355" spans="1:22" outlineLevel="1">
      <c r="A355" s="86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</row>
    <row r="356" spans="1:22" outlineLevel="1">
      <c r="A356" s="57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</row>
    <row r="357" spans="1:22" outlineLevel="1">
      <c r="A357" s="86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</row>
    <row r="358" spans="1:22" outlineLevel="1">
      <c r="A358" s="57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</row>
    <row r="359" spans="1:22" outlineLevel="1">
      <c r="A359" s="7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</row>
    <row r="360" spans="1:22" outlineLevel="1">
      <c r="A360" s="57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</row>
    <row r="361" spans="1:22" outlineLevel="1">
      <c r="A361" s="86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</row>
    <row r="362" spans="1:22" outlineLevel="1">
      <c r="A362" s="86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</row>
    <row r="363" spans="1:22" outlineLevel="1">
      <c r="A363" s="86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</row>
    <row r="364" spans="1:22" outlineLevel="1">
      <c r="A364" s="86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</row>
    <row r="365" spans="1:22" outlineLevel="1">
      <c r="A365" s="57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</row>
    <row r="366" spans="1:22" outlineLevel="1">
      <c r="A366" s="57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</row>
    <row r="367" spans="1:22" outlineLevel="1">
      <c r="A367" s="86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</row>
    <row r="368" spans="1:22" outlineLevel="1">
      <c r="A368" s="86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</row>
    <row r="369" spans="1:22" outlineLevel="1">
      <c r="A369" s="86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</row>
    <row r="370" spans="1:22" outlineLevel="1">
      <c r="A370" s="86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</row>
    <row r="371" spans="1:22" outlineLevel="1">
      <c r="A371" s="86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</row>
    <row r="372" spans="1:22" outlineLevel="1">
      <c r="A372" s="2"/>
      <c r="B372" s="8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</row>
    <row r="373" spans="1:22" outlineLevel="1">
      <c r="A373" s="57"/>
      <c r="B373" s="8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</row>
    <row r="374" spans="1:22" outlineLevel="1">
      <c r="A374" s="7"/>
      <c r="B374" s="8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</row>
    <row r="375" spans="1:22" outlineLevel="1">
      <c r="A375" s="57"/>
      <c r="B375" s="8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</row>
    <row r="376" spans="1:22" outlineLevel="1">
      <c r="A376" s="57"/>
      <c r="B376" s="8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</row>
    <row r="377" spans="1:22" outlineLevel="1">
      <c r="A377" s="57"/>
      <c r="B377" s="8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</row>
    <row r="378" spans="1:22" outlineLevel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</row>
    <row r="379" spans="1:22" outlineLevel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</row>
    <row r="380" spans="1:22" ht="18.75" outlineLevel="1">
      <c r="A380" s="8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</row>
    <row r="381" spans="1:22" outlineLevel="1">
      <c r="A381" s="5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</row>
    <row r="382" spans="1:22" outlineLevel="1">
      <c r="A382" s="5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</row>
    <row r="383" spans="1:22" outlineLevel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</row>
    <row r="384" spans="1:22" outlineLevel="1">
      <c r="A384" s="2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7"/>
      <c r="P384" s="7"/>
      <c r="Q384" s="7"/>
      <c r="R384" s="7"/>
      <c r="S384" s="7"/>
      <c r="T384" s="7"/>
      <c r="U384" s="7"/>
    </row>
    <row r="385" spans="1:21" outlineLevel="1">
      <c r="A385" s="5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</row>
    <row r="386" spans="1:21" outlineLevel="1">
      <c r="A386" s="86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7"/>
      <c r="P386" s="7"/>
      <c r="Q386" s="7"/>
      <c r="R386" s="7"/>
      <c r="S386" s="7"/>
      <c r="T386" s="7"/>
      <c r="U386" s="7"/>
    </row>
    <row r="387" spans="1:21" outlineLevel="1">
      <c r="A387" s="86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7"/>
      <c r="P387" s="7"/>
      <c r="Q387" s="7"/>
      <c r="R387" s="7"/>
      <c r="S387" s="7"/>
      <c r="T387" s="7"/>
      <c r="U387" s="7"/>
    </row>
    <row r="388" spans="1:21" outlineLevel="1">
      <c r="A388" s="86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7"/>
      <c r="P388" s="7"/>
      <c r="Q388" s="7"/>
      <c r="R388" s="7"/>
      <c r="S388" s="7"/>
      <c r="T388" s="7"/>
      <c r="U388" s="7"/>
    </row>
    <row r="389" spans="1:21" outlineLevel="1">
      <c r="A389" s="86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7"/>
      <c r="P389" s="7"/>
      <c r="Q389" s="7"/>
      <c r="R389" s="7"/>
      <c r="S389" s="7"/>
      <c r="T389" s="7"/>
      <c r="U389" s="7"/>
    </row>
    <row r="390" spans="1:21" outlineLevel="1">
      <c r="A390" s="86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7"/>
      <c r="P390" s="7"/>
      <c r="Q390" s="7"/>
      <c r="R390" s="7"/>
      <c r="S390" s="7"/>
      <c r="T390" s="7"/>
      <c r="U390" s="7"/>
    </row>
    <row r="391" spans="1:21" outlineLevel="1">
      <c r="A391" s="86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7"/>
      <c r="P391" s="7"/>
      <c r="Q391" s="7"/>
      <c r="R391" s="7"/>
      <c r="S391" s="7"/>
      <c r="T391" s="7"/>
      <c r="U391" s="7"/>
    </row>
    <row r="392" spans="1:21" outlineLevel="1">
      <c r="A392" s="57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7"/>
      <c r="P392" s="7"/>
      <c r="Q392" s="7"/>
      <c r="R392" s="7"/>
      <c r="S392" s="7"/>
      <c r="T392" s="7"/>
      <c r="U392" s="7"/>
    </row>
    <row r="393" spans="1:21" outlineLevel="1">
      <c r="A393" s="86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7"/>
      <c r="P393" s="7"/>
      <c r="Q393" s="7"/>
      <c r="R393" s="7"/>
      <c r="S393" s="7"/>
      <c r="T393" s="7"/>
      <c r="U393" s="7"/>
    </row>
    <row r="394" spans="1:21" outlineLevel="1">
      <c r="A394" s="86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7"/>
      <c r="P394" s="7"/>
      <c r="Q394" s="7"/>
      <c r="R394" s="7"/>
      <c r="S394" s="7"/>
      <c r="T394" s="7"/>
      <c r="U394" s="7"/>
    </row>
    <row r="395" spans="1:21" outlineLevel="1">
      <c r="A395" s="86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7"/>
      <c r="P395" s="7"/>
      <c r="Q395" s="7"/>
      <c r="R395" s="7"/>
      <c r="S395" s="7"/>
      <c r="T395" s="7"/>
      <c r="U395" s="7"/>
    </row>
    <row r="396" spans="1:21" outlineLevel="1">
      <c r="A396" s="86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7"/>
      <c r="P396" s="7"/>
      <c r="Q396" s="7"/>
      <c r="R396" s="7"/>
      <c r="S396" s="7"/>
      <c r="T396" s="7"/>
      <c r="U396" s="7"/>
    </row>
    <row r="397" spans="1:21" outlineLevel="1">
      <c r="A397" s="86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7"/>
      <c r="P397" s="7"/>
      <c r="Q397" s="7"/>
      <c r="R397" s="7"/>
      <c r="S397" s="7"/>
      <c r="T397" s="7"/>
      <c r="U397" s="7"/>
    </row>
    <row r="398" spans="1:21" outlineLevel="1">
      <c r="A398" s="86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7"/>
      <c r="P398" s="7"/>
      <c r="Q398" s="7"/>
      <c r="R398" s="7"/>
      <c r="S398" s="7"/>
      <c r="T398" s="7"/>
      <c r="U398" s="7"/>
    </row>
    <row r="399" spans="1:21" outlineLevel="1">
      <c r="A399" s="86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7"/>
      <c r="P399" s="7"/>
      <c r="Q399" s="7"/>
      <c r="R399" s="7"/>
      <c r="S399" s="7"/>
      <c r="T399" s="7"/>
      <c r="U399" s="7"/>
    </row>
    <row r="400" spans="1:21" outlineLevel="1">
      <c r="A400" s="86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7"/>
      <c r="P400" s="7"/>
      <c r="Q400" s="7"/>
      <c r="R400" s="7"/>
      <c r="S400" s="7"/>
      <c r="T400" s="7"/>
      <c r="U400" s="7"/>
    </row>
    <row r="401" spans="1:21" outlineLevel="1">
      <c r="A401" s="86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7"/>
      <c r="P401" s="7"/>
      <c r="Q401" s="7"/>
      <c r="R401" s="7"/>
      <c r="S401" s="7"/>
      <c r="T401" s="7"/>
      <c r="U401" s="7"/>
    </row>
    <row r="402" spans="1:21" outlineLevel="1">
      <c r="A402" s="86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7"/>
      <c r="P402" s="7"/>
      <c r="Q402" s="7"/>
      <c r="R402" s="7"/>
      <c r="S402" s="7"/>
      <c r="T402" s="7"/>
      <c r="U402" s="7"/>
    </row>
    <row r="403" spans="1:21" outlineLevel="1">
      <c r="A403" s="86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7"/>
      <c r="P403" s="7"/>
      <c r="Q403" s="7"/>
      <c r="R403" s="7"/>
      <c r="S403" s="7"/>
      <c r="T403" s="7"/>
      <c r="U403" s="7"/>
    </row>
    <row r="404" spans="1:21" outlineLevel="1">
      <c r="A404" s="86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7"/>
      <c r="P404" s="7"/>
      <c r="Q404" s="7"/>
      <c r="R404" s="7"/>
      <c r="S404" s="7"/>
      <c r="T404" s="7"/>
      <c r="U404" s="7"/>
    </row>
    <row r="405" spans="1:21" outlineLevel="1">
      <c r="A405" s="57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7"/>
      <c r="P405" s="7"/>
      <c r="Q405" s="7"/>
      <c r="R405" s="7"/>
      <c r="S405" s="7"/>
      <c r="T405" s="7"/>
      <c r="U405" s="7"/>
    </row>
    <row r="406" spans="1:21" outlineLevel="1">
      <c r="A406" s="7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7"/>
      <c r="P406" s="7"/>
      <c r="Q406" s="7"/>
      <c r="R406" s="7"/>
      <c r="S406" s="7"/>
      <c r="T406" s="7"/>
      <c r="U406" s="7"/>
    </row>
    <row r="407" spans="1:21" outlineLevel="1">
      <c r="A407" s="86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7"/>
      <c r="P407" s="7"/>
      <c r="Q407" s="7"/>
      <c r="R407" s="7"/>
      <c r="S407" s="7"/>
      <c r="T407" s="7"/>
      <c r="U407" s="7"/>
    </row>
    <row r="408" spans="1:21" outlineLevel="1">
      <c r="A408" s="57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7"/>
      <c r="P408" s="7"/>
      <c r="Q408" s="7"/>
      <c r="R408" s="7"/>
      <c r="S408" s="7"/>
      <c r="T408" s="7"/>
      <c r="U408" s="7"/>
    </row>
    <row r="409" spans="1:21" outlineLevel="1">
      <c r="A409" s="86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7"/>
      <c r="P409" s="7"/>
      <c r="Q409" s="7"/>
      <c r="R409" s="7"/>
      <c r="S409" s="7"/>
      <c r="T409" s="7"/>
      <c r="U409" s="7"/>
    </row>
    <row r="410" spans="1:21" outlineLevel="1">
      <c r="A410" s="57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7"/>
      <c r="P410" s="7"/>
      <c r="Q410" s="7"/>
      <c r="R410" s="7"/>
      <c r="S410" s="7"/>
      <c r="T410" s="7"/>
      <c r="U410" s="7"/>
    </row>
    <row r="411" spans="1:21" outlineLevel="1">
      <c r="A411" s="57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7"/>
      <c r="P411" s="7"/>
      <c r="Q411" s="7"/>
      <c r="R411" s="7"/>
      <c r="S411" s="7"/>
      <c r="T411" s="7"/>
      <c r="U411" s="7"/>
    </row>
    <row r="412" spans="1:21" outlineLevel="1">
      <c r="A412" s="57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7"/>
      <c r="P412" s="7"/>
      <c r="Q412" s="7"/>
      <c r="R412" s="7"/>
      <c r="S412" s="7"/>
      <c r="T412" s="7"/>
      <c r="U412" s="7"/>
    </row>
    <row r="413" spans="1:21" outlineLevel="1">
      <c r="A413" s="57"/>
      <c r="B413" s="101"/>
      <c r="C413" s="101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7"/>
      <c r="P413" s="7"/>
      <c r="Q413" s="7"/>
      <c r="R413" s="7"/>
      <c r="S413" s="7"/>
      <c r="T413" s="7"/>
      <c r="U413" s="7"/>
    </row>
    <row r="414" spans="1:21" outlineLevel="1">
      <c r="A414" s="57"/>
      <c r="B414" s="101"/>
      <c r="C414"/>
      <c r="D414"/>
      <c r="E414"/>
      <c r="F414"/>
      <c r="G414"/>
      <c r="H414"/>
      <c r="I414" s="101"/>
      <c r="J414" s="101"/>
      <c r="K414" s="101"/>
      <c r="L414" s="101"/>
      <c r="M414" s="101"/>
      <c r="N414" s="101"/>
      <c r="O414" s="7"/>
      <c r="P414" s="7"/>
      <c r="Q414" s="7"/>
      <c r="R414" s="7"/>
      <c r="S414" s="7"/>
      <c r="T414" s="7"/>
      <c r="U414" s="7"/>
    </row>
    <row r="415" spans="1:21" outlineLevel="1">
      <c r="A415" s="57"/>
      <c r="B415" s="101"/>
      <c r="C415"/>
      <c r="D415"/>
      <c r="E415"/>
      <c r="F415"/>
      <c r="G415"/>
      <c r="H415"/>
      <c r="I415" s="101"/>
      <c r="J415" s="101"/>
      <c r="K415" s="101"/>
      <c r="L415" s="101"/>
      <c r="M415" s="101"/>
      <c r="N415" s="101"/>
      <c r="O415" s="7"/>
      <c r="P415" s="7"/>
      <c r="Q415" s="7"/>
      <c r="R415" s="7"/>
      <c r="S415" s="7"/>
      <c r="T415" s="7"/>
      <c r="U415" s="7"/>
    </row>
    <row r="416" spans="1:21" outlineLevel="1">
      <c r="A416" s="57"/>
      <c r="B416" s="101"/>
      <c r="C416"/>
      <c r="D416"/>
      <c r="E416"/>
      <c r="F416"/>
      <c r="G416"/>
      <c r="H416"/>
      <c r="I416" s="101"/>
      <c r="J416" s="101"/>
      <c r="K416" s="101"/>
      <c r="L416" s="101"/>
      <c r="M416" s="101"/>
      <c r="N416" s="101"/>
      <c r="O416" s="7"/>
      <c r="P416" s="7"/>
      <c r="Q416" s="7"/>
      <c r="R416" s="7"/>
      <c r="S416" s="7"/>
      <c r="T416" s="7"/>
      <c r="U416" s="7"/>
    </row>
    <row r="417" spans="1:21" outlineLevel="1">
      <c r="A417" s="57"/>
      <c r="B417" s="101"/>
      <c r="C417"/>
      <c r="D417"/>
      <c r="E417"/>
      <c r="F417"/>
      <c r="G417"/>
      <c r="H417"/>
      <c r="I417" s="101"/>
      <c r="J417" s="101"/>
      <c r="K417" s="101"/>
      <c r="L417" s="101"/>
      <c r="M417" s="101"/>
      <c r="N417" s="101"/>
      <c r="O417" s="7"/>
      <c r="P417" s="7"/>
      <c r="Q417" s="7"/>
      <c r="R417" s="7"/>
      <c r="S417" s="7"/>
      <c r="T417" s="7"/>
      <c r="U417" s="7"/>
    </row>
    <row r="418" spans="1:21" outlineLevel="1">
      <c r="A418" s="7"/>
      <c r="B418" s="101"/>
      <c r="C418"/>
      <c r="D418"/>
      <c r="E418"/>
      <c r="F418"/>
      <c r="G418"/>
      <c r="H418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</row>
    <row r="419" spans="1:21" outlineLevel="1">
      <c r="A419" s="7"/>
      <c r="B419" s="101"/>
      <c r="C419"/>
      <c r="D419"/>
      <c r="E419"/>
      <c r="F419"/>
      <c r="G419"/>
      <c r="H419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</row>
    <row r="420" spans="1:21" outlineLevel="1">
      <c r="A420" s="7"/>
      <c r="B420" s="101"/>
      <c r="C420"/>
      <c r="D420"/>
      <c r="E420"/>
      <c r="F420"/>
      <c r="G420"/>
      <c r="H420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</row>
    <row r="421" spans="1:21" outlineLevel="1">
      <c r="A421" s="7"/>
      <c r="B421" s="101"/>
      <c r="C421"/>
      <c r="D421"/>
      <c r="E421"/>
      <c r="F421"/>
      <c r="G421"/>
      <c r="H42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</row>
    <row r="422" spans="1:21" outlineLevel="1">
      <c r="A422" s="7"/>
      <c r="B422" s="101"/>
      <c r="C422"/>
      <c r="D422"/>
      <c r="E422"/>
      <c r="F422"/>
      <c r="G422"/>
      <c r="H422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</row>
    <row r="423" spans="1:21" outlineLevel="1">
      <c r="A423" s="7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</row>
    <row r="424" spans="1:21" outlineLevel="1">
      <c r="A424" s="57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</row>
    <row r="425" spans="1:21" outlineLevel="1">
      <c r="A425" s="7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</row>
    <row r="426" spans="1:21" outlineLevel="1">
      <c r="A426" s="7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</row>
    <row r="427" spans="1:21" outlineLevel="1">
      <c r="A427" s="57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</row>
    <row r="428" spans="1:21" outlineLevel="1">
      <c r="A428" s="57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</row>
    <row r="429" spans="1:21" outlineLevel="1">
      <c r="A429" s="7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</row>
    <row r="430" spans="1:21" outlineLevel="1">
      <c r="A430" s="7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</row>
    <row r="431" spans="1:21" outlineLevel="1">
      <c r="A431" s="7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</row>
    <row r="432" spans="1:21" outlineLevel="1">
      <c r="A432" s="7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</row>
    <row r="433" spans="1:21" outlineLevel="1">
      <c r="A433" s="7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</row>
    <row r="434" spans="1:21" outlineLevel="1">
      <c r="A434" s="7"/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</row>
    <row r="435" spans="1:21" outlineLevel="1">
      <c r="A435" s="7"/>
      <c r="B435" s="101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</row>
    <row r="436" spans="1:21" outlineLevel="1">
      <c r="A436" s="7"/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7"/>
      <c r="P436" s="7"/>
      <c r="Q436" s="7"/>
      <c r="R436" s="7"/>
      <c r="S436" s="7"/>
      <c r="T436" s="7"/>
      <c r="U436" s="7"/>
    </row>
    <row r="437" spans="1:21" outlineLevel="1">
      <c r="A437" s="57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7"/>
      <c r="P437" s="7"/>
      <c r="Q437" s="7"/>
      <c r="R437" s="7"/>
      <c r="S437" s="7"/>
      <c r="T437" s="7"/>
      <c r="U437" s="7"/>
    </row>
    <row r="438" spans="1:21" outlineLevel="1">
      <c r="A438" s="57"/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7"/>
      <c r="P438" s="7"/>
      <c r="Q438" s="7"/>
      <c r="R438" s="7"/>
      <c r="S438" s="7"/>
      <c r="T438" s="7"/>
      <c r="U438" s="7"/>
    </row>
    <row r="439" spans="1:21" outlineLevel="1">
      <c r="A439" s="57"/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7"/>
      <c r="P439" s="7"/>
      <c r="Q439" s="7"/>
      <c r="R439" s="7"/>
      <c r="S439" s="7"/>
      <c r="T439" s="7"/>
      <c r="U439" s="7"/>
    </row>
    <row r="440" spans="1:21" outlineLevel="1">
      <c r="A440" s="57"/>
      <c r="B440" s="101"/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7"/>
      <c r="P440" s="7"/>
      <c r="Q440" s="7"/>
      <c r="R440" s="7"/>
      <c r="S440" s="7"/>
      <c r="T440" s="7"/>
      <c r="U440" s="7"/>
    </row>
    <row r="441" spans="1:21" outlineLevel="1">
      <c r="A441" s="57"/>
      <c r="B441" s="102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7"/>
      <c r="P441" s="7"/>
      <c r="Q441" s="7"/>
      <c r="R441" s="7"/>
      <c r="S441" s="7"/>
      <c r="T441" s="7"/>
      <c r="U441" s="7"/>
    </row>
    <row r="442" spans="1:21" outlineLevel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</row>
    <row r="443" spans="1:21" ht="18.75" outlineLevel="1">
      <c r="A443" s="84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</row>
    <row r="444" spans="1:21" outlineLevel="1">
      <c r="A444" s="5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</row>
    <row r="445" spans="1:21" outlineLevel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</row>
    <row r="446" spans="1:21" outlineLevel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</row>
    <row r="447" spans="1:21" outlineLevel="1">
      <c r="A447" s="2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</row>
    <row r="448" spans="1:21" outlineLevel="1">
      <c r="A448" s="7"/>
      <c r="B448" s="7"/>
      <c r="C448" s="73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</row>
    <row r="449" spans="1:21" outlineLevel="1">
      <c r="A449" s="57"/>
      <c r="B449" s="7"/>
      <c r="C449" s="73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7"/>
      <c r="P449" s="7"/>
      <c r="Q449" s="7"/>
      <c r="R449" s="7"/>
      <c r="S449" s="7"/>
      <c r="T449" s="7"/>
      <c r="U449" s="7"/>
    </row>
    <row r="450" spans="1:21" outlineLevel="1">
      <c r="A450" s="7"/>
      <c r="B450" s="7"/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"/>
      <c r="P450" s="7"/>
      <c r="Q450" s="7"/>
      <c r="R450" s="7"/>
      <c r="S450" s="7"/>
      <c r="T450" s="7"/>
      <c r="U450" s="7"/>
    </row>
    <row r="451" spans="1:21" outlineLevel="1">
      <c r="A451" s="7"/>
      <c r="B451" s="7"/>
      <c r="C451" s="73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7"/>
      <c r="P451" s="7"/>
      <c r="Q451" s="7"/>
      <c r="R451" s="7"/>
      <c r="S451" s="7"/>
      <c r="T451" s="7"/>
      <c r="U451" s="7"/>
    </row>
    <row r="452" spans="1:21" outlineLevel="1">
      <c r="A452" s="7"/>
      <c r="B452" s="7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"/>
      <c r="P452" s="7"/>
      <c r="Q452" s="7"/>
      <c r="R452" s="7"/>
      <c r="S452" s="7"/>
      <c r="T452" s="7"/>
      <c r="U452" s="7"/>
    </row>
    <row r="453" spans="1:21" outlineLevel="1">
      <c r="A453" s="7"/>
      <c r="B453" s="7"/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"/>
      <c r="P453" s="7"/>
      <c r="Q453" s="7"/>
      <c r="R453" s="7"/>
      <c r="S453" s="7"/>
      <c r="T453" s="7"/>
      <c r="U453" s="7"/>
    </row>
    <row r="454" spans="1:21" outlineLevel="1">
      <c r="A454" s="94"/>
      <c r="B454" s="7"/>
      <c r="C454" s="73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7"/>
      <c r="P454" s="7"/>
      <c r="Q454" s="7"/>
      <c r="R454" s="7"/>
      <c r="S454" s="7"/>
      <c r="T454" s="7"/>
      <c r="U454" s="7"/>
    </row>
    <row r="455" spans="1:21" outlineLevel="1">
      <c r="A455" s="94"/>
      <c r="B455" s="7"/>
      <c r="C455" s="73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7"/>
      <c r="P455" s="7"/>
      <c r="Q455" s="7"/>
      <c r="R455" s="7"/>
      <c r="S455" s="7"/>
      <c r="T455" s="7"/>
      <c r="U455" s="7"/>
    </row>
    <row r="456" spans="1:21" outlineLevel="1">
      <c r="A456" s="57"/>
      <c r="B456" s="7"/>
      <c r="C456" s="73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</row>
    <row r="457" spans="1:21" outlineLevel="1">
      <c r="A457" s="7"/>
      <c r="B457" s="102"/>
      <c r="C457" s="103"/>
      <c r="D457" s="103"/>
      <c r="E457" s="103"/>
      <c r="F457" s="103"/>
      <c r="G457" s="103"/>
      <c r="H457" s="103"/>
      <c r="I457" s="103"/>
      <c r="J457" s="103"/>
      <c r="K457" s="103"/>
      <c r="L457" s="103"/>
      <c r="M457" s="103"/>
      <c r="N457" s="103"/>
      <c r="O457" s="7"/>
      <c r="P457" s="7"/>
      <c r="Q457" s="7"/>
      <c r="R457" s="7"/>
      <c r="S457" s="7"/>
      <c r="T457" s="7"/>
      <c r="U457" s="7"/>
    </row>
    <row r="458" spans="1:21" outlineLevel="1">
      <c r="A458" s="7"/>
      <c r="B458" s="7"/>
      <c r="C458" s="73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</row>
    <row r="459" spans="1:21" outlineLevel="1">
      <c r="A459" s="57"/>
      <c r="B459" s="7"/>
      <c r="C459" s="73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7"/>
      <c r="P459" s="7"/>
      <c r="Q459" s="7"/>
      <c r="R459" s="7"/>
      <c r="S459" s="7"/>
      <c r="T459" s="7"/>
      <c r="U459" s="7"/>
    </row>
    <row r="460" spans="1:21" outlineLevel="1">
      <c r="A460" s="7"/>
      <c r="B460" s="7"/>
      <c r="C460" s="73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7"/>
      <c r="P460" s="7"/>
      <c r="Q460" s="7"/>
      <c r="R460" s="7"/>
      <c r="S460" s="7"/>
      <c r="T460" s="7"/>
      <c r="U460" s="7"/>
    </row>
    <row r="461" spans="1:21" outlineLevel="1">
      <c r="A461" s="57"/>
      <c r="B461" s="7"/>
      <c r="C461" s="73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7"/>
      <c r="P461" s="7"/>
      <c r="Q461" s="7"/>
      <c r="R461" s="7"/>
      <c r="S461" s="7"/>
      <c r="T461" s="7"/>
      <c r="U461" s="7"/>
    </row>
    <row r="462" spans="1:21" outlineLevel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</row>
    <row r="463" spans="1:21" outlineLevel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</row>
    <row r="464" spans="1:21" s="106" customFormat="1" ht="18.75" outlineLevel="1">
      <c r="A464" s="104"/>
      <c r="B464" s="105"/>
      <c r="C464" s="105"/>
    </row>
    <row r="465" spans="1:21" s="106" customFormat="1" outlineLevel="1">
      <c r="A465" s="105"/>
      <c r="B465" s="107"/>
      <c r="C465" s="108"/>
      <c r="D465" s="105"/>
      <c r="E465" s="109"/>
    </row>
    <row r="466" spans="1:21" s="106" customFormat="1" outlineLevel="1">
      <c r="A466" s="105"/>
      <c r="B466" s="110"/>
      <c r="C466" s="88"/>
      <c r="D466" s="88"/>
      <c r="E466" s="109"/>
    </row>
    <row r="467" spans="1:21" s="106" customFormat="1" outlineLevel="1">
      <c r="A467" s="105"/>
      <c r="B467" s="88"/>
      <c r="C467" s="109"/>
      <c r="D467" s="88"/>
      <c r="E467" s="110"/>
    </row>
    <row r="468" spans="1:21" s="106" customFormat="1" outlineLevel="1">
      <c r="A468" s="111"/>
      <c r="B468" s="107"/>
      <c r="C468" s="107"/>
      <c r="D468" s="107"/>
      <c r="E468" s="107"/>
      <c r="F468" s="107"/>
      <c r="G468" s="107"/>
      <c r="H468" s="107"/>
      <c r="I468" s="107"/>
      <c r="J468" s="107"/>
      <c r="K468" s="107"/>
      <c r="L468" s="107"/>
      <c r="M468" s="107"/>
      <c r="N468" s="107"/>
      <c r="O468" s="107"/>
      <c r="P468" s="107"/>
      <c r="Q468" s="107"/>
      <c r="R468" s="107"/>
      <c r="S468" s="107"/>
      <c r="T468" s="107"/>
      <c r="U468" s="107"/>
    </row>
    <row r="469" spans="1:21" s="106" customFormat="1" outlineLevel="1">
      <c r="A469" s="80"/>
      <c r="B469" s="105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</row>
    <row r="470" spans="1:21" s="106" customFormat="1" outlineLevel="1">
      <c r="A470" s="79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</row>
    <row r="471" spans="1:21" s="106" customFormat="1" outlineLevel="1">
      <c r="A471" s="79"/>
      <c r="B471" s="112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</row>
    <row r="472" spans="1:21" s="106" customFormat="1" outlineLevel="1">
      <c r="A472" s="79"/>
      <c r="B472" s="112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</row>
    <row r="473" spans="1:21" s="106" customFormat="1" outlineLevel="1">
      <c r="A473" s="78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</row>
    <row r="474" spans="1:21" s="106" customFormat="1" outlineLevel="1">
      <c r="A474" s="69"/>
      <c r="B474" s="112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</row>
    <row r="475" spans="1:21" s="106" customFormat="1" outlineLevel="1">
      <c r="A475" s="80"/>
      <c r="B475" s="112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</row>
    <row r="476" spans="1:21" s="106" customFormat="1" outlineLevel="1">
      <c r="A476" s="113"/>
      <c r="B476" s="112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</row>
    <row r="477" spans="1:21" s="106" customFormat="1" outlineLevel="1">
      <c r="A477" s="113"/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</row>
    <row r="478" spans="1:21" s="106" customFormat="1" outlineLevel="1">
      <c r="A478" s="113"/>
      <c r="B478" s="112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</row>
    <row r="479" spans="1:21" s="106" customFormat="1" outlineLevel="1">
      <c r="A479" s="113"/>
      <c r="B479" s="112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</row>
    <row r="480" spans="1:21" s="106" customFormat="1" outlineLevel="1">
      <c r="A480" s="113"/>
      <c r="B480" s="112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</row>
    <row r="481" spans="1:21" s="106" customFormat="1" outlineLevel="1">
      <c r="A481" s="83"/>
      <c r="B481" s="112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</row>
    <row r="482" spans="1:21" s="106" customFormat="1" outlineLevel="1">
      <c r="A482" s="113"/>
      <c r="B482" s="112"/>
      <c r="C482" s="112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</row>
    <row r="483" spans="1:21" s="106" customFormat="1" outlineLevel="1">
      <c r="A483" s="113"/>
      <c r="B483" s="112"/>
      <c r="C483" s="112"/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</row>
    <row r="484" spans="1:21" s="106" customFormat="1" outlineLevel="1">
      <c r="A484" s="113"/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</row>
    <row r="485" spans="1:21" s="106" customFormat="1" outlineLevel="1">
      <c r="A485" s="113"/>
      <c r="B485" s="112"/>
      <c r="C485" s="112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</row>
    <row r="486" spans="1:21" s="106" customFormat="1" outlineLevel="1">
      <c r="A486" s="113"/>
      <c r="B486" s="112"/>
      <c r="C486" s="112"/>
      <c r="D486" s="112"/>
      <c r="E486" s="112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</row>
    <row r="487" spans="1:21" s="106" customFormat="1" outlineLevel="1">
      <c r="A487" s="80"/>
      <c r="B487" s="112"/>
      <c r="C487" s="112"/>
      <c r="D487" s="112"/>
      <c r="E487" s="112"/>
      <c r="F487" s="112"/>
      <c r="G487" s="112"/>
      <c r="H487" s="112"/>
      <c r="I487" s="112"/>
      <c r="J487" s="112"/>
      <c r="K487" s="112"/>
      <c r="L487" s="112"/>
      <c r="M487" s="112"/>
      <c r="N487" s="112"/>
      <c r="O487" s="112"/>
      <c r="P487" s="112"/>
      <c r="Q487" s="112"/>
      <c r="R487" s="112"/>
      <c r="S487" s="112"/>
      <c r="T487" s="112"/>
      <c r="U487" s="112"/>
    </row>
    <row r="488" spans="1:21" s="106" customFormat="1" outlineLevel="1">
      <c r="A488" s="80"/>
      <c r="B488" s="112"/>
      <c r="C488" s="112"/>
      <c r="D488" s="112"/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</row>
    <row r="489" spans="1:21" s="106" customFormat="1" outlineLevel="1">
      <c r="A489" s="80"/>
      <c r="B489" s="112"/>
      <c r="C489" s="112"/>
      <c r="D489" s="112"/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</row>
    <row r="490" spans="1:21" s="106" customFormat="1" outlineLevel="1">
      <c r="A490" s="80"/>
      <c r="B490" s="112"/>
      <c r="C490" s="112"/>
      <c r="D490" s="112"/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</row>
    <row r="491" spans="1:21" s="106" customFormat="1" outlineLevel="1">
      <c r="A491" s="79"/>
      <c r="B491" s="112"/>
      <c r="C491" s="112"/>
      <c r="D491" s="112"/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</row>
    <row r="492" spans="1:21" s="106" customFormat="1" outlineLevel="1">
      <c r="A492" s="79"/>
      <c r="B492" s="112"/>
      <c r="C492" s="112"/>
      <c r="D492" s="112"/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</row>
    <row r="493" spans="1:21" s="106" customFormat="1" outlineLevel="1">
      <c r="A493" s="80"/>
      <c r="B493" s="112"/>
      <c r="C493" s="112"/>
      <c r="D493" s="112"/>
      <c r="E493" s="112"/>
      <c r="F493" s="112"/>
      <c r="G493" s="112"/>
      <c r="H493" s="112"/>
      <c r="I493" s="112"/>
      <c r="J493" s="112"/>
      <c r="K493" s="112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</row>
    <row r="494" spans="1:21" s="106" customFormat="1" outlineLevel="1">
      <c r="A494" s="82"/>
      <c r="B494" s="114"/>
      <c r="C494" s="114"/>
      <c r="D494" s="114"/>
      <c r="E494" s="114"/>
      <c r="F494" s="114"/>
      <c r="G494" s="114"/>
      <c r="H494" s="114"/>
      <c r="I494" s="114"/>
      <c r="J494" s="114"/>
      <c r="K494" s="114"/>
      <c r="L494" s="114"/>
      <c r="M494" s="114"/>
      <c r="N494" s="114"/>
      <c r="O494" s="114"/>
      <c r="P494" s="114"/>
      <c r="Q494" s="114"/>
      <c r="R494" s="114"/>
      <c r="S494" s="114"/>
      <c r="T494" s="114"/>
      <c r="U494" s="114"/>
    </row>
    <row r="495" spans="1:21" s="106" customFormat="1" outlineLevel="1">
      <c r="A495" s="79"/>
      <c r="B495" s="112"/>
      <c r="C495" s="112"/>
      <c r="D495" s="112"/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</row>
    <row r="496" spans="1:21" s="106" customFormat="1" ht="13.9" customHeight="1" outlineLevel="1">
      <c r="A496" s="78"/>
      <c r="B496" s="112"/>
      <c r="C496" s="112"/>
      <c r="D496" s="112"/>
      <c r="E496" s="112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</row>
    <row r="497" spans="1:21" s="116" customFormat="1" outlineLevel="1">
      <c r="A497" s="115"/>
      <c r="B497" s="112"/>
      <c r="C497" s="112"/>
      <c r="D497" s="112"/>
      <c r="E497" s="112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</row>
    <row r="498" spans="1:21" s="106" customFormat="1" outlineLevel="1">
      <c r="A498" s="78"/>
      <c r="B498" s="112"/>
      <c r="C498" s="112"/>
      <c r="D498" s="112"/>
      <c r="E498" s="112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</row>
    <row r="499" spans="1:21" s="106" customFormat="1" outlineLevel="1">
      <c r="A499" s="79"/>
      <c r="B499" s="112"/>
      <c r="C499" s="112"/>
      <c r="D499" s="112"/>
      <c r="E499" s="112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</row>
    <row r="500" spans="1:21" s="106" customFormat="1" outlineLevel="1">
      <c r="A500" s="79"/>
      <c r="B500" s="112"/>
      <c r="C500" s="112"/>
      <c r="D500" s="112"/>
      <c r="E500" s="112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</row>
    <row r="501" spans="1:21" s="106" customFormat="1" outlineLevel="1">
      <c r="A501" s="79"/>
      <c r="B501" s="112"/>
      <c r="C501" s="112"/>
      <c r="D501" s="112"/>
      <c r="E501" s="112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</row>
    <row r="502" spans="1:21" s="106" customFormat="1" outlineLevel="1">
      <c r="A502" s="79"/>
      <c r="B502" s="112"/>
      <c r="C502" s="112"/>
      <c r="D502" s="112"/>
      <c r="E502" s="112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</row>
    <row r="503" spans="1:21" s="106" customFormat="1" outlineLevel="1">
      <c r="A503" s="80"/>
      <c r="B503" s="112"/>
      <c r="C503" s="112"/>
      <c r="D503" s="112"/>
      <c r="E503" s="112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</row>
    <row r="504" spans="1:21" s="116" customFormat="1" outlineLevel="1">
      <c r="A504"/>
      <c r="B504"/>
      <c r="C504"/>
      <c r="D504"/>
      <c r="E504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</row>
    <row r="505" spans="1:21" s="106" customFormat="1" outlineLevel="1">
      <c r="A505"/>
      <c r="B505"/>
      <c r="C505"/>
      <c r="D505"/>
      <c r="E505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</row>
    <row r="506" spans="1:21" s="106" customFormat="1" outlineLevel="1">
      <c r="A506"/>
      <c r="B506"/>
      <c r="C506"/>
      <c r="D506"/>
      <c r="E506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</row>
    <row r="507" spans="1:21" s="106" customFormat="1" outlineLevel="1">
      <c r="A507"/>
      <c r="B507"/>
      <c r="C507"/>
      <c r="D507"/>
      <c r="E507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</row>
    <row r="508" spans="1:21" s="106" customFormat="1" outlineLevel="1">
      <c r="A508"/>
      <c r="B508"/>
      <c r="C508"/>
      <c r="D508"/>
      <c r="E508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</row>
    <row r="509" spans="1:21" s="106" customFormat="1" outlineLevel="1">
      <c r="A509"/>
      <c r="B509"/>
      <c r="C509"/>
      <c r="D509"/>
      <c r="E509"/>
      <c r="F509" s="112"/>
      <c r="G509" s="112"/>
      <c r="H509" s="112"/>
      <c r="I509" s="112"/>
      <c r="J509" s="112"/>
      <c r="K509" s="112"/>
      <c r="L509" s="112"/>
      <c r="M509" s="112"/>
      <c r="N509" s="112"/>
      <c r="O509" s="112"/>
      <c r="P509" s="112"/>
      <c r="Q509" s="112"/>
      <c r="R509" s="112"/>
      <c r="S509" s="112"/>
      <c r="T509" s="112"/>
      <c r="U509" s="112"/>
    </row>
    <row r="510" spans="1:21" s="116" customFormat="1" outlineLevel="1">
      <c r="A510"/>
      <c r="B510"/>
      <c r="C510"/>
      <c r="D510"/>
      <c r="E510"/>
      <c r="F510" s="112"/>
      <c r="G510" s="112"/>
      <c r="H510" s="112"/>
      <c r="I510" s="112"/>
      <c r="J510" s="112"/>
      <c r="K510" s="112"/>
      <c r="L510" s="112"/>
      <c r="M510" s="112"/>
      <c r="N510" s="112"/>
      <c r="O510" s="112"/>
      <c r="P510" s="112"/>
      <c r="Q510" s="112"/>
      <c r="R510" s="112"/>
      <c r="S510" s="112"/>
      <c r="T510" s="112"/>
      <c r="U510" s="112"/>
    </row>
    <row r="511" spans="1:21" s="106" customFormat="1" outlineLevel="1">
      <c r="A511"/>
      <c r="B511"/>
      <c r="C511"/>
      <c r="D511"/>
      <c r="E511"/>
      <c r="F511" s="112"/>
      <c r="G511" s="112"/>
      <c r="H511" s="112"/>
      <c r="I511" s="112"/>
      <c r="J511" s="112"/>
      <c r="K511" s="112"/>
      <c r="L511" s="112"/>
      <c r="M511" s="112"/>
      <c r="N511" s="112"/>
      <c r="O511" s="112"/>
      <c r="P511" s="112"/>
      <c r="Q511" s="112"/>
      <c r="R511" s="112"/>
      <c r="S511" s="112"/>
      <c r="T511" s="112"/>
      <c r="U511" s="112"/>
    </row>
    <row r="512" spans="1:21" s="106" customFormat="1" outlineLevel="1">
      <c r="A512"/>
      <c r="B512"/>
      <c r="C512"/>
      <c r="D512"/>
      <c r="E512"/>
      <c r="F512" s="112"/>
      <c r="G512" s="112"/>
      <c r="H512" s="112"/>
      <c r="I512" s="112"/>
      <c r="J512" s="112"/>
      <c r="K512" s="112"/>
      <c r="L512" s="112"/>
      <c r="M512" s="112"/>
      <c r="N512" s="112"/>
      <c r="O512" s="112"/>
      <c r="P512" s="112"/>
      <c r="Q512" s="112"/>
      <c r="R512" s="112"/>
      <c r="S512" s="112"/>
      <c r="T512" s="112"/>
      <c r="U512" s="112"/>
    </row>
    <row r="513" spans="1:21" s="106" customFormat="1" outlineLevel="1">
      <c r="A513"/>
      <c r="B513"/>
      <c r="C513"/>
      <c r="D513"/>
      <c r="E513"/>
      <c r="F513" s="112"/>
      <c r="G513" s="112"/>
      <c r="H513" s="112"/>
      <c r="I513" s="112"/>
      <c r="J513" s="112"/>
      <c r="K513" s="112"/>
      <c r="L513" s="112"/>
      <c r="M513" s="112"/>
      <c r="N513" s="112"/>
      <c r="O513" s="112"/>
      <c r="P513" s="112"/>
      <c r="Q513" s="112"/>
      <c r="R513" s="112"/>
      <c r="S513" s="112"/>
      <c r="T513" s="112"/>
      <c r="U513" s="112"/>
    </row>
    <row r="514" spans="1:21" s="116" customFormat="1" outlineLevel="1">
      <c r="A514"/>
      <c r="B514"/>
      <c r="C514"/>
      <c r="D514"/>
      <c r="E514"/>
      <c r="F514" s="112"/>
      <c r="G514" s="112"/>
      <c r="H514" s="112"/>
      <c r="I514" s="112"/>
      <c r="J514" s="112"/>
      <c r="K514" s="112"/>
      <c r="L514" s="112"/>
      <c r="M514" s="112"/>
      <c r="N514" s="112"/>
      <c r="O514" s="112"/>
      <c r="P514" s="112"/>
      <c r="Q514" s="112"/>
      <c r="R514" s="112"/>
      <c r="S514" s="112"/>
      <c r="T514" s="112"/>
      <c r="U514" s="112"/>
    </row>
    <row r="515" spans="1:21" s="106" customFormat="1" outlineLevel="1">
      <c r="A515"/>
      <c r="B515"/>
      <c r="C515"/>
      <c r="D515"/>
      <c r="E515"/>
      <c r="F515" s="112"/>
      <c r="G515" s="112"/>
      <c r="H515" s="112"/>
      <c r="I515" s="112"/>
      <c r="J515" s="112"/>
      <c r="K515" s="112"/>
      <c r="L515" s="112"/>
      <c r="M515" s="112"/>
      <c r="N515" s="112"/>
      <c r="O515" s="112"/>
      <c r="P515" s="112"/>
      <c r="Q515" s="112"/>
      <c r="R515" s="112"/>
      <c r="S515" s="112"/>
      <c r="T515" s="112"/>
      <c r="U515" s="112"/>
    </row>
    <row r="516" spans="1:21" s="116" customFormat="1" outlineLevel="1">
      <c r="A516"/>
      <c r="B516"/>
      <c r="C516"/>
      <c r="D516"/>
      <c r="E516"/>
      <c r="F516" s="112"/>
      <c r="G516" s="112"/>
      <c r="H516" s="112"/>
      <c r="I516" s="112"/>
      <c r="J516" s="112"/>
      <c r="K516" s="112"/>
      <c r="L516" s="112"/>
      <c r="M516" s="112"/>
      <c r="N516" s="112"/>
      <c r="O516" s="112"/>
      <c r="P516" s="112"/>
      <c r="Q516" s="112"/>
      <c r="R516" s="112"/>
      <c r="S516" s="112"/>
      <c r="T516" s="112"/>
      <c r="U516" s="112"/>
    </row>
    <row r="517" spans="1:21" s="106" customFormat="1" outlineLevel="1">
      <c r="A517" s="80"/>
      <c r="B517" s="112"/>
      <c r="C517" s="112"/>
      <c r="D517" s="112"/>
      <c r="E517" s="112"/>
      <c r="F517" s="112"/>
      <c r="G517" s="112"/>
      <c r="H517" s="112"/>
      <c r="I517" s="112"/>
      <c r="J517" s="112"/>
      <c r="K517" s="112"/>
      <c r="L517" s="112"/>
      <c r="M517" s="112"/>
      <c r="N517" s="112"/>
      <c r="O517" s="112"/>
      <c r="P517" s="112"/>
      <c r="Q517" s="112"/>
      <c r="R517" s="112"/>
      <c r="S517" s="112"/>
      <c r="T517" s="112"/>
      <c r="U517" s="112"/>
    </row>
    <row r="518" spans="1:21" s="106" customFormat="1" outlineLevel="1">
      <c r="A518" s="80"/>
      <c r="B518" s="112"/>
      <c r="C518" s="112"/>
      <c r="D518" s="112"/>
      <c r="E518" s="112"/>
      <c r="F518" s="112"/>
      <c r="G518" s="112"/>
      <c r="H518" s="112"/>
      <c r="I518" s="112"/>
      <c r="J518" s="112"/>
      <c r="K518" s="112"/>
      <c r="L518" s="112"/>
      <c r="M518" s="112"/>
      <c r="N518" s="112"/>
      <c r="O518" s="112"/>
      <c r="P518" s="112"/>
      <c r="Q518" s="112"/>
      <c r="R518" s="112"/>
      <c r="S518" s="112"/>
      <c r="T518" s="112"/>
      <c r="U518" s="112"/>
    </row>
    <row r="519" spans="1:21" s="106" customFormat="1" outlineLevel="1">
      <c r="A519" s="80"/>
      <c r="B519" s="112"/>
      <c r="C519" s="112"/>
      <c r="D519" s="112"/>
      <c r="E519" s="112"/>
      <c r="F519" s="112"/>
      <c r="G519" s="112"/>
      <c r="H519" s="112"/>
      <c r="I519" s="112"/>
      <c r="J519" s="112"/>
      <c r="K519" s="112"/>
      <c r="L519" s="112"/>
      <c r="M519" s="112"/>
      <c r="N519" s="112"/>
      <c r="O519" s="112"/>
      <c r="P519" s="112"/>
      <c r="Q519" s="112"/>
      <c r="R519" s="112"/>
      <c r="S519" s="112"/>
      <c r="T519" s="112"/>
      <c r="U519" s="112"/>
    </row>
    <row r="520" spans="1:21" outlineLevel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</row>
    <row r="521" spans="1:21" outlineLevel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</row>
    <row r="522" spans="1:21" outlineLevel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</row>
    <row r="523" spans="1:21" ht="18.75" outlineLevel="1">
      <c r="A523" s="8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</row>
    <row r="524" spans="1:21" outlineLevel="1">
      <c r="A524" s="5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</row>
    <row r="525" spans="1:21" outlineLevel="1">
      <c r="A525" s="118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7"/>
      <c r="N525" s="7"/>
      <c r="O525" s="7"/>
      <c r="P525" s="7"/>
      <c r="Q525" s="7"/>
      <c r="R525" s="7"/>
      <c r="S525" s="7"/>
      <c r="T525" s="7"/>
      <c r="U525" s="7"/>
    </row>
    <row r="526" spans="1:21" outlineLevel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</row>
    <row r="527" spans="1:21" outlineLevel="1">
      <c r="A527" s="2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7"/>
      <c r="N527" s="7"/>
      <c r="O527" s="7"/>
      <c r="P527" s="7"/>
      <c r="Q527" s="7"/>
      <c r="R527" s="7"/>
      <c r="S527" s="7"/>
      <c r="T527" s="7"/>
      <c r="U527" s="7"/>
    </row>
    <row r="528" spans="1:21" hidden="1" outlineLevel="2">
      <c r="A528" s="5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</row>
    <row r="529" spans="1:21" hidden="1" outlineLevel="2">
      <c r="A529" s="86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7"/>
      <c r="N529" s="7"/>
      <c r="O529" s="7"/>
      <c r="P529" s="7"/>
      <c r="Q529" s="7"/>
      <c r="R529" s="7"/>
      <c r="S529" s="7"/>
      <c r="T529" s="7"/>
      <c r="U529" s="7"/>
    </row>
    <row r="530" spans="1:21" hidden="1" outlineLevel="2">
      <c r="A530" s="86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7"/>
      <c r="N530" s="7"/>
      <c r="O530" s="7"/>
      <c r="P530" s="7"/>
      <c r="Q530" s="7"/>
      <c r="R530" s="7"/>
      <c r="S530" s="7"/>
      <c r="T530" s="7"/>
      <c r="U530" s="7"/>
    </row>
    <row r="531" spans="1:21" hidden="1" outlineLevel="2">
      <c r="A531" s="119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7"/>
      <c r="N531" s="7"/>
      <c r="O531" s="7"/>
      <c r="P531" s="7"/>
      <c r="Q531" s="7"/>
      <c r="R531" s="7"/>
      <c r="S531" s="7"/>
      <c r="T531" s="7"/>
      <c r="U531" s="7"/>
    </row>
    <row r="532" spans="1:21" hidden="1" outlineLevel="2">
      <c r="A532" s="86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7"/>
      <c r="N532" s="7"/>
      <c r="O532" s="7"/>
      <c r="P532" s="7"/>
      <c r="Q532" s="7"/>
      <c r="R532" s="7"/>
      <c r="S532" s="7"/>
      <c r="T532" s="7"/>
      <c r="U532" s="7"/>
    </row>
    <row r="533" spans="1:21" hidden="1" outlineLevel="2">
      <c r="A533" s="7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7"/>
      <c r="N533" s="7"/>
      <c r="O533" s="7"/>
      <c r="P533" s="7"/>
      <c r="Q533" s="7"/>
      <c r="R533" s="7"/>
      <c r="S533" s="7"/>
      <c r="T533" s="7"/>
      <c r="U533" s="7"/>
    </row>
    <row r="534" spans="1:21" hidden="1" outlineLevel="2">
      <c r="A534" s="57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7"/>
      <c r="N534" s="7"/>
      <c r="O534" s="7"/>
      <c r="P534" s="7"/>
      <c r="Q534" s="7"/>
      <c r="R534" s="7"/>
      <c r="S534" s="7"/>
      <c r="T534" s="7"/>
      <c r="U534" s="7"/>
    </row>
    <row r="535" spans="1:21" hidden="1" outlineLevel="2">
      <c r="A535" s="86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7"/>
      <c r="N535" s="7"/>
      <c r="O535" s="7"/>
      <c r="P535" s="7"/>
      <c r="Q535" s="7"/>
      <c r="R535" s="7"/>
      <c r="S535" s="7"/>
      <c r="T535" s="7"/>
      <c r="U535" s="7"/>
    </row>
    <row r="536" spans="1:21" hidden="1" outlineLevel="2">
      <c r="A536" s="86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7"/>
      <c r="N536" s="7"/>
      <c r="O536" s="7"/>
      <c r="P536" s="7"/>
      <c r="Q536" s="7"/>
      <c r="R536" s="7"/>
      <c r="S536" s="7"/>
      <c r="T536" s="7"/>
      <c r="U536" s="7"/>
    </row>
    <row r="537" spans="1:21" hidden="1" outlineLevel="2">
      <c r="A537" s="86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7"/>
      <c r="N537" s="7"/>
      <c r="O537" s="7"/>
      <c r="P537" s="7"/>
      <c r="Q537" s="7"/>
      <c r="R537" s="7"/>
      <c r="S537" s="7"/>
      <c r="T537" s="7"/>
      <c r="U537" s="7"/>
    </row>
    <row r="538" spans="1:21" hidden="1" outlineLevel="2">
      <c r="A538" s="86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7"/>
      <c r="N538" s="7"/>
      <c r="O538" s="7"/>
      <c r="P538" s="7"/>
      <c r="Q538" s="7"/>
      <c r="R538" s="7"/>
      <c r="S538" s="7"/>
      <c r="T538" s="7"/>
      <c r="U538" s="7"/>
    </row>
    <row r="539" spans="1:21" hidden="1" outlineLevel="2">
      <c r="A539" s="86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7"/>
      <c r="N539" s="7"/>
      <c r="O539" s="7"/>
      <c r="P539" s="7"/>
      <c r="Q539" s="7"/>
      <c r="R539" s="7"/>
      <c r="S539" s="7"/>
      <c r="T539" s="7"/>
      <c r="U539" s="7"/>
    </row>
    <row r="540" spans="1:21" hidden="1" outlineLevel="2">
      <c r="A540" s="86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7"/>
      <c r="N540" s="7"/>
      <c r="O540" s="7"/>
      <c r="P540" s="7"/>
      <c r="Q540" s="7"/>
      <c r="R540" s="7"/>
      <c r="S540" s="7"/>
      <c r="T540" s="7"/>
      <c r="U540" s="7"/>
    </row>
    <row r="541" spans="1:21" hidden="1" outlineLevel="2">
      <c r="A541" s="86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7"/>
      <c r="N541" s="7"/>
      <c r="O541" s="7"/>
      <c r="P541" s="7"/>
      <c r="Q541" s="7"/>
      <c r="R541" s="7"/>
      <c r="S541" s="7"/>
      <c r="T541" s="7"/>
      <c r="U541" s="7"/>
    </row>
    <row r="542" spans="1:21" hidden="1" outlineLevel="2">
      <c r="A542" s="86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7"/>
      <c r="N542" s="7"/>
      <c r="O542" s="7"/>
      <c r="P542" s="7"/>
      <c r="Q542" s="7"/>
      <c r="R542" s="7"/>
      <c r="S542" s="7"/>
      <c r="T542" s="7"/>
      <c r="U542" s="7"/>
    </row>
    <row r="543" spans="1:21" hidden="1" outlineLevel="2">
      <c r="A543" s="86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7"/>
      <c r="N543" s="7"/>
      <c r="O543" s="7"/>
      <c r="P543" s="7"/>
      <c r="Q543" s="7"/>
      <c r="R543" s="7"/>
      <c r="S543" s="7"/>
      <c r="T543" s="7"/>
      <c r="U543" s="7"/>
    </row>
    <row r="544" spans="1:21" hidden="1" outlineLevel="2">
      <c r="A544" s="86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7"/>
      <c r="N544" s="7"/>
      <c r="O544" s="7"/>
      <c r="P544" s="7"/>
      <c r="Q544" s="7"/>
      <c r="R544" s="7"/>
      <c r="S544" s="7"/>
      <c r="T544" s="7"/>
      <c r="U544" s="7"/>
    </row>
    <row r="545" spans="1:21" hidden="1" outlineLevel="2">
      <c r="A545" s="7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7"/>
      <c r="N545" s="7"/>
      <c r="O545" s="7"/>
      <c r="P545" s="7"/>
      <c r="Q545" s="7"/>
      <c r="R545" s="7"/>
      <c r="S545" s="7"/>
      <c r="T545" s="7"/>
      <c r="U545" s="7"/>
    </row>
    <row r="546" spans="1:21" hidden="1" outlineLevel="2">
      <c r="A546" s="7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7"/>
      <c r="N546" s="7"/>
      <c r="O546" s="7"/>
      <c r="P546" s="7"/>
      <c r="Q546" s="7"/>
      <c r="R546" s="7"/>
      <c r="S546" s="7"/>
      <c r="T546" s="7"/>
      <c r="U546" s="7"/>
    </row>
    <row r="547" spans="1:21" hidden="1" outlineLevel="2">
      <c r="A547" s="7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7"/>
      <c r="N547" s="7"/>
      <c r="O547" s="7"/>
      <c r="P547" s="7"/>
      <c r="Q547" s="7"/>
      <c r="R547" s="7"/>
      <c r="S547" s="7"/>
      <c r="T547" s="7"/>
      <c r="U547" s="7"/>
    </row>
    <row r="548" spans="1:21" hidden="1" outlineLevel="2">
      <c r="A548" s="86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7"/>
      <c r="N548" s="7"/>
      <c r="O548" s="7"/>
      <c r="P548" s="7"/>
      <c r="Q548" s="7"/>
      <c r="R548" s="7"/>
      <c r="S548" s="7"/>
      <c r="T548" s="7"/>
      <c r="U548" s="7"/>
    </row>
    <row r="549" spans="1:21" hidden="1" outlineLevel="2">
      <c r="A549" s="7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7"/>
      <c r="N549" s="7"/>
      <c r="O549" s="7"/>
      <c r="P549" s="7"/>
      <c r="Q549" s="7"/>
      <c r="R549" s="7"/>
      <c r="S549" s="7"/>
      <c r="T549" s="7"/>
      <c r="U549" s="7"/>
    </row>
    <row r="550" spans="1:21" hidden="1" outlineLevel="2">
      <c r="A550" s="7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7"/>
      <c r="N550" s="7"/>
      <c r="O550" s="7"/>
      <c r="P550" s="7"/>
      <c r="Q550" s="7"/>
      <c r="R550" s="7"/>
      <c r="S550" s="7"/>
      <c r="T550" s="7"/>
      <c r="U550" s="7"/>
    </row>
    <row r="551" spans="1:21" hidden="1" outlineLevel="2">
      <c r="A551" s="57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7"/>
      <c r="N551" s="7"/>
      <c r="O551" s="7"/>
      <c r="P551" s="7"/>
      <c r="Q551" s="7"/>
      <c r="R551" s="7"/>
      <c r="S551" s="7"/>
      <c r="T551" s="7"/>
      <c r="U551" s="7"/>
    </row>
    <row r="552" spans="1:21" hidden="1" outlineLevel="2">
      <c r="A552" s="86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7"/>
      <c r="N552" s="7"/>
      <c r="O552" s="7"/>
      <c r="P552" s="7"/>
      <c r="Q552" s="7"/>
      <c r="R552" s="7"/>
      <c r="S552" s="7"/>
      <c r="T552" s="7"/>
      <c r="U552" s="7"/>
    </row>
    <row r="553" spans="1:21" outlineLevel="1" collapsed="1">
      <c r="A553" s="57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7"/>
      <c r="N553" s="7"/>
      <c r="O553" s="7"/>
      <c r="P553" s="7"/>
      <c r="Q553" s="7"/>
      <c r="R553" s="7"/>
      <c r="S553" s="7"/>
      <c r="T553" s="7"/>
      <c r="U553" s="7"/>
    </row>
    <row r="554" spans="1:21" outlineLevel="1">
      <c r="A554" s="57"/>
      <c r="B554" s="8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7"/>
      <c r="N554" s="7"/>
      <c r="O554" s="7"/>
      <c r="P554" s="7"/>
      <c r="Q554" s="7"/>
      <c r="R554" s="7"/>
      <c r="S554" s="7"/>
      <c r="T554" s="7"/>
      <c r="U554" s="7"/>
    </row>
    <row r="555" spans="1:21" outlineLevel="1">
      <c r="A555" s="57"/>
      <c r="B555" s="8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7"/>
      <c r="N555" s="7"/>
      <c r="O555" s="7"/>
      <c r="P555" s="7"/>
      <c r="Q555" s="7"/>
      <c r="R555" s="7"/>
      <c r="S555" s="7"/>
      <c r="T555" s="7"/>
      <c r="U555" s="7"/>
    </row>
    <row r="556" spans="1:21" outlineLevel="1">
      <c r="A556" s="7"/>
      <c r="B556" s="8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7"/>
      <c r="N556" s="7"/>
      <c r="O556" s="7"/>
      <c r="P556" s="7"/>
      <c r="Q556" s="7"/>
      <c r="R556" s="7"/>
      <c r="S556" s="7"/>
      <c r="T556" s="7"/>
      <c r="U556" s="7"/>
    </row>
    <row r="557" spans="1:21" outlineLevel="1">
      <c r="A557" s="7"/>
      <c r="B557" s="87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7"/>
      <c r="N557" s="7"/>
      <c r="O557" s="7"/>
      <c r="P557" s="7"/>
      <c r="Q557" s="7"/>
      <c r="R557" s="7"/>
      <c r="S557" s="7"/>
      <c r="T557" s="7"/>
      <c r="U557" s="7"/>
    </row>
    <row r="558" spans="1:21" outlineLevel="1">
      <c r="A558" s="57"/>
      <c r="B558" s="8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7"/>
      <c r="N558" s="7"/>
      <c r="O558" s="7"/>
      <c r="P558" s="7"/>
      <c r="Q558" s="7"/>
      <c r="R558" s="7"/>
      <c r="S558" s="7"/>
      <c r="T558" s="7"/>
      <c r="U558" s="7"/>
    </row>
    <row r="559" spans="1:21" outlineLevel="1">
      <c r="A559" s="57"/>
      <c r="B559" s="8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7"/>
      <c r="N559" s="7"/>
      <c r="O559" s="7"/>
      <c r="P559" s="7"/>
      <c r="Q559" s="7"/>
      <c r="R559" s="7"/>
      <c r="S559" s="7"/>
      <c r="T559" s="7"/>
      <c r="U559" s="7"/>
    </row>
    <row r="560" spans="1:21" outlineLevel="1">
      <c r="A560" s="57"/>
      <c r="B560" s="87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7"/>
      <c r="N560" s="7"/>
      <c r="O560" s="7"/>
      <c r="P560" s="7"/>
      <c r="Q560" s="7"/>
      <c r="R560" s="7"/>
      <c r="S560" s="7"/>
      <c r="T560" s="7"/>
      <c r="U560" s="7"/>
    </row>
    <row r="561" spans="1:21" outlineLevel="1">
      <c r="A561" s="57"/>
      <c r="B561" s="87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7"/>
      <c r="N561" s="7"/>
      <c r="O561" s="7"/>
      <c r="P561" s="7"/>
      <c r="Q561" s="7"/>
      <c r="R561" s="7"/>
      <c r="S561" s="7"/>
      <c r="T561" s="7"/>
      <c r="U561" s="7"/>
    </row>
    <row r="562" spans="1:21">
      <c r="A562" s="7"/>
      <c r="B562" s="7"/>
      <c r="C562" s="7"/>
      <c r="D562" s="87"/>
      <c r="E562" s="87"/>
      <c r="F562" s="87"/>
      <c r="G562" s="87"/>
      <c r="H562" s="87"/>
      <c r="I562" s="87"/>
      <c r="J562" s="87"/>
      <c r="K562" s="87"/>
      <c r="L562" s="87"/>
      <c r="M562" s="7"/>
      <c r="N562" s="7"/>
      <c r="O562" s="7"/>
      <c r="P562" s="7"/>
      <c r="Q562" s="7"/>
      <c r="R562" s="7"/>
      <c r="S562" s="7"/>
      <c r="T562" s="7"/>
      <c r="U562" s="7"/>
    </row>
    <row r="563" spans="1:21">
      <c r="A563" s="7"/>
      <c r="B563" s="7"/>
      <c r="C563" s="7"/>
      <c r="D563" s="87"/>
      <c r="E563" s="87"/>
      <c r="F563" s="87"/>
      <c r="G563" s="87"/>
      <c r="H563" s="87"/>
      <c r="I563" s="87"/>
      <c r="J563" s="87"/>
      <c r="K563" s="87"/>
      <c r="L563" s="87"/>
      <c r="M563" s="7"/>
      <c r="N563" s="7"/>
      <c r="O563" s="7"/>
      <c r="P563" s="7"/>
      <c r="Q563" s="7"/>
      <c r="R563" s="7"/>
      <c r="S563" s="7"/>
      <c r="T563" s="7"/>
      <c r="U563" s="7"/>
    </row>
    <row r="564" spans="1:21">
      <c r="A564" s="7"/>
      <c r="B564" s="7"/>
      <c r="C564" s="7"/>
      <c r="D564" s="87"/>
      <c r="E564" s="87"/>
      <c r="F564" s="87"/>
      <c r="G564" s="87"/>
      <c r="H564" s="87"/>
      <c r="I564" s="87"/>
      <c r="J564" s="87"/>
      <c r="K564" s="87"/>
      <c r="L564" s="87"/>
      <c r="M564" s="7"/>
      <c r="N564" s="7"/>
      <c r="O564" s="7"/>
      <c r="P564" s="7"/>
      <c r="Q564" s="7"/>
      <c r="R564" s="7"/>
      <c r="S564" s="7"/>
      <c r="T564" s="7"/>
      <c r="U564" s="7"/>
    </row>
    <row r="565" spans="1:21">
      <c r="A565" s="7"/>
      <c r="B565" s="7"/>
      <c r="C565" s="7"/>
      <c r="D565" s="87"/>
      <c r="E565" s="87"/>
      <c r="F565" s="87"/>
      <c r="G565" s="87"/>
      <c r="H565" s="87"/>
      <c r="I565" s="87"/>
      <c r="J565" s="87"/>
      <c r="K565" s="87"/>
      <c r="L565" s="87"/>
      <c r="M565" s="7"/>
      <c r="N565" s="7"/>
      <c r="O565" s="7"/>
      <c r="P565" s="7"/>
      <c r="Q565" s="7"/>
      <c r="R565" s="7"/>
      <c r="S565" s="7"/>
      <c r="T565" s="7"/>
      <c r="U565" s="7"/>
    </row>
    <row r="566" spans="1:21">
      <c r="A566" s="7"/>
      <c r="B566" s="7"/>
      <c r="C566" s="7"/>
      <c r="D566" s="87"/>
      <c r="E566" s="87"/>
      <c r="F566" s="87"/>
      <c r="G566" s="87"/>
      <c r="H566" s="87"/>
      <c r="I566" s="87"/>
      <c r="J566" s="87"/>
      <c r="K566" s="87"/>
      <c r="L566" s="87"/>
      <c r="M566" s="7"/>
      <c r="N566" s="7"/>
      <c r="O566" s="7"/>
      <c r="P566" s="7"/>
      <c r="Q566" s="7"/>
      <c r="R566" s="7"/>
      <c r="S566" s="7"/>
      <c r="T566" s="7"/>
      <c r="U566" s="7"/>
    </row>
    <row r="567" spans="1:2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</row>
    <row r="568" spans="1:2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</row>
    <row r="569" spans="1:2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</row>
    <row r="570" spans="1:2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</row>
    <row r="571" spans="1:2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</row>
    <row r="572" spans="1:2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</row>
    <row r="573" spans="1:2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</row>
    <row r="574" spans="1:2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</row>
    <row r="575" spans="1:2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</row>
    <row r="576" spans="1:2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</row>
    <row r="577" spans="1:2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</row>
    <row r="578" spans="1:2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</row>
    <row r="579" spans="1:2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</row>
    <row r="580" spans="1:2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</row>
    <row r="581" spans="1:2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</row>
    <row r="582" spans="1:2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</row>
    <row r="583" spans="1:2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</row>
    <row r="584" spans="1:2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</row>
    <row r="585" spans="1:2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</row>
    <row r="586" spans="1:2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</row>
    <row r="587" spans="1:2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</row>
    <row r="588" spans="1:2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</row>
    <row r="589" spans="1:2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</row>
    <row r="590" spans="1:2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</row>
    <row r="591" spans="1:2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</row>
    <row r="592" spans="1:2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</row>
    <row r="593" spans="1:2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</row>
    <row r="594" spans="1:2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</row>
    <row r="595" spans="1:2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</row>
    <row r="596" spans="1:2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</row>
    <row r="597" spans="1:2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</row>
    <row r="598" spans="1:2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</row>
    <row r="599" spans="1:2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</row>
    <row r="600" spans="1:2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</row>
    <row r="601" spans="1:2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</row>
    <row r="602" spans="1:2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</row>
    <row r="603" spans="1:2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</row>
    <row r="604" spans="1:2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</row>
    <row r="605" spans="1:2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</row>
    <row r="606" spans="1:2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</row>
    <row r="607" spans="1:2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</row>
    <row r="608" spans="1:2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</row>
    <row r="609" spans="1:2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</row>
    <row r="610" spans="1:2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</row>
    <row r="611" spans="1:2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</row>
    <row r="612" spans="1:2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</row>
    <row r="613" spans="1:2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</row>
    <row r="614" spans="1:2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</row>
    <row r="615" spans="1:2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</row>
    <row r="616" spans="1:2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</row>
    <row r="617" spans="1:2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</row>
    <row r="618" spans="1:2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</row>
    <row r="619" spans="1:2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</row>
    <row r="620" spans="1:2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</row>
    <row r="621" spans="1: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</row>
    <row r="622" spans="1:2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</row>
    <row r="623" spans="1:2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</row>
    <row r="624" spans="1:2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</row>
    <row r="625" spans="1:2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</row>
    <row r="626" spans="1:2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</row>
    <row r="627" spans="1:2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</row>
    <row r="628" spans="1:2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</row>
    <row r="629" spans="1:2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</row>
    <row r="630" spans="1:2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</row>
    <row r="631" spans="1:2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</row>
    <row r="632" spans="1:2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</row>
    <row r="633" spans="1:2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</row>
    <row r="634" spans="1:2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</row>
    <row r="635" spans="1:2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</row>
    <row r="636" spans="1:2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</row>
    <row r="637" spans="1:2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</row>
    <row r="638" spans="1:2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</row>
    <row r="639" spans="1:2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</row>
    <row r="640" spans="1:2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</row>
    <row r="641" spans="1:2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</row>
    <row r="642" spans="1:2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</row>
    <row r="643" spans="1:2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</row>
    <row r="644" spans="1:2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</row>
    <row r="645" spans="1:2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</row>
    <row r="646" spans="1:2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</row>
    <row r="647" spans="1:2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</row>
    <row r="648" spans="1:2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</row>
    <row r="649" spans="1:2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</row>
    <row r="650" spans="1:2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</row>
    <row r="651" spans="1:2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</row>
    <row r="652" spans="1:2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</row>
    <row r="653" spans="1:2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</row>
    <row r="654" spans="1:2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</row>
    <row r="655" spans="1:2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</row>
    <row r="656" spans="1:2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</row>
    <row r="657" spans="1:2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</row>
    <row r="658" spans="1:2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</row>
    <row r="659" spans="1:2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</row>
    <row r="660" spans="1:2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</row>
    <row r="661" spans="1:2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</row>
    <row r="662" spans="1:2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</row>
    <row r="663" spans="1:2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</row>
    <row r="664" spans="1:2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</row>
    <row r="665" spans="1:2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</row>
    <row r="666" spans="1:2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</row>
    <row r="667" spans="1:2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</row>
    <row r="668" spans="1:2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</row>
    <row r="669" spans="1:2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</row>
    <row r="670" spans="1:2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</row>
    <row r="671" spans="1:2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</row>
    <row r="672" spans="1:2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</row>
    <row r="673" spans="1:2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</row>
    <row r="674" spans="1:2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</row>
    <row r="675" spans="1:2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</row>
    <row r="676" spans="1:2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</row>
    <row r="677" spans="1:2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</row>
    <row r="678" spans="1:2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</row>
    <row r="679" spans="1:2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</row>
    <row r="680" spans="1:2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</row>
    <row r="681" spans="1:2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</row>
    <row r="682" spans="1:2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</row>
    <row r="683" spans="1:2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</row>
    <row r="684" spans="1:2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</row>
    <row r="685" spans="1:2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</row>
    <row r="686" spans="1:2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</row>
    <row r="687" spans="1:2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</row>
    <row r="688" spans="1:2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</row>
    <row r="689" spans="1:2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</row>
    <row r="690" spans="1:2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</row>
    <row r="691" spans="1:2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</row>
    <row r="692" spans="1:2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</row>
    <row r="693" spans="1:2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</row>
    <row r="694" spans="1:2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</row>
    <row r="695" spans="1:2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</row>
    <row r="696" spans="1:2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</row>
    <row r="697" spans="1:2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</row>
    <row r="698" spans="1:2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</row>
    <row r="699" spans="1:2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</row>
    <row r="700" spans="1:2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</row>
    <row r="701" spans="1:2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</row>
    <row r="702" spans="1:2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</row>
    <row r="703" spans="1:2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</row>
    <row r="704" spans="1:2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</row>
    <row r="705" spans="1:2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</row>
    <row r="706" spans="1:2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</row>
    <row r="707" spans="1:2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</row>
    <row r="708" spans="1:2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</row>
    <row r="709" spans="1:2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</row>
    <row r="710" spans="1:2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</row>
    <row r="711" spans="1:2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</row>
    <row r="712" spans="1:2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</row>
    <row r="713" spans="1:2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</row>
    <row r="714" spans="1:2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</row>
    <row r="715" spans="1:2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</row>
    <row r="716" spans="1:2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</row>
    <row r="717" spans="1:2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</row>
    <row r="718" spans="1:2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</row>
    <row r="719" spans="1:2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</row>
    <row r="720" spans="1:2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</row>
    <row r="721" spans="1: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</row>
    <row r="722" spans="1:2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</row>
    <row r="723" spans="1:2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</row>
    <row r="724" spans="1:2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</row>
    <row r="725" spans="1:2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</row>
    <row r="726" spans="1:2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</row>
    <row r="727" spans="1:2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</row>
    <row r="728" spans="1:2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</row>
    <row r="729" spans="1:2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</row>
    <row r="730" spans="1:2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</row>
    <row r="731" spans="1:2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</row>
    <row r="732" spans="1:2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</row>
    <row r="733" spans="1:2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</row>
    <row r="734" spans="1:2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</row>
    <row r="735" spans="1:2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</row>
    <row r="736" spans="1:2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</row>
    <row r="737" spans="1:2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</row>
    <row r="738" spans="1:2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</row>
    <row r="739" spans="1:2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</row>
    <row r="740" spans="1:2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</row>
    <row r="741" spans="1:2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</row>
    <row r="742" spans="1:2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</row>
    <row r="743" spans="1:2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</row>
    <row r="744" spans="1:2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</row>
    <row r="745" spans="1:2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</row>
    <row r="746" spans="1:2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</row>
    <row r="747" spans="1:2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</row>
    <row r="748" spans="1:2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</row>
    <row r="749" spans="1:2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</row>
    <row r="750" spans="1:2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</row>
    <row r="751" spans="1:2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</row>
    <row r="752" spans="1:2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</row>
    <row r="753" spans="1:2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</row>
    <row r="754" spans="1:2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</row>
    <row r="755" spans="1:2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</row>
    <row r="756" spans="1:2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</row>
    <row r="757" spans="1:2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</row>
    <row r="758" spans="1:2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</row>
    <row r="759" spans="1:2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</row>
    <row r="760" spans="1:2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</row>
    <row r="761" spans="1:2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</row>
    <row r="762" spans="1:2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</row>
    <row r="763" spans="1:2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</row>
    <row r="764" spans="1:2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</row>
    <row r="765" spans="1:2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</row>
    <row r="766" spans="1:2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</row>
    <row r="767" spans="1:2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</row>
    <row r="768" spans="1:2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</row>
    <row r="769" spans="1:2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</row>
    <row r="770" spans="1:2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</row>
    <row r="771" spans="1:2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</row>
    <row r="772" spans="1:2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</row>
    <row r="773" spans="1:2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</row>
    <row r="774" spans="1:2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</row>
    <row r="775" spans="1:2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</row>
  </sheetData>
  <pageMargins left="0.75" right="0.75" top="1" bottom="1" header="0.5" footer="0.5"/>
  <pageSetup scale="37" orientation="landscape" r:id="rId1"/>
  <headerFooter alignWithMargins="0">
    <oddHeader>&amp;L&amp;12Enron's Generation&amp;RCONFIDENTIAL</oddHeader>
    <oddFooter>&amp;L&amp;D&amp;C&amp;F&amp;RPage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BC775"/>
  <sheetViews>
    <sheetView zoomScale="75" zoomScaleNormal="75" workbookViewId="0">
      <selection activeCell="A2" sqref="A2"/>
    </sheetView>
  </sheetViews>
  <sheetFormatPr defaultRowHeight="12.75" outlineLevelRow="2" outlineLevelCol="1"/>
  <cols>
    <col min="1" max="1" width="47.42578125" style="6" customWidth="1"/>
    <col min="2" max="3" width="10.7109375" style="6" customWidth="1" outlineLevel="1"/>
    <col min="4" max="21" width="10.7109375" style="6" customWidth="1"/>
    <col min="22" max="22" width="9.140625" style="7"/>
    <col min="23" max="23" width="10.5703125" style="7" bestFit="1" customWidth="1"/>
    <col min="24" max="16384" width="9.140625" style="7"/>
  </cols>
  <sheetData>
    <row r="1" spans="1:55"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</row>
    <row r="2" spans="1:55" ht="18.75">
      <c r="A2" s="52" t="s">
        <v>94</v>
      </c>
      <c r="B2" s="373"/>
      <c r="C2" s="373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</row>
    <row r="5" spans="1:55" ht="13.5" thickBot="1">
      <c r="A5" s="194" t="s">
        <v>56</v>
      </c>
      <c r="B5" s="8">
        <f>Brownsville!B5</f>
        <v>2001</v>
      </c>
      <c r="C5" s="8">
        <f t="shared" ref="C5:U5" si="0">B5+1</f>
        <v>2002</v>
      </c>
      <c r="D5" s="8">
        <f t="shared" si="0"/>
        <v>2003</v>
      </c>
      <c r="E5" s="8">
        <f t="shared" si="0"/>
        <v>2004</v>
      </c>
      <c r="F5" s="8">
        <f t="shared" si="0"/>
        <v>2005</v>
      </c>
      <c r="G5" s="8">
        <f t="shared" si="0"/>
        <v>2006</v>
      </c>
      <c r="H5" s="8">
        <f t="shared" si="0"/>
        <v>2007</v>
      </c>
      <c r="I5" s="8">
        <f t="shared" si="0"/>
        <v>2008</v>
      </c>
      <c r="J5" s="8">
        <f t="shared" si="0"/>
        <v>2009</v>
      </c>
      <c r="K5" s="8">
        <f t="shared" si="0"/>
        <v>2010</v>
      </c>
      <c r="L5" s="8">
        <f t="shared" si="0"/>
        <v>2011</v>
      </c>
      <c r="M5" s="8">
        <f t="shared" si="0"/>
        <v>2012</v>
      </c>
      <c r="N5" s="8">
        <f t="shared" si="0"/>
        <v>2013</v>
      </c>
      <c r="O5" s="8">
        <f t="shared" si="0"/>
        <v>2014</v>
      </c>
      <c r="P5" s="8">
        <f t="shared" si="0"/>
        <v>2015</v>
      </c>
      <c r="Q5" s="8">
        <f t="shared" si="0"/>
        <v>2016</v>
      </c>
      <c r="R5" s="8">
        <f t="shared" si="0"/>
        <v>2017</v>
      </c>
      <c r="S5" s="8">
        <f t="shared" si="0"/>
        <v>2018</v>
      </c>
      <c r="T5" s="8">
        <f t="shared" si="0"/>
        <v>2019</v>
      </c>
      <c r="U5" s="8">
        <f t="shared" si="0"/>
        <v>2020</v>
      </c>
    </row>
    <row r="6" spans="1:55">
      <c r="A6" s="2"/>
      <c r="B6" s="414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</row>
    <row r="7" spans="1:55">
      <c r="A7" s="1" t="s">
        <v>57</v>
      </c>
      <c r="B7" s="421"/>
      <c r="C7" s="421"/>
      <c r="D7" s="421"/>
      <c r="E7" s="421"/>
      <c r="F7" s="421"/>
      <c r="G7" s="421"/>
      <c r="H7" s="421"/>
      <c r="I7" s="421"/>
      <c r="J7" s="421"/>
      <c r="K7" s="421"/>
      <c r="L7" s="421"/>
      <c r="M7" s="421"/>
      <c r="N7" s="421"/>
      <c r="O7" s="421"/>
      <c r="P7" s="421"/>
      <c r="Q7" s="421"/>
      <c r="R7" s="421"/>
      <c r="S7" s="421"/>
      <c r="T7" s="421"/>
      <c r="U7" s="421"/>
      <c r="V7" s="58"/>
      <c r="W7" s="58"/>
      <c r="X7" s="58"/>
      <c r="Y7" s="473">
        <f>SUM(Z7:AS7)-SUM(Z8:AS8)</f>
        <v>0</v>
      </c>
      <c r="Z7" s="474">
        <f>B10+B11</f>
        <v>886.07793520000007</v>
      </c>
      <c r="AA7" s="474">
        <f>C10+C11</f>
        <v>912.6602732560001</v>
      </c>
      <c r="AB7" s="474">
        <f>D10+D11</f>
        <v>940.04008145368016</v>
      </c>
      <c r="AC7" s="474">
        <f t="shared" ref="AC7:AS7" si="1">E16</f>
        <v>630.58864089729036</v>
      </c>
      <c r="AD7" s="474">
        <f t="shared" si="1"/>
        <v>649.50630012420902</v>
      </c>
      <c r="AE7" s="474">
        <f t="shared" si="1"/>
        <v>668.99148912793532</v>
      </c>
      <c r="AF7" s="474">
        <f t="shared" si="1"/>
        <v>689.06123380177348</v>
      </c>
      <c r="AG7" s="474">
        <f t="shared" si="1"/>
        <v>709.73307081582652</v>
      </c>
      <c r="AH7" s="474">
        <f t="shared" si="1"/>
        <v>731.02506294030138</v>
      </c>
      <c r="AI7" s="474">
        <f t="shared" si="1"/>
        <v>752.95581482851048</v>
      </c>
      <c r="AJ7" s="474">
        <f t="shared" si="1"/>
        <v>775.5444892733658</v>
      </c>
      <c r="AK7" s="474">
        <f t="shared" si="1"/>
        <v>798.81082395156659</v>
      </c>
      <c r="AL7" s="474">
        <f t="shared" si="1"/>
        <v>822.77514867011359</v>
      </c>
      <c r="AM7" s="474">
        <f t="shared" si="1"/>
        <v>847.45840313021711</v>
      </c>
      <c r="AN7" s="474">
        <f t="shared" si="1"/>
        <v>872.88215522412361</v>
      </c>
      <c r="AO7" s="474">
        <f t="shared" si="1"/>
        <v>899.06861988084722</v>
      </c>
      <c r="AP7" s="474">
        <f t="shared" si="1"/>
        <v>926.04067847727265</v>
      </c>
      <c r="AQ7" s="474">
        <f t="shared" si="1"/>
        <v>953.82189883159094</v>
      </c>
      <c r="AR7" s="474">
        <f t="shared" si="1"/>
        <v>982.43655579653853</v>
      </c>
      <c r="AS7" s="474">
        <f t="shared" si="1"/>
        <v>1011.9096524704347</v>
      </c>
    </row>
    <row r="8" spans="1:55">
      <c r="A8" s="347" t="s">
        <v>144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8"/>
      <c r="W8" s="16"/>
      <c r="X8" s="16"/>
      <c r="Y8" s="473">
        <v>0</v>
      </c>
      <c r="Z8" s="495">
        <f>B23+B24</f>
        <v>886.07793520000007</v>
      </c>
      <c r="AA8" s="495">
        <f>C23+C24</f>
        <v>912.6602732560001</v>
      </c>
      <c r="AB8" s="495">
        <f>D23+D24</f>
        <v>940.04008145368016</v>
      </c>
      <c r="AC8" s="495">
        <f t="shared" ref="AC8:AS8" si="2">E23+1/3*E24</f>
        <v>630.58864089729036</v>
      </c>
      <c r="AD8" s="495">
        <f t="shared" si="2"/>
        <v>649.50630012420902</v>
      </c>
      <c r="AE8" s="495">
        <f t="shared" si="2"/>
        <v>668.99148912793544</v>
      </c>
      <c r="AF8" s="495">
        <f t="shared" si="2"/>
        <v>689.0612338017736</v>
      </c>
      <c r="AG8" s="495">
        <f t="shared" si="2"/>
        <v>709.73307081582664</v>
      </c>
      <c r="AH8" s="495">
        <f t="shared" si="2"/>
        <v>731.0250629403015</v>
      </c>
      <c r="AI8" s="495">
        <f t="shared" si="2"/>
        <v>752.9558148285106</v>
      </c>
      <c r="AJ8" s="495">
        <f t="shared" si="2"/>
        <v>775.5444892733658</v>
      </c>
      <c r="AK8" s="495">
        <f t="shared" si="2"/>
        <v>798.8108239515667</v>
      </c>
      <c r="AL8" s="495">
        <f t="shared" si="2"/>
        <v>822.77514867011382</v>
      </c>
      <c r="AM8" s="495">
        <f t="shared" si="2"/>
        <v>847.45840313021722</v>
      </c>
      <c r="AN8" s="495">
        <f t="shared" si="2"/>
        <v>872.88215522412372</v>
      </c>
      <c r="AO8" s="495">
        <f t="shared" si="2"/>
        <v>899.06861988084734</v>
      </c>
      <c r="AP8" s="495">
        <f t="shared" si="2"/>
        <v>926.04067847727288</v>
      </c>
      <c r="AQ8" s="495">
        <f t="shared" si="2"/>
        <v>953.82189883159106</v>
      </c>
      <c r="AR8" s="495">
        <f t="shared" si="2"/>
        <v>982.43655579653864</v>
      </c>
      <c r="AS8" s="495">
        <f t="shared" si="2"/>
        <v>1011.9096524704349</v>
      </c>
      <c r="AT8" s="16"/>
      <c r="AU8" s="16"/>
      <c r="AV8" s="16"/>
      <c r="AW8" s="16"/>
      <c r="AX8" s="16"/>
      <c r="AY8" s="16"/>
      <c r="AZ8" s="16"/>
      <c r="BA8" s="16"/>
      <c r="BB8" s="16"/>
      <c r="BC8" s="16"/>
    </row>
    <row r="9" spans="1:55">
      <c r="A9" s="3" t="s">
        <v>58</v>
      </c>
      <c r="B9" s="56">
        <f>'Power Price Assumption'!D27*12*Assumptions!$E$9</f>
        <v>17808</v>
      </c>
      <c r="C9" s="56">
        <f>'Power Price Assumption'!E27*12*Assumptions!$E$9</f>
        <v>17808</v>
      </c>
      <c r="D9" s="56">
        <f>'Power Price Assumption'!F27*12*Assumptions!$E$9</f>
        <v>17808</v>
      </c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8"/>
      <c r="W9" s="91">
        <f>SUM(B9:U9)</f>
        <v>53424</v>
      </c>
      <c r="X9" s="16"/>
      <c r="Y9" s="473"/>
      <c r="Z9" s="475">
        <f>Z7-Z8</f>
        <v>0</v>
      </c>
      <c r="AA9" s="475">
        <f t="shared" ref="AA9:AS9" si="3">AA7-AA8</f>
        <v>0</v>
      </c>
      <c r="AB9" s="475">
        <f t="shared" si="3"/>
        <v>0</v>
      </c>
      <c r="AC9" s="475">
        <f t="shared" si="3"/>
        <v>0</v>
      </c>
      <c r="AD9" s="475">
        <f t="shared" si="3"/>
        <v>0</v>
      </c>
      <c r="AE9" s="475">
        <f t="shared" si="3"/>
        <v>0</v>
      </c>
      <c r="AF9" s="475">
        <f t="shared" si="3"/>
        <v>0</v>
      </c>
      <c r="AG9" s="475">
        <f t="shared" si="3"/>
        <v>0</v>
      </c>
      <c r="AH9" s="475">
        <f t="shared" si="3"/>
        <v>0</v>
      </c>
      <c r="AI9" s="475">
        <f t="shared" si="3"/>
        <v>0</v>
      </c>
      <c r="AJ9" s="475">
        <f t="shared" si="3"/>
        <v>0</v>
      </c>
      <c r="AK9" s="475">
        <f t="shared" si="3"/>
        <v>0</v>
      </c>
      <c r="AL9" s="475">
        <f t="shared" si="3"/>
        <v>0</v>
      </c>
      <c r="AM9" s="475">
        <f t="shared" si="3"/>
        <v>0</v>
      </c>
      <c r="AN9" s="475">
        <f t="shared" si="3"/>
        <v>0</v>
      </c>
      <c r="AO9" s="475">
        <f t="shared" si="3"/>
        <v>0</v>
      </c>
      <c r="AP9" s="475">
        <f t="shared" si="3"/>
        <v>0</v>
      </c>
      <c r="AQ9" s="475">
        <f t="shared" si="3"/>
        <v>0</v>
      </c>
      <c r="AR9" s="475">
        <f t="shared" si="3"/>
        <v>0</v>
      </c>
      <c r="AS9" s="475">
        <f t="shared" si="3"/>
        <v>0</v>
      </c>
      <c r="AT9" s="16"/>
      <c r="AU9" s="16"/>
      <c r="AV9" s="16"/>
      <c r="AW9" s="16"/>
      <c r="AX9" s="16"/>
      <c r="AY9" s="16"/>
      <c r="AZ9" s="16"/>
      <c r="BA9" s="16"/>
      <c r="BB9" s="16"/>
      <c r="BC9" s="16"/>
    </row>
    <row r="10" spans="1:55">
      <c r="A10" s="3" t="s">
        <v>208</v>
      </c>
      <c r="B10" s="56">
        <f>Assumptions!E19*Assumptions!E17/1000*(1+Assumptions!$E$25)</f>
        <v>422.57793520000007</v>
      </c>
      <c r="C10" s="56">
        <f>B10*(1+Assumptions!$E$25)</f>
        <v>435.25527325600007</v>
      </c>
      <c r="D10" s="56">
        <f>C10*(1+Assumptions!$E$25)</f>
        <v>448.31293145368011</v>
      </c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8"/>
      <c r="W10" s="91">
        <f>SUM(B10:U10)</f>
        <v>1306.1461399096802</v>
      </c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</row>
    <row r="11" spans="1:55">
      <c r="A11" s="3" t="s">
        <v>255</v>
      </c>
      <c r="B11" s="127">
        <f>Assumptions!$E$18*Assumptions!$E$11*Assumptions!$E$8/1000*(1+Assumptions!$E$25)</f>
        <v>463.5</v>
      </c>
      <c r="C11" s="91">
        <f>B11*(1+Assumptions!$E$25)</f>
        <v>477.40500000000003</v>
      </c>
      <c r="D11" s="91">
        <f>C11*(1+Assumptions!$E$25)</f>
        <v>491.72715000000005</v>
      </c>
      <c r="E11" s="56"/>
      <c r="F11" s="56"/>
      <c r="G11" s="56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8"/>
      <c r="W11" s="91">
        <f>SUM(B11:U11)</f>
        <v>1432.6321499999999</v>
      </c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</row>
    <row r="12" spans="1:55">
      <c r="A12" s="3" t="s">
        <v>275</v>
      </c>
      <c r="B12" s="127">
        <f>'Amortization of Power Contract'!$C$23/3</f>
        <v>6575.090395756768</v>
      </c>
      <c r="C12" s="127">
        <f>'Amortization of Power Contract'!$C$23/3</f>
        <v>6575.090395756768</v>
      </c>
      <c r="D12" s="127">
        <f>'Amortization of Power Contract'!$C$23/3</f>
        <v>6575.090395756768</v>
      </c>
      <c r="E12" s="56"/>
      <c r="F12" s="56"/>
      <c r="G12" s="56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8"/>
      <c r="W12" s="91">
        <f>SUM(B12:U12)</f>
        <v>19725.271187270304</v>
      </c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</row>
    <row r="13" spans="1:55">
      <c r="A13" s="1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8"/>
      <c r="W13" s="91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</row>
    <row r="14" spans="1:55">
      <c r="A14" s="347" t="s">
        <v>281</v>
      </c>
      <c r="W14" s="91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</row>
    <row r="15" spans="1:55" s="62" customFormat="1" ht="12" customHeight="1">
      <c r="A15" s="3" t="s">
        <v>58</v>
      </c>
      <c r="B15" s="19">
        <v>0</v>
      </c>
      <c r="C15" s="19">
        <v>0</v>
      </c>
      <c r="D15" s="19">
        <v>0</v>
      </c>
      <c r="E15" s="19">
        <f>'Power Price Assumption'!G27*Assumptions!$E$9*12</f>
        <v>28580.690259731728</v>
      </c>
      <c r="F15" s="19">
        <f>'Power Price Assumption'!H27*Assumptions!$E$9*12</f>
        <v>29997.90319162907</v>
      </c>
      <c r="G15" s="19">
        <f>'Power Price Assumption'!I27*Assumptions!$E$9*12</f>
        <v>30382.587490901788</v>
      </c>
      <c r="H15" s="19">
        <f>'Power Price Assumption'!J27*Assumptions!$E$9*12</f>
        <v>30772.204868635425</v>
      </c>
      <c r="I15" s="19">
        <f>'Power Price Assumption'!K27*Assumptions!$E$9*12</f>
        <v>31166.818585179157</v>
      </c>
      <c r="J15" s="19">
        <f>'Power Price Assumption'!L27*Assumptions!$E$9*12</f>
        <v>31566.492712114316</v>
      </c>
      <c r="K15" s="19">
        <f>'Power Price Assumption'!M27*Assumptions!$E$9*12</f>
        <v>31971.292142657378</v>
      </c>
      <c r="L15" s="19">
        <f>'Power Price Assumption'!N27*Assumptions!$E$9*12</f>
        <v>32576.257894258524</v>
      </c>
      <c r="M15" s="19">
        <f>'Power Price Assumption'!O27*Assumptions!$E$9*12</f>
        <v>33192.670901697107</v>
      </c>
      <c r="N15" s="19">
        <f>'Power Price Assumption'!P27*Assumptions!$E$9*12</f>
        <v>33820.747771724593</v>
      </c>
      <c r="O15" s="19">
        <f>'Power Price Assumption'!Q27*Assumptions!$E$9*12</f>
        <v>34460.709209759014</v>
      </c>
      <c r="P15" s="19">
        <f>'Power Price Assumption'!R27*Assumptions!$E$9*12</f>
        <v>35112.780097440627</v>
      </c>
      <c r="Q15" s="19">
        <f>'Power Price Assumption'!S27*Assumptions!$E$9*12</f>
        <v>35613.748729049599</v>
      </c>
      <c r="R15" s="19">
        <f>'Power Price Assumption'!T27*Assumptions!$E$9*12</f>
        <v>36121.864888400887</v>
      </c>
      <c r="S15" s="19">
        <f>'Power Price Assumption'!U27*Assumptions!$E$9*12</f>
        <v>36637.230552244335</v>
      </c>
      <c r="T15" s="19">
        <f>'Power Price Assumption'!V27*Assumptions!$E$9*12</f>
        <v>37159.949152274457</v>
      </c>
      <c r="U15" s="19">
        <f>'Power Price Assumption'!W27*Assumptions!$E$9*12</f>
        <v>37690.125595888836</v>
      </c>
      <c r="W15" s="91">
        <f>SUM(B15:U15)</f>
        <v>566824.07404358685</v>
      </c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</row>
    <row r="16" spans="1:55" s="62" customFormat="1" ht="12" customHeight="1">
      <c r="A16" s="3" t="s">
        <v>59</v>
      </c>
      <c r="B16" s="19">
        <v>0</v>
      </c>
      <c r="C16" s="19">
        <v>0</v>
      </c>
      <c r="D16" s="19">
        <v>0</v>
      </c>
      <c r="E16" s="127">
        <f>1/3*Assumptions!$E$18*Assumptions!$E$11*Assumptions!$E$8/1000*(1+Assumptions!$E$25)^(E5-2000)+Assumptions!$E$19*Assumptions!$E$17*(1+Assumptions!$E$25)^(E5-2000)/1000</f>
        <v>630.58864089729036</v>
      </c>
      <c r="F16" s="127">
        <f>1/3*Assumptions!$E$18*Assumptions!$E$11*Assumptions!$E$8/1000*(1+Assumptions!$E$25)^(F5-2000)+Assumptions!$E$19*Assumptions!$E$17*(1+Assumptions!$E$25)^(F5-2000)/1000</f>
        <v>649.50630012420902</v>
      </c>
      <c r="G16" s="127">
        <f>1/3*Assumptions!$E$18*Assumptions!$E$11*Assumptions!$E$8/1000*(1+Assumptions!$E$25)^(G5-2000)+Assumptions!$E$19*Assumptions!$E$17*(1+Assumptions!$E$25)^(G5-2000)/1000</f>
        <v>668.99148912793532</v>
      </c>
      <c r="H16" s="127">
        <f>1/3*Assumptions!$E$18*Assumptions!$E$11*Assumptions!$E$8/1000*(1+Assumptions!$E$25)^(H5-2000)+Assumptions!$E$19*Assumptions!$E$17*(1+Assumptions!$E$25)^(H5-2000)/1000</f>
        <v>689.06123380177348</v>
      </c>
      <c r="I16" s="127">
        <f>1/3*Assumptions!$E$18*Assumptions!$E$11*Assumptions!$E$8/1000*(1+Assumptions!$E$25)^(I5-2000)+Assumptions!$E$19*Assumptions!$E$17*(1+Assumptions!$E$25)^(I5-2000)/1000</f>
        <v>709.73307081582652</v>
      </c>
      <c r="J16" s="127">
        <f>1/3*Assumptions!$E$18*Assumptions!$E$11*Assumptions!$E$8/1000*(1+Assumptions!$E$25)^(J5-2000)+Assumptions!$E$19*Assumptions!$E$17*(1+Assumptions!$E$25)^(J5-2000)/1000</f>
        <v>731.02506294030138</v>
      </c>
      <c r="K16" s="127">
        <f>1/3*Assumptions!$E$18*Assumptions!$E$11*Assumptions!$E$8/1000*(1+Assumptions!$E$25)^(K5-2000)+Assumptions!$E$19*Assumptions!$E$17*(1+Assumptions!$E$25)^(K5-2000)/1000</f>
        <v>752.95581482851048</v>
      </c>
      <c r="L16" s="127">
        <f>1/3*Assumptions!$E$18*Assumptions!$E$11*Assumptions!$E$8/1000*(1+Assumptions!$E$25)^(L5-2000)+Assumptions!$E$19*Assumptions!$E$17*(1+Assumptions!$E$25)^(L5-2000)/1000</f>
        <v>775.5444892733658</v>
      </c>
      <c r="M16" s="127">
        <f>1/3*Assumptions!$E$18*Assumptions!$E$11*Assumptions!$E$8/1000*(1+Assumptions!$E$25)^(M5-2000)+Assumptions!$E$19*Assumptions!$E$17*(1+Assumptions!$E$25)^(M5-2000)/1000</f>
        <v>798.81082395156659</v>
      </c>
      <c r="N16" s="127">
        <f>1/3*Assumptions!$E$18*Assumptions!$E$11*Assumptions!$E$8/1000*(1+Assumptions!$E$25)^(N5-2000)+Assumptions!$E$19*Assumptions!$E$17*(1+Assumptions!$E$25)^(N5-2000)/1000</f>
        <v>822.77514867011359</v>
      </c>
      <c r="O16" s="127">
        <f>1/3*Assumptions!$E$18*Assumptions!$E$11*Assumptions!$E$8/1000*(1+Assumptions!$E$25)^(O5-2000)+Assumptions!$E$19*Assumptions!$E$17*(1+Assumptions!$E$25)^(O5-2000)/1000</f>
        <v>847.45840313021711</v>
      </c>
      <c r="P16" s="127">
        <f>1/3*Assumptions!$E$18*Assumptions!$E$11*Assumptions!$E$8/1000*(1+Assumptions!$E$25)^(P5-2000)+Assumptions!$E$19*Assumptions!$E$17*(1+Assumptions!$E$25)^(P5-2000)/1000</f>
        <v>872.88215522412361</v>
      </c>
      <c r="Q16" s="127">
        <f>1/3*Assumptions!$E$18*Assumptions!$E$11*Assumptions!$E$8/1000*(1+Assumptions!$E$25)^(Q5-2000)+Assumptions!$E$19*Assumptions!$E$17*(1+Assumptions!$E$25)^(Q5-2000)/1000</f>
        <v>899.06861988084722</v>
      </c>
      <c r="R16" s="127">
        <f>1/3*Assumptions!$E$18*Assumptions!$E$11*Assumptions!$E$8/1000*(1+Assumptions!$E$25)^(R5-2000)+Assumptions!$E$19*Assumptions!$E$17*(1+Assumptions!$E$25)^(R5-2000)/1000</f>
        <v>926.04067847727265</v>
      </c>
      <c r="S16" s="127">
        <f>1/3*Assumptions!$E$18*Assumptions!$E$11*Assumptions!$E$8/1000*(1+Assumptions!$E$25)^(S5-2000)+Assumptions!$E$19*Assumptions!$E$17*(1+Assumptions!$E$25)^(S5-2000)/1000</f>
        <v>953.82189883159094</v>
      </c>
      <c r="T16" s="127">
        <f>1/3*Assumptions!$E$18*Assumptions!$E$11*Assumptions!$E$8/1000*(1+Assumptions!$E$25)^(T5-2000)+Assumptions!$E$19*Assumptions!$E$17*(1+Assumptions!$E$25)^(T5-2000)/1000</f>
        <v>982.43655579653853</v>
      </c>
      <c r="U16" s="127">
        <f>1/3*Assumptions!$E$18*Assumptions!$E$11*Assumptions!$E$8/1000*(1+Assumptions!$E$25)^(U5-2000)+Assumptions!$E$19*Assumptions!$E$17*(1+Assumptions!$E$25)^(U5-2000)/1000</f>
        <v>1011.9096524704347</v>
      </c>
      <c r="W16" s="91">
        <f>SUM(B16:U16)</f>
        <v>13722.610038241919</v>
      </c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</row>
    <row r="17" spans="1:55" s="62" customFormat="1" ht="12" customHeight="1">
      <c r="A17" s="3"/>
      <c r="W17" s="91">
        <f>SUM(B17:U17)</f>
        <v>0</v>
      </c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</row>
    <row r="18" spans="1:55" s="62" customFormat="1" ht="12" customHeight="1">
      <c r="A18" s="3" t="s">
        <v>168</v>
      </c>
      <c r="B18" s="198">
        <f>(SUM(B9:B11)-SUM(B22:B28))*'Summary Output'!$B$29/4</f>
        <v>182.51450870519432</v>
      </c>
      <c r="C18" s="198">
        <f>(SUM(C9:C11)-SUM(C22:C28))*'Summary Output'!$B$29/4</f>
        <v>181.80657475161112</v>
      </c>
      <c r="D18" s="198">
        <f>(SUM(D9:D11)-SUM(D22:D28))*'Summary Output'!$B$29/4</f>
        <v>181.08252703993833</v>
      </c>
      <c r="E18" s="198">
        <f>(SUM(E9:E16)-SUM(E22:E28))*'Summary Output'!$B$29/4</f>
        <v>311.02208182240236</v>
      </c>
      <c r="F18" s="198">
        <f>(SUM(F9:F16)-SUM(F22:F28))*'Summary Output'!$B$29/4</f>
        <v>328.11642441617226</v>
      </c>
      <c r="G18" s="198">
        <f>(SUM(G9:G16)-SUM(G22:G28))*'Summary Output'!$B$29/4</f>
        <v>332.3390132282837</v>
      </c>
      <c r="H18" s="198">
        <f>(SUM(H9:H16)-SUM(H22:H28))*'Summary Output'!$B$29/4</f>
        <v>336.61084833826408</v>
      </c>
      <c r="I18" s="198">
        <f>(SUM(I9:I16)-SUM(I22:I28))*'Summary Output'!$B$29/4</f>
        <v>340.92503769979442</v>
      </c>
      <c r="J18" s="198">
        <f>(SUM(J9:J16)-SUM(J22:J28))*'Summary Output'!$B$29/4</f>
        <v>345.44781078038255</v>
      </c>
      <c r="K18" s="198">
        <f>(SUM(K9:K16)-SUM(K22:K28))*'Summary Output'!$B$29/4</f>
        <v>343.06075606487104</v>
      </c>
      <c r="L18" s="198">
        <f>(SUM(L9:L16)-SUM(L22:L28))*'Summary Output'!$B$29/4</f>
        <v>351.85455854230133</v>
      </c>
      <c r="M18" s="198">
        <f>(SUM(M9:M16)-SUM(M22:M28))*'Summary Output'!$B$29/4</f>
        <v>360.98322498493962</v>
      </c>
      <c r="N18" s="198">
        <f>(SUM(N9:N16)-SUM(N22:N28))*'Summary Output'!$B$29/4</f>
        <v>369.30689480399599</v>
      </c>
      <c r="O18" s="198">
        <f>(SUM(O9:O16)-SUM(O22:O28))*'Summary Output'!$B$29/4</f>
        <v>376.14151783472533</v>
      </c>
      <c r="P18" s="198">
        <f>(SUM(P9:P16)-SUM(P22:P28))*'Summary Output'!$B$29/4</f>
        <v>383.08616063002654</v>
      </c>
      <c r="Q18" s="198">
        <f>(SUM(Q9:Q16)-SUM(Q22:Q28))*'Summary Output'!$B$29/4</f>
        <v>388.0429002749172</v>
      </c>
      <c r="R18" s="198">
        <f>(SUM(R9:R16)-SUM(R22:R28))*'Summary Output'!$B$29/4</f>
        <v>392.9892499591096</v>
      </c>
      <c r="S18" s="198">
        <f>(SUM(S9:S16)-SUM(S22:S28))*'Summary Output'!$B$29/4</f>
        <v>397.98038116419997</v>
      </c>
      <c r="T18" s="198">
        <f>(SUM(T9:T16)-SUM(T22:T28))*'Summary Output'!$B$29/4</f>
        <v>403.01619266875605</v>
      </c>
      <c r="U18" s="198">
        <f>(SUM(U9:U16)-SUM(U22:U28))*'Summary Output'!$B$29/4</f>
        <v>408.09655572400402</v>
      </c>
      <c r="W18" s="91">
        <f>SUM(B18:U18)</f>
        <v>6714.4232194338892</v>
      </c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</row>
    <row r="19" spans="1:55" s="62" customFormat="1" ht="12" customHeight="1">
      <c r="A19" s="3" t="s">
        <v>60</v>
      </c>
      <c r="B19" s="56">
        <f>SUM(B9:B18)</f>
        <v>25451.68283966196</v>
      </c>
      <c r="C19" s="56">
        <f t="shared" ref="C19:U19" si="4">SUM(C9:C18)</f>
        <v>25477.557243764379</v>
      </c>
      <c r="D19" s="56">
        <f t="shared" si="4"/>
        <v>25504.213004250389</v>
      </c>
      <c r="E19" s="56">
        <f t="shared" si="4"/>
        <v>29522.300982451419</v>
      </c>
      <c r="F19" s="56">
        <f t="shared" si="4"/>
        <v>30975.525916169452</v>
      </c>
      <c r="G19" s="56">
        <f t="shared" si="4"/>
        <v>31383.917993258008</v>
      </c>
      <c r="H19" s="56">
        <f t="shared" si="4"/>
        <v>31797.876950775462</v>
      </c>
      <c r="I19" s="56">
        <f t="shared" si="4"/>
        <v>32217.476693694778</v>
      </c>
      <c r="J19" s="56">
        <f t="shared" si="4"/>
        <v>32642.965585835002</v>
      </c>
      <c r="K19" s="56">
        <f t="shared" si="4"/>
        <v>33067.308713550759</v>
      </c>
      <c r="L19" s="56">
        <f t="shared" si="4"/>
        <v>33703.656942074187</v>
      </c>
      <c r="M19" s="56">
        <f t="shared" si="4"/>
        <v>34352.464950633614</v>
      </c>
      <c r="N19" s="56">
        <f t="shared" si="4"/>
        <v>35012.829815198704</v>
      </c>
      <c r="O19" s="56">
        <f t="shared" si="4"/>
        <v>35684.309130723952</v>
      </c>
      <c r="P19" s="56">
        <f t="shared" si="4"/>
        <v>36368.748413294772</v>
      </c>
      <c r="Q19" s="56">
        <f t="shared" si="4"/>
        <v>36900.860249205361</v>
      </c>
      <c r="R19" s="56">
        <f t="shared" si="4"/>
        <v>37440.894816837266</v>
      </c>
      <c r="S19" s="56">
        <f t="shared" si="4"/>
        <v>37989.032832240126</v>
      </c>
      <c r="T19" s="56">
        <f t="shared" si="4"/>
        <v>38545.401900739751</v>
      </c>
      <c r="U19" s="56">
        <f t="shared" si="4"/>
        <v>39110.131804083278</v>
      </c>
      <c r="W19" s="91">
        <f>SUM(B19:U19)</f>
        <v>663149.15677844256</v>
      </c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</row>
    <row r="20" spans="1:55" s="62" customFormat="1">
      <c r="A20" s="4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W20" s="91"/>
    </row>
    <row r="21" spans="1:55">
      <c r="A21" s="1" t="s">
        <v>61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W21" s="91"/>
    </row>
    <row r="22" spans="1:55">
      <c r="A22" s="3" t="s">
        <v>48</v>
      </c>
      <c r="B22" s="127">
        <f>Assumptions!E28*(1+Assumptions!$E$25)</f>
        <v>1934.4085877000002</v>
      </c>
      <c r="C22" s="127">
        <f>B22*(1+Assumptions!$E$25)</f>
        <v>1992.4408453310002</v>
      </c>
      <c r="D22" s="127">
        <f>C22*(1+Assumptions!$E$25)</f>
        <v>2052.2140706909304</v>
      </c>
      <c r="E22" s="127">
        <f>D22*(1+Assumptions!$E$25)</f>
        <v>2113.7804928116584</v>
      </c>
      <c r="F22" s="127">
        <f>E22*(1+Assumptions!$E$25)</f>
        <v>2177.1939075960081</v>
      </c>
      <c r="G22" s="127">
        <f>F22*(1+Assumptions!$E$25)</f>
        <v>2242.5097248238885</v>
      </c>
      <c r="H22" s="127">
        <f>G22*(1+Assumptions!$E$25)</f>
        <v>2309.7850165686054</v>
      </c>
      <c r="I22" s="127">
        <f>H22*(1+Assumptions!$E$25)</f>
        <v>2379.0785670656637</v>
      </c>
      <c r="J22" s="127">
        <f>I22*(1+Assumptions!$E$25)</f>
        <v>2450.4509240776338</v>
      </c>
      <c r="K22" s="127">
        <f>J22*(1+Assumptions!$E$25)</f>
        <v>2523.9644517999627</v>
      </c>
      <c r="L22" s="127">
        <f>K22*(1+Assumptions!$E$25)</f>
        <v>2599.6833853539615</v>
      </c>
      <c r="M22" s="127">
        <f>L22*(1+Assumptions!$E$25)</f>
        <v>2677.6738869145806</v>
      </c>
      <c r="N22" s="127">
        <f>M22*(1+Assumptions!$E$25)</f>
        <v>2758.0041035220183</v>
      </c>
      <c r="O22" s="127">
        <f>N22*(1+Assumptions!$E$25)</f>
        <v>2840.7442266276789</v>
      </c>
      <c r="P22" s="127">
        <f>O22*(1+Assumptions!$E$25)</f>
        <v>2925.9665534265096</v>
      </c>
      <c r="Q22" s="127">
        <f>P22*(1+Assumptions!$E$25)</f>
        <v>3013.7455500293049</v>
      </c>
      <c r="R22" s="127">
        <f>Q22*(1+Assumptions!$E$25)</f>
        <v>3104.1579165301841</v>
      </c>
      <c r="S22" s="127">
        <f>R22*(1+Assumptions!$E$25)</f>
        <v>3197.2826540260899</v>
      </c>
      <c r="T22" s="127">
        <f>S22*(1+Assumptions!$E$25)</f>
        <v>3293.2011336468727</v>
      </c>
      <c r="U22" s="127">
        <f>T22*(1+Assumptions!$E$25)</f>
        <v>3391.9971676562791</v>
      </c>
      <c r="W22" s="91">
        <f t="shared" ref="W22:W29" si="5">SUM(B22:U22)</f>
        <v>51978.283166198824</v>
      </c>
    </row>
    <row r="23" spans="1:55">
      <c r="A23" s="3" t="s">
        <v>49</v>
      </c>
      <c r="B23" s="127">
        <f>Assumptions!$E$29*(1+Assumptions!$E$25)</f>
        <v>422.57793520000007</v>
      </c>
      <c r="C23" s="127">
        <f>B23*(1+Assumptions!$E$25)</f>
        <v>435.25527325600007</v>
      </c>
      <c r="D23" s="127">
        <f>C23*(1+Assumptions!$E$25)</f>
        <v>448.31293145368011</v>
      </c>
      <c r="E23" s="127">
        <f>Assumptions!$E$19*Assumptions!$E$23*(1+Assumptions!$E$25)^(E5-2000)/1000</f>
        <v>461.76231939729041</v>
      </c>
      <c r="F23" s="127">
        <f>Assumptions!$E$19*Assumptions!$E$23*(1+Assumptions!$E$25)^(F5-2000)/1000</f>
        <v>475.61518897920905</v>
      </c>
      <c r="G23" s="127">
        <f>Assumptions!$E$19*Assumptions!$E$23*(1+Assumptions!$E$25)^(G5-2000)/1000</f>
        <v>489.88364464858535</v>
      </c>
      <c r="H23" s="127">
        <f>Assumptions!$E$19*Assumptions!$E$23*(1+Assumptions!$E$25)^(H5-2000)/1000</f>
        <v>504.58015398804298</v>
      </c>
      <c r="I23" s="127">
        <f>Assumptions!$E$19*Assumptions!$E$23*(1+Assumptions!$E$25)^(I5-2000)/1000</f>
        <v>519.71755860768417</v>
      </c>
      <c r="J23" s="127">
        <f>Assumptions!$E$19*Assumptions!$E$23*(1+Assumptions!$E$25)^(J5-2000)/1000</f>
        <v>535.30908536591471</v>
      </c>
      <c r="K23" s="127">
        <f>Assumptions!$E$19*Assumptions!$E$23*(1+Assumptions!$E$25)^(K5-2000)/1000</f>
        <v>551.36835792689226</v>
      </c>
      <c r="L23" s="127">
        <f>Assumptions!$E$19*Assumptions!$E$23*(1+Assumptions!$E$25)^(L5-2000)/1000</f>
        <v>567.90940866469896</v>
      </c>
      <c r="M23" s="127">
        <f>Assumptions!$E$19*Assumptions!$E$23*(1+Assumptions!$E$25)^(M5-2000)/1000</f>
        <v>584.94669092463982</v>
      </c>
      <c r="N23" s="127">
        <f>Assumptions!$E$19*Assumptions!$E$23*(1+Assumptions!$E$25)^(N5-2000)/1000</f>
        <v>602.49509165237907</v>
      </c>
      <c r="O23" s="127">
        <f>Assumptions!$E$19*Assumptions!$E$23*(1+Assumptions!$E$25)^(O5-2000)/1000</f>
        <v>620.56994440195047</v>
      </c>
      <c r="P23" s="127">
        <f>Assumptions!$E$19*Assumptions!$E$23*(1+Assumptions!$E$25)^(P5-2000)/1000</f>
        <v>639.18704273400897</v>
      </c>
      <c r="Q23" s="127">
        <f>Assumptions!$E$19*Assumptions!$E$23*(1+Assumptions!$E$25)^(Q5-2000)/1000</f>
        <v>658.36265401602918</v>
      </c>
      <c r="R23" s="127">
        <f>Assumptions!$E$19*Assumptions!$E$23*(1+Assumptions!$E$25)^(R5-2000)/1000</f>
        <v>678.11353363651006</v>
      </c>
      <c r="S23" s="127">
        <f>Assumptions!$E$19*Assumptions!$E$23*(1+Assumptions!$E$25)^(S5-2000)/1000</f>
        <v>698.45693964560542</v>
      </c>
      <c r="T23" s="127">
        <f>Assumptions!$E$19*Assumptions!$E$23*(1+Assumptions!$E$25)^(T5-2000)/1000</f>
        <v>719.41064783497347</v>
      </c>
      <c r="U23" s="127">
        <f>Assumptions!$E$19*Assumptions!$E$23*(1+Assumptions!$E$25)^(U5-2000)/1000</f>
        <v>740.99296727002275</v>
      </c>
      <c r="W23" s="91">
        <f t="shared" si="5"/>
        <v>11354.827369604114</v>
      </c>
    </row>
    <row r="24" spans="1:55">
      <c r="A24" s="3" t="s">
        <v>262</v>
      </c>
      <c r="B24" s="127">
        <f>Assumptions!$E$24*Assumptions!$E$11*Assumptions!$E$8/1000*(1+Assumptions!$E$25)</f>
        <v>463.5</v>
      </c>
      <c r="C24" s="91">
        <f>B24*(1+Assumptions!$E$25)</f>
        <v>477.40500000000003</v>
      </c>
      <c r="D24" s="91">
        <f>C24*(1+Assumptions!$E$25)</f>
        <v>491.72715000000005</v>
      </c>
      <c r="E24" s="91">
        <f>D24*(1+Assumptions!$E$25)</f>
        <v>506.47896450000007</v>
      </c>
      <c r="F24" s="91">
        <f>E24*(1+Assumptions!$E$25)</f>
        <v>521.67333343500013</v>
      </c>
      <c r="G24" s="91">
        <f>F24*(1+Assumptions!$E$25)</f>
        <v>537.32353343805016</v>
      </c>
      <c r="H24" s="91">
        <f>G24*(1+Assumptions!$E$25)</f>
        <v>553.44323944119174</v>
      </c>
      <c r="I24" s="91">
        <f>H24*(1+Assumptions!$E$25)</f>
        <v>570.04653662442752</v>
      </c>
      <c r="J24" s="91">
        <f>I24*(1+Assumptions!$E$25)</f>
        <v>587.14793272316035</v>
      </c>
      <c r="K24" s="91">
        <f>J24*(1+Assumptions!$E$25)</f>
        <v>604.76237070485513</v>
      </c>
      <c r="L24" s="91">
        <f>K24*(1+Assumptions!$E$25)</f>
        <v>622.90524182600075</v>
      </c>
      <c r="M24" s="91">
        <f>L24*(1+Assumptions!$E$25)</f>
        <v>641.59239908078075</v>
      </c>
      <c r="N24" s="91">
        <f>M24*(1+Assumptions!$E$25)</f>
        <v>660.84017105320424</v>
      </c>
      <c r="O24" s="91">
        <f>N24*(1+Assumptions!$E$25)</f>
        <v>680.66537618480038</v>
      </c>
      <c r="P24" s="91">
        <f>O24*(1+Assumptions!$E$25)</f>
        <v>701.08533747034437</v>
      </c>
      <c r="Q24" s="91">
        <f>P24*(1+Assumptions!$E$25)</f>
        <v>722.11789759445469</v>
      </c>
      <c r="R24" s="91">
        <f>Q24*(1+Assumptions!$E$25)</f>
        <v>743.78143452228835</v>
      </c>
      <c r="S24" s="91">
        <f>R24*(1+Assumptions!$E$25)</f>
        <v>766.09487755795703</v>
      </c>
      <c r="T24" s="91">
        <f>S24*(1+Assumptions!$E$25)</f>
        <v>789.07772388469573</v>
      </c>
      <c r="U24" s="91">
        <f>T24*(1+Assumptions!$E$25)</f>
        <v>812.75005560123657</v>
      </c>
      <c r="W24" s="91">
        <f t="shared" si="5"/>
        <v>12454.418575642445</v>
      </c>
    </row>
    <row r="25" spans="1:55">
      <c r="A25" s="3" t="s">
        <v>112</v>
      </c>
      <c r="B25" s="127">
        <f>Assumptions!E31*(1+Assumptions!$E$25)</f>
        <v>0</v>
      </c>
      <c r="C25" s="127">
        <f>B25*(1+Assumptions!$E$25)</f>
        <v>0</v>
      </c>
      <c r="D25" s="127">
        <f>C25*(1+Assumptions!$E$25)</f>
        <v>0</v>
      </c>
      <c r="E25" s="127">
        <f>D25*(1+Assumptions!$E$25)</f>
        <v>0</v>
      </c>
      <c r="F25" s="127">
        <f>E25*(1+Assumptions!$E$25)</f>
        <v>0</v>
      </c>
      <c r="G25" s="127">
        <f>F25*(1+Assumptions!$E$25)</f>
        <v>0</v>
      </c>
      <c r="H25" s="127">
        <f>G25*(1+Assumptions!$E$25)</f>
        <v>0</v>
      </c>
      <c r="I25" s="127">
        <f>H25*(1+Assumptions!$E$25)</f>
        <v>0</v>
      </c>
      <c r="J25" s="127">
        <f>I25*(1+Assumptions!$E$25)</f>
        <v>0</v>
      </c>
      <c r="K25" s="127">
        <f>J25*(1+Assumptions!$E$25)</f>
        <v>0</v>
      </c>
      <c r="L25" s="127">
        <f>K25*(1+Assumptions!$E$25)</f>
        <v>0</v>
      </c>
      <c r="M25" s="127">
        <f>L25*(1+Assumptions!$E$25)</f>
        <v>0</v>
      </c>
      <c r="N25" s="127">
        <f>M25*(1+Assumptions!$E$25)</f>
        <v>0</v>
      </c>
      <c r="O25" s="127">
        <f>N25*(1+Assumptions!$E$25)</f>
        <v>0</v>
      </c>
      <c r="P25" s="127">
        <f>O25*(1+Assumptions!$E$25)</f>
        <v>0</v>
      </c>
      <c r="Q25" s="127">
        <f>P25*(1+Assumptions!$E$25)</f>
        <v>0</v>
      </c>
      <c r="R25" s="127">
        <f>Q25*(1+Assumptions!$E$25)</f>
        <v>0</v>
      </c>
      <c r="S25" s="127">
        <f>R25*(1+Assumptions!$E$25)</f>
        <v>0</v>
      </c>
      <c r="T25" s="127">
        <f>S25*(1+Assumptions!$E$25)</f>
        <v>0</v>
      </c>
      <c r="U25" s="127">
        <f>T25*(1+Assumptions!$E$25)</f>
        <v>0</v>
      </c>
      <c r="W25" s="91">
        <f t="shared" si="5"/>
        <v>0</v>
      </c>
    </row>
    <row r="26" spans="1:55">
      <c r="A26" s="3" t="s">
        <v>113</v>
      </c>
      <c r="B26" s="127">
        <f>Assumptions!E32*(1+Assumptions!$E$25)</f>
        <v>373.5523316666667</v>
      </c>
      <c r="C26" s="127">
        <f>B26*(1+Assumptions!$E$25)</f>
        <v>384.75890161666672</v>
      </c>
      <c r="D26" s="127">
        <f>C26*(1+Assumptions!$E$25)</f>
        <v>396.30166866516674</v>
      </c>
      <c r="E26" s="127">
        <f>D26*(1+Assumptions!$E$25)</f>
        <v>408.19071872512177</v>
      </c>
      <c r="F26" s="127">
        <f>E26*(1+Assumptions!$E$25)</f>
        <v>420.43644028687544</v>
      </c>
      <c r="G26" s="127">
        <f>F26*(1+Assumptions!$E$25)</f>
        <v>433.04953349548174</v>
      </c>
      <c r="H26" s="127">
        <f>G26*(1+Assumptions!$E$25)</f>
        <v>446.04101950034618</v>
      </c>
      <c r="I26" s="127">
        <f>H26*(1+Assumptions!$E$25)</f>
        <v>459.42225008535655</v>
      </c>
      <c r="J26" s="127">
        <f>I26*(1+Assumptions!$E$25)</f>
        <v>473.20491758791724</v>
      </c>
      <c r="K26" s="127">
        <f>J26*(1+Assumptions!$E$25)</f>
        <v>487.40106511555479</v>
      </c>
      <c r="L26" s="127">
        <f>K26*(1+Assumptions!$E$25)</f>
        <v>502.02309706902145</v>
      </c>
      <c r="M26" s="127">
        <f>L26*(1+Assumptions!$E$25)</f>
        <v>517.08378998109208</v>
      </c>
      <c r="N26" s="127">
        <f>M26*(1+Assumptions!$E$25)</f>
        <v>532.5963036805249</v>
      </c>
      <c r="O26" s="127">
        <f>N26*(1+Assumptions!$E$25)</f>
        <v>548.57419279094063</v>
      </c>
      <c r="P26" s="127">
        <f>O26*(1+Assumptions!$E$25)</f>
        <v>565.03141857466881</v>
      </c>
      <c r="Q26" s="127">
        <f>P26*(1+Assumptions!$E$25)</f>
        <v>581.98236113190887</v>
      </c>
      <c r="R26" s="127">
        <f>Q26*(1+Assumptions!$E$25)</f>
        <v>599.44183196586619</v>
      </c>
      <c r="S26" s="127">
        <f>R26*(1+Assumptions!$E$25)</f>
        <v>617.42508692484216</v>
      </c>
      <c r="T26" s="127">
        <f>S26*(1+Assumptions!$E$25)</f>
        <v>635.94783953258741</v>
      </c>
      <c r="U26" s="127">
        <f>T26*(1+Assumptions!$E$25)</f>
        <v>655.02627471856499</v>
      </c>
      <c r="W26" s="91">
        <f t="shared" si="5"/>
        <v>10037.491043115171</v>
      </c>
    </row>
    <row r="27" spans="1:55">
      <c r="A27" s="3" t="s">
        <v>196</v>
      </c>
      <c r="B27" s="460">
        <v>487.9</v>
      </c>
      <c r="C27" s="460">
        <v>486.5</v>
      </c>
      <c r="D27" s="460">
        <v>484.5</v>
      </c>
      <c r="E27" s="460">
        <v>476.4</v>
      </c>
      <c r="F27" s="460">
        <v>467.3</v>
      </c>
      <c r="G27" s="460">
        <v>451.3</v>
      </c>
      <c r="H27" s="460">
        <v>427.8</v>
      </c>
      <c r="I27" s="460">
        <v>402.5</v>
      </c>
      <c r="J27" s="460">
        <v>362.4</v>
      </c>
      <c r="K27" s="460">
        <v>878.3</v>
      </c>
      <c r="L27" s="460">
        <v>695.3</v>
      </c>
      <c r="M27" s="460">
        <v>494</v>
      </c>
      <c r="N27" s="460">
        <v>365.9</v>
      </c>
      <c r="O27" s="460">
        <v>365.9</v>
      </c>
      <c r="P27" s="460">
        <v>365.9</v>
      </c>
      <c r="Q27" s="460">
        <v>365.9</v>
      </c>
      <c r="R27" s="460">
        <v>365.9</v>
      </c>
      <c r="S27" s="460">
        <v>365.9</v>
      </c>
      <c r="T27" s="460">
        <v>365.9</v>
      </c>
      <c r="U27" s="460">
        <f>T27</f>
        <v>365.9</v>
      </c>
      <c r="W27" s="91">
        <f t="shared" si="5"/>
        <v>9041.3999999999978</v>
      </c>
    </row>
    <row r="28" spans="1:55" s="16" customFormat="1">
      <c r="A28" s="3" t="s">
        <v>186</v>
      </c>
      <c r="B28" s="146">
        <f>B82</f>
        <v>410.978384217788</v>
      </c>
      <c r="C28" s="146">
        <f t="shared" ref="C28:U28" si="6">C82</f>
        <v>399.77427292344152</v>
      </c>
      <c r="D28" s="146">
        <f t="shared" si="6"/>
        <v>388.38209744883886</v>
      </c>
      <c r="E28" s="146">
        <f t="shared" si="6"/>
        <v>362.89985940276034</v>
      </c>
      <c r="F28" s="146">
        <f t="shared" si="6"/>
        <v>335.87666816240846</v>
      </c>
      <c r="G28" s="146">
        <f t="shared" si="6"/>
        <v>310.39148536102198</v>
      </c>
      <c r="H28" s="146">
        <f t="shared" si="6"/>
        <v>290.74880587788903</v>
      </c>
      <c r="I28" s="146">
        <f t="shared" si="6"/>
        <v>271.78372762829719</v>
      </c>
      <c r="J28" s="146">
        <f t="shared" si="6"/>
        <v>253.18005286938805</v>
      </c>
      <c r="K28" s="146">
        <f t="shared" si="6"/>
        <v>233.59122674894255</v>
      </c>
      <c r="L28" s="146">
        <f t="shared" si="6"/>
        <v>215.61656723410184</v>
      </c>
      <c r="M28" s="146">
        <f t="shared" si="6"/>
        <v>197.52695995241149</v>
      </c>
      <c r="N28" s="146">
        <f t="shared" si="6"/>
        <v>179.13566616690522</v>
      </c>
      <c r="O28" s="146">
        <f t="shared" si="6"/>
        <v>160.39244610583575</v>
      </c>
      <c r="P28" s="146">
        <f t="shared" si="6"/>
        <v>141.59905005709558</v>
      </c>
      <c r="Q28" s="146">
        <f t="shared" si="6"/>
        <v>127.27686416537232</v>
      </c>
      <c r="R28" s="146">
        <f t="shared" si="6"/>
        <v>117.37085349454517</v>
      </c>
      <c r="S28" s="146">
        <f t="shared" si="6"/>
        <v>107.46239978544155</v>
      </c>
      <c r="T28" s="146">
        <f t="shared" si="6"/>
        <v>97.552949671381299</v>
      </c>
      <c r="U28" s="146">
        <f t="shared" si="6"/>
        <v>87.644325192852904</v>
      </c>
      <c r="V28" s="91"/>
      <c r="W28" s="91">
        <f t="shared" si="5"/>
        <v>4689.1846624667187</v>
      </c>
    </row>
    <row r="29" spans="1:55">
      <c r="A29" s="3" t="s">
        <v>62</v>
      </c>
      <c r="B29" s="127">
        <f t="shared" ref="B29:U29" si="7">SUM(B22:B28)</f>
        <v>4092.9172387844551</v>
      </c>
      <c r="C29" s="127">
        <f t="shared" si="7"/>
        <v>4176.1342931271092</v>
      </c>
      <c r="D29" s="127">
        <f t="shared" si="7"/>
        <v>4261.4379182586163</v>
      </c>
      <c r="E29" s="127">
        <f t="shared" si="7"/>
        <v>4329.512354836831</v>
      </c>
      <c r="F29" s="127">
        <f t="shared" si="7"/>
        <v>4398.0955384595018</v>
      </c>
      <c r="G29" s="127">
        <f t="shared" si="7"/>
        <v>4464.457921767028</v>
      </c>
      <c r="H29" s="127">
        <f t="shared" si="7"/>
        <v>4532.3982353760757</v>
      </c>
      <c r="I29" s="127">
        <f t="shared" si="7"/>
        <v>4602.5486400114296</v>
      </c>
      <c r="J29" s="127">
        <f t="shared" si="7"/>
        <v>4661.6929126240148</v>
      </c>
      <c r="K29" s="127">
        <f t="shared" si="7"/>
        <v>5279.3874722962082</v>
      </c>
      <c r="L29" s="127">
        <f t="shared" si="7"/>
        <v>5203.4377001477851</v>
      </c>
      <c r="M29" s="127">
        <f t="shared" si="7"/>
        <v>5112.8237268535049</v>
      </c>
      <c r="N29" s="127">
        <f t="shared" si="7"/>
        <v>5098.9713360750311</v>
      </c>
      <c r="O29" s="127">
        <f t="shared" si="7"/>
        <v>5216.8461861112055</v>
      </c>
      <c r="P29" s="127">
        <f t="shared" si="7"/>
        <v>5338.7694022626274</v>
      </c>
      <c r="Q29" s="127">
        <f t="shared" si="7"/>
        <v>5469.3853269370693</v>
      </c>
      <c r="R29" s="127">
        <f t="shared" si="7"/>
        <v>5608.7655701493941</v>
      </c>
      <c r="S29" s="127">
        <f t="shared" si="7"/>
        <v>5752.6219579399349</v>
      </c>
      <c r="T29" s="127">
        <f t="shared" si="7"/>
        <v>5901.0902945705111</v>
      </c>
      <c r="U29" s="127">
        <f t="shared" si="7"/>
        <v>6054.3107904389562</v>
      </c>
      <c r="W29" s="91">
        <f t="shared" si="5"/>
        <v>99555.604817027313</v>
      </c>
    </row>
    <row r="30" spans="1:55" s="62" customFormat="1" outlineLevel="1">
      <c r="A30" s="5"/>
      <c r="B30" s="130"/>
      <c r="C30" s="131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W30" s="91"/>
    </row>
    <row r="31" spans="1:55" s="62" customFormat="1" ht="6.75" customHeight="1">
      <c r="A31" s="5"/>
      <c r="B31" s="130"/>
      <c r="C31" s="131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W31" s="91"/>
    </row>
    <row r="32" spans="1:55" s="57" customFormat="1">
      <c r="A32" s="1" t="s">
        <v>63</v>
      </c>
      <c r="B32" s="120">
        <f t="shared" ref="B32:U32" si="8">B19-B29</f>
        <v>21358.765600877505</v>
      </c>
      <c r="C32" s="120">
        <f t="shared" si="8"/>
        <v>21301.422950637269</v>
      </c>
      <c r="D32" s="120">
        <f t="shared" si="8"/>
        <v>21242.775085991772</v>
      </c>
      <c r="E32" s="120">
        <f t="shared" si="8"/>
        <v>25192.788627614587</v>
      </c>
      <c r="F32" s="120">
        <f t="shared" si="8"/>
        <v>26577.430377709949</v>
      </c>
      <c r="G32" s="120">
        <f t="shared" si="8"/>
        <v>26919.460071490979</v>
      </c>
      <c r="H32" s="120">
        <f t="shared" si="8"/>
        <v>27265.478715399386</v>
      </c>
      <c r="I32" s="120">
        <f t="shared" si="8"/>
        <v>27614.928053683347</v>
      </c>
      <c r="J32" s="120">
        <f t="shared" si="8"/>
        <v>27981.272673210988</v>
      </c>
      <c r="K32" s="120">
        <f t="shared" si="8"/>
        <v>27787.921241254553</v>
      </c>
      <c r="L32" s="120">
        <f t="shared" si="8"/>
        <v>28500.219241926403</v>
      </c>
      <c r="M32" s="120">
        <f t="shared" si="8"/>
        <v>29239.641223780109</v>
      </c>
      <c r="N32" s="120">
        <f t="shared" si="8"/>
        <v>29913.858479123672</v>
      </c>
      <c r="O32" s="120">
        <f t="shared" si="8"/>
        <v>30467.462944612747</v>
      </c>
      <c r="P32" s="120">
        <f t="shared" si="8"/>
        <v>31029.979011032145</v>
      </c>
      <c r="Q32" s="120">
        <f t="shared" si="8"/>
        <v>31431.474922268291</v>
      </c>
      <c r="R32" s="120">
        <f t="shared" si="8"/>
        <v>31832.129246687873</v>
      </c>
      <c r="S32" s="120">
        <f t="shared" si="8"/>
        <v>32236.410874300193</v>
      </c>
      <c r="T32" s="120">
        <f t="shared" si="8"/>
        <v>32644.311606169242</v>
      </c>
      <c r="U32" s="120">
        <f t="shared" si="8"/>
        <v>33055.821013644323</v>
      </c>
      <c r="W32" s="91">
        <f>SUM(B32:U32)</f>
        <v>563593.55196141533</v>
      </c>
    </row>
    <row r="33" spans="1:23" s="57" customFormat="1">
      <c r="A33" s="1"/>
      <c r="B33" s="132"/>
      <c r="C33" s="133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W33" s="91"/>
    </row>
    <row r="34" spans="1:23">
      <c r="A34" s="3" t="s">
        <v>64</v>
      </c>
      <c r="B34" s="127">
        <f>Depreciation!C29</f>
        <v>5282.5356929725758</v>
      </c>
      <c r="C34" s="127">
        <f>Depreciation!D29</f>
        <v>5282.5356929725758</v>
      </c>
      <c r="D34" s="127">
        <f>Depreciation!E29</f>
        <v>5282.5356929725758</v>
      </c>
      <c r="E34" s="127">
        <f>Depreciation!F29</f>
        <v>5282.5356929725758</v>
      </c>
      <c r="F34" s="127">
        <f>Depreciation!G29</f>
        <v>5282.5356929725758</v>
      </c>
      <c r="G34" s="127">
        <f>Depreciation!H29</f>
        <v>5282.5356929725758</v>
      </c>
      <c r="H34" s="127">
        <f>Depreciation!I29</f>
        <v>5282.5356929725758</v>
      </c>
      <c r="I34" s="127">
        <f>Depreciation!J29</f>
        <v>5282.5356929725758</v>
      </c>
      <c r="J34" s="127">
        <f>Depreciation!K29</f>
        <v>5282.5356929725758</v>
      </c>
      <c r="K34" s="127">
        <f>Depreciation!L29</f>
        <v>5282.5356929725758</v>
      </c>
      <c r="L34" s="127">
        <f>Depreciation!M29</f>
        <v>5282.5356929725758</v>
      </c>
      <c r="M34" s="127">
        <f>Depreciation!N29</f>
        <v>5282.5356929725758</v>
      </c>
      <c r="N34" s="127">
        <f>Depreciation!O29</f>
        <v>5282.5356929725758</v>
      </c>
      <c r="O34" s="127">
        <f>Depreciation!P29</f>
        <v>5282.5356929725758</v>
      </c>
      <c r="P34" s="127">
        <f>Depreciation!Q29</f>
        <v>5282.5356929725758</v>
      </c>
      <c r="Q34" s="127">
        <f>Depreciation!R29</f>
        <v>5282.5356929725758</v>
      </c>
      <c r="R34" s="127">
        <f>Depreciation!S29</f>
        <v>5282.5356929725758</v>
      </c>
      <c r="S34" s="127">
        <f>Depreciation!T29</f>
        <v>5282.5356929725758</v>
      </c>
      <c r="T34" s="127">
        <f>Depreciation!U29</f>
        <v>5282.5356929725758</v>
      </c>
      <c r="U34" s="127">
        <f>Depreciation!V29</f>
        <v>5282.5356929725758</v>
      </c>
      <c r="W34" s="91">
        <f>SUM(B34:U34)</f>
        <v>105650.71385945156</v>
      </c>
    </row>
    <row r="35" spans="1:23">
      <c r="A35" s="3"/>
      <c r="B35" s="127"/>
      <c r="C35" s="91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W35" s="91"/>
    </row>
    <row r="36" spans="1:23" s="57" customFormat="1">
      <c r="A36" s="1" t="s">
        <v>65</v>
      </c>
      <c r="B36" s="132">
        <f t="shared" ref="B36:U36" si="9">B32-B34</f>
        <v>16076.22990790493</v>
      </c>
      <c r="C36" s="132">
        <f t="shared" si="9"/>
        <v>16018.887257664694</v>
      </c>
      <c r="D36" s="132">
        <f t="shared" si="9"/>
        <v>15960.239393019197</v>
      </c>
      <c r="E36" s="132">
        <f t="shared" si="9"/>
        <v>19910.252934642012</v>
      </c>
      <c r="F36" s="132">
        <f t="shared" si="9"/>
        <v>21294.894684737374</v>
      </c>
      <c r="G36" s="132">
        <f t="shared" si="9"/>
        <v>21636.924378518404</v>
      </c>
      <c r="H36" s="132">
        <f t="shared" si="9"/>
        <v>21982.943022426811</v>
      </c>
      <c r="I36" s="132">
        <f t="shared" si="9"/>
        <v>22332.392360710772</v>
      </c>
      <c r="J36" s="132">
        <f t="shared" si="9"/>
        <v>22698.736980238413</v>
      </c>
      <c r="K36" s="132">
        <f t="shared" si="9"/>
        <v>22505.385548281978</v>
      </c>
      <c r="L36" s="132">
        <f t="shared" si="9"/>
        <v>23217.683548953828</v>
      </c>
      <c r="M36" s="132">
        <f t="shared" si="9"/>
        <v>23957.105530807534</v>
      </c>
      <c r="N36" s="132">
        <f t="shared" si="9"/>
        <v>24631.322786151097</v>
      </c>
      <c r="O36" s="132">
        <f t="shared" si="9"/>
        <v>25184.927251640172</v>
      </c>
      <c r="P36" s="132">
        <f t="shared" si="9"/>
        <v>25747.44331805957</v>
      </c>
      <c r="Q36" s="132">
        <f t="shared" si="9"/>
        <v>26148.939229295716</v>
      </c>
      <c r="R36" s="132">
        <f t="shared" si="9"/>
        <v>26549.593553715298</v>
      </c>
      <c r="S36" s="132">
        <f t="shared" si="9"/>
        <v>26953.875181327618</v>
      </c>
      <c r="T36" s="132">
        <f t="shared" si="9"/>
        <v>27361.775913196667</v>
      </c>
      <c r="U36" s="132">
        <f t="shared" si="9"/>
        <v>27773.285320671748</v>
      </c>
      <c r="W36" s="91">
        <f>SUM(B36:U36)</f>
        <v>457942.83810196386</v>
      </c>
    </row>
    <row r="37" spans="1:23" s="57" customFormat="1">
      <c r="A37" s="1"/>
      <c r="B37" s="132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W37" s="91"/>
    </row>
    <row r="38" spans="1:23">
      <c r="A38" s="6" t="s">
        <v>66</v>
      </c>
      <c r="B38" s="127">
        <f>IS!B39*Allocation!$E$9</f>
        <v>9603.7598547842063</v>
      </c>
      <c r="C38" s="127">
        <f>IS!C39*Allocation!$E$9</f>
        <v>9459.6588517085438</v>
      </c>
      <c r="D38" s="127">
        <f>IS!D39*Allocation!$E$9</f>
        <v>9256.3995138418268</v>
      </c>
      <c r="E38" s="127">
        <f>IS!E39*Allocation!$E$9</f>
        <v>9096.8416115928721</v>
      </c>
      <c r="F38" s="127">
        <f>IS!F39*Allocation!$E$9</f>
        <v>8814.5496827297702</v>
      </c>
      <c r="G38" s="127">
        <f>IS!G39*Allocation!$E$9</f>
        <v>8479.9607043458545</v>
      </c>
      <c r="H38" s="127">
        <f>IS!H39*Allocation!$E$9</f>
        <v>8103.927741768427</v>
      </c>
      <c r="I38" s="127">
        <f>IS!I39*Allocation!$E$9</f>
        <v>7710.5282221958596</v>
      </c>
      <c r="J38" s="127">
        <f>IS!J39*Allocation!$E$9</f>
        <v>7221.8646410475194</v>
      </c>
      <c r="K38" s="127">
        <f>IS!K39*Allocation!$E$9</f>
        <v>6680.388990106956</v>
      </c>
      <c r="L38" s="127">
        <f>IS!L39*Allocation!$E$9</f>
        <v>6110.6328967138597</v>
      </c>
      <c r="M38" s="127">
        <f>IS!M39*Allocation!$E$9</f>
        <v>5489.409202668433</v>
      </c>
      <c r="N38" s="127">
        <f>IS!N39*Allocation!$E$9</f>
        <v>4837.3118335293548</v>
      </c>
      <c r="O38" s="127">
        <f>IS!O39*Allocation!$E$9</f>
        <v>4200.6513019371014</v>
      </c>
      <c r="P38" s="127">
        <f>IS!P39*Allocation!$E$9</f>
        <v>3555.9671033713585</v>
      </c>
      <c r="Q38" s="127">
        <f>IS!Q39*Allocation!$E$9</f>
        <v>2887.8224002852967</v>
      </c>
      <c r="R38" s="127">
        <f>IS!R39*Allocation!$E$9</f>
        <v>2179.123293474524</v>
      </c>
      <c r="S38" s="127">
        <f>IS!S39*Allocation!$E$9</f>
        <v>1510.8913766170117</v>
      </c>
      <c r="T38" s="127">
        <f>IS!T39*Allocation!$E$9</f>
        <v>937.89689818398415</v>
      </c>
      <c r="U38" s="127">
        <f>IS!U39*Allocation!$E$9</f>
        <v>366.29784009417267</v>
      </c>
      <c r="W38" s="91">
        <f>SUM(B38:U38)</f>
        <v>116503.88396099694</v>
      </c>
    </row>
    <row r="39" spans="1:23" ht="6" customHeight="1">
      <c r="B39" s="67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W39" s="91"/>
    </row>
    <row r="40" spans="1:23" s="57" customFormat="1">
      <c r="A40" s="1" t="s">
        <v>67</v>
      </c>
      <c r="B40" s="132">
        <f t="shared" ref="B40:U40" si="10">B36-B38</f>
        <v>6472.4700531207236</v>
      </c>
      <c r="C40" s="132">
        <f t="shared" si="10"/>
        <v>6559.2284059561498</v>
      </c>
      <c r="D40" s="132">
        <f t="shared" si="10"/>
        <v>6703.8398791773707</v>
      </c>
      <c r="E40" s="132">
        <f t="shared" si="10"/>
        <v>10813.41132304914</v>
      </c>
      <c r="F40" s="132">
        <f t="shared" si="10"/>
        <v>12480.345002007603</v>
      </c>
      <c r="G40" s="132">
        <f t="shared" si="10"/>
        <v>13156.96367417255</v>
      </c>
      <c r="H40" s="132">
        <f t="shared" si="10"/>
        <v>13879.015280658383</v>
      </c>
      <c r="I40" s="132">
        <f t="shared" si="10"/>
        <v>14621.864138514913</v>
      </c>
      <c r="J40" s="132">
        <f t="shared" si="10"/>
        <v>15476.872339190893</v>
      </c>
      <c r="K40" s="132">
        <f t="shared" si="10"/>
        <v>15824.996558175022</v>
      </c>
      <c r="L40" s="132">
        <f t="shared" si="10"/>
        <v>17107.050652239966</v>
      </c>
      <c r="M40" s="132">
        <f t="shared" si="10"/>
        <v>18467.6963281391</v>
      </c>
      <c r="N40" s="132">
        <f t="shared" si="10"/>
        <v>19794.010952621742</v>
      </c>
      <c r="O40" s="132">
        <f t="shared" si="10"/>
        <v>20984.275949703071</v>
      </c>
      <c r="P40" s="132">
        <f t="shared" si="10"/>
        <v>22191.476214688213</v>
      </c>
      <c r="Q40" s="132">
        <f t="shared" si="10"/>
        <v>23261.116829010418</v>
      </c>
      <c r="R40" s="132">
        <f t="shared" si="10"/>
        <v>24370.470260240774</v>
      </c>
      <c r="S40" s="132">
        <f t="shared" si="10"/>
        <v>25442.983804710606</v>
      </c>
      <c r="T40" s="132">
        <f t="shared" si="10"/>
        <v>26423.879015012684</v>
      </c>
      <c r="U40" s="132">
        <f t="shared" si="10"/>
        <v>27406.987480577576</v>
      </c>
      <c r="W40" s="91">
        <f>SUM(B40:U40)</f>
        <v>341438.95414096687</v>
      </c>
    </row>
    <row r="41" spans="1:23" s="57" customFormat="1">
      <c r="A41" s="1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W41" s="91"/>
    </row>
    <row r="42" spans="1:23">
      <c r="A42" s="3" t="s">
        <v>68</v>
      </c>
      <c r="B42" s="127">
        <f>B40*-Assumptions!$E$39</f>
        <v>-323.62350265603618</v>
      </c>
      <c r="C42" s="127">
        <f>C40*-Assumptions!$E$39</f>
        <v>-327.96142029780754</v>
      </c>
      <c r="D42" s="127">
        <f>D40*-Assumptions!$E$39</f>
        <v>-335.19199395886858</v>
      </c>
      <c r="E42" s="127">
        <f>E40*-Assumptions!$E$39</f>
        <v>-540.67056615245701</v>
      </c>
      <c r="F42" s="127">
        <f>F40*-Assumptions!$E$39</f>
        <v>-624.01725010038024</v>
      </c>
      <c r="G42" s="127">
        <f>G40*-Assumptions!$E$39</f>
        <v>-657.84818370862752</v>
      </c>
      <c r="H42" s="127">
        <f>H40*-Assumptions!$E$39</f>
        <v>-693.95076403291921</v>
      </c>
      <c r="I42" s="127">
        <f>I40*-Assumptions!$E$39</f>
        <v>-731.09320692574568</v>
      </c>
      <c r="J42" s="127">
        <f>J40*-Assumptions!$E$39</f>
        <v>-773.84361695954476</v>
      </c>
      <c r="K42" s="127">
        <f>K40*-Assumptions!$E$39</f>
        <v>-791.24982790875117</v>
      </c>
      <c r="L42" s="127">
        <f>L40*-Assumptions!$E$39</f>
        <v>-855.35253261199841</v>
      </c>
      <c r="M42" s="127">
        <f>M40*-Assumptions!$E$39</f>
        <v>-923.384816406955</v>
      </c>
      <c r="N42" s="127">
        <f>N40*-Assumptions!$E$39</f>
        <v>-989.70054763108715</v>
      </c>
      <c r="O42" s="127">
        <f>O40*-Assumptions!$E$39</f>
        <v>-1049.2137974851537</v>
      </c>
      <c r="P42" s="127">
        <f>P40*-Assumptions!$E$39</f>
        <v>-1109.5738107344107</v>
      </c>
      <c r="Q42" s="127">
        <f>Q40*-Assumptions!$E$39</f>
        <v>-1163.055841450521</v>
      </c>
      <c r="R42" s="127">
        <f>R40*-Assumptions!$E$39</f>
        <v>-1218.5235130120388</v>
      </c>
      <c r="S42" s="127">
        <f>S40*-Assumptions!$E$39</f>
        <v>-1272.1491902355303</v>
      </c>
      <c r="T42" s="127">
        <f>T40*-Assumptions!$E$39</f>
        <v>-1321.1939507506343</v>
      </c>
      <c r="U42" s="127">
        <f>U40*-Assumptions!$E$39</f>
        <v>-1370.3493740288789</v>
      </c>
      <c r="W42" s="91">
        <f>SUM(B42:U42)</f>
        <v>-17071.947707048348</v>
      </c>
    </row>
    <row r="43" spans="1:23">
      <c r="A43" s="3" t="s">
        <v>69</v>
      </c>
      <c r="B43" s="121">
        <f>(B40+B42)*-Assumptions!$E$38</f>
        <v>-2152.0962926626403</v>
      </c>
      <c r="C43" s="121">
        <f>(C40+C42)*-Assumptions!$E$38</f>
        <v>-2180.9434449804198</v>
      </c>
      <c r="D43" s="121">
        <f>(D40+D42)*-Assumptions!$E$38</f>
        <v>-2229.0267598264754</v>
      </c>
      <c r="E43" s="121">
        <f>(E40+E42)*-Assumptions!$E$38</f>
        <v>-3595.4592649138385</v>
      </c>
      <c r="F43" s="121">
        <f>(F40+F42)*-Assumptions!$E$38</f>
        <v>-4149.7147131675283</v>
      </c>
      <c r="G43" s="121">
        <f>(G40+G42)*-Assumptions!$E$38</f>
        <v>-4374.6904216623725</v>
      </c>
      <c r="H43" s="121">
        <f>(H40+H42)*-Assumptions!$E$38</f>
        <v>-4614.7725808189116</v>
      </c>
      <c r="I43" s="121">
        <f>(I40+I42)*-Assumptions!$E$38</f>
        <v>-4861.7698260562083</v>
      </c>
      <c r="J43" s="121">
        <f>(J40+J42)*-Assumptions!$E$38</f>
        <v>-5146.060052780972</v>
      </c>
      <c r="K43" s="121">
        <f>(K40+K42)*-Assumptions!$E$38</f>
        <v>-5261.811355593195</v>
      </c>
      <c r="L43" s="121">
        <f>(L40+L42)*-Assumptions!$E$38</f>
        <v>-5688.0943418697889</v>
      </c>
      <c r="M43" s="121">
        <f>(M40+M42)*-Assumptions!$E$38</f>
        <v>-6140.5090291062497</v>
      </c>
      <c r="N43" s="121">
        <f>(N40+N42)*-Assumptions!$E$38</f>
        <v>-6581.5086417467282</v>
      </c>
      <c r="O43" s="121">
        <f>(O40+O42)*-Assumptions!$E$38</f>
        <v>-6977.2717532762708</v>
      </c>
      <c r="P43" s="121">
        <f>(P40+P42)*-Assumptions!$E$38</f>
        <v>-7378.6658413838304</v>
      </c>
      <c r="Q43" s="121">
        <f>(Q40+Q42)*-Assumptions!$E$38</f>
        <v>-7734.3213456459634</v>
      </c>
      <c r="R43" s="121">
        <f>(R40+R42)*-Assumptions!$E$38</f>
        <v>-8103.1813615300571</v>
      </c>
      <c r="S43" s="121">
        <f>(S40+S42)*-Assumptions!$E$38</f>
        <v>-8459.7921150662769</v>
      </c>
      <c r="T43" s="121">
        <f>(T40+T42)*-Assumptions!$E$38</f>
        <v>-8785.9397724917162</v>
      </c>
      <c r="U43" s="121">
        <f>(U40+U42)*-Assumptions!$E$38</f>
        <v>-9112.823337292044</v>
      </c>
      <c r="W43" s="91">
        <f>SUM(B43:U43)</f>
        <v>-113528.45225187149</v>
      </c>
    </row>
    <row r="44" spans="1:23" ht="6" customHeight="1"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W44" s="91"/>
    </row>
    <row r="45" spans="1:23" s="64" customFormat="1" ht="15.75">
      <c r="A45" s="45" t="s">
        <v>220</v>
      </c>
      <c r="B45" s="134">
        <f t="shared" ref="B45:U45" si="11">SUM(B40:B43)</f>
        <v>3996.7502578020471</v>
      </c>
      <c r="C45" s="134">
        <f t="shared" si="11"/>
        <v>4050.3235406779227</v>
      </c>
      <c r="D45" s="134">
        <f t="shared" si="11"/>
        <v>4139.6211253920264</v>
      </c>
      <c r="E45" s="134">
        <f t="shared" si="11"/>
        <v>6677.2814919828443</v>
      </c>
      <c r="F45" s="134">
        <f t="shared" si="11"/>
        <v>7706.6130387396952</v>
      </c>
      <c r="G45" s="134">
        <f t="shared" si="11"/>
        <v>8124.42506880155</v>
      </c>
      <c r="H45" s="134">
        <f t="shared" si="11"/>
        <v>8570.2919358065519</v>
      </c>
      <c r="I45" s="134">
        <f t="shared" si="11"/>
        <v>9029.0011055329596</v>
      </c>
      <c r="J45" s="134">
        <f t="shared" si="11"/>
        <v>9556.9686694503762</v>
      </c>
      <c r="K45" s="134">
        <f t="shared" si="11"/>
        <v>9771.9353746730776</v>
      </c>
      <c r="L45" s="134">
        <f t="shared" si="11"/>
        <v>10563.603777758181</v>
      </c>
      <c r="M45" s="134">
        <f t="shared" si="11"/>
        <v>11403.802482625893</v>
      </c>
      <c r="N45" s="134">
        <f t="shared" si="11"/>
        <v>12222.801763243926</v>
      </c>
      <c r="O45" s="134">
        <f t="shared" si="11"/>
        <v>12957.790398941646</v>
      </c>
      <c r="P45" s="134">
        <f t="shared" si="11"/>
        <v>13703.236562569971</v>
      </c>
      <c r="Q45" s="134">
        <f t="shared" si="11"/>
        <v>14363.739641913933</v>
      </c>
      <c r="R45" s="134">
        <f t="shared" si="11"/>
        <v>15048.76538569868</v>
      </c>
      <c r="S45" s="134">
        <f t="shared" si="11"/>
        <v>15711.042499408799</v>
      </c>
      <c r="T45" s="134">
        <f t="shared" si="11"/>
        <v>16316.745291770332</v>
      </c>
      <c r="U45" s="134">
        <f t="shared" si="11"/>
        <v>16923.814769256653</v>
      </c>
      <c r="W45" s="91">
        <f>SUM(B45:U45)</f>
        <v>210838.55418204705</v>
      </c>
    </row>
    <row r="46" spans="1:23" s="62" customFormat="1" ht="9" outlineLevel="1">
      <c r="A46" s="4"/>
      <c r="B46" s="60"/>
      <c r="C46" s="61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</row>
    <row r="47" spans="1:23">
      <c r="A47" s="1"/>
      <c r="B47" s="56"/>
      <c r="C47" s="59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</row>
    <row r="48" spans="1:23" outlineLevel="1">
      <c r="A48" s="13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</row>
    <row r="49" spans="1:55" ht="18.75" outlineLevel="1">
      <c r="A49" s="55" t="s">
        <v>173</v>
      </c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</row>
    <row r="50" spans="1:55" outlineLevel="1">
      <c r="A50" s="1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</row>
    <row r="51" spans="1:55" ht="12.75" customHeight="1" outlineLevel="1">
      <c r="A51" s="1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</row>
    <row r="52" spans="1:55" ht="12.75" customHeight="1" outlineLevel="1">
      <c r="A52" s="1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</row>
    <row r="53" spans="1:55" ht="13.5" outlineLevel="1" thickBot="1">
      <c r="A53" s="194" t="s">
        <v>56</v>
      </c>
      <c r="B53" s="8">
        <v>2001</v>
      </c>
      <c r="C53" s="8">
        <f t="shared" ref="C53:U53" si="12">B53+1</f>
        <v>2002</v>
      </c>
      <c r="D53" s="8">
        <f t="shared" si="12"/>
        <v>2003</v>
      </c>
      <c r="E53" s="8">
        <f t="shared" si="12"/>
        <v>2004</v>
      </c>
      <c r="F53" s="8">
        <f t="shared" si="12"/>
        <v>2005</v>
      </c>
      <c r="G53" s="8">
        <f t="shared" si="12"/>
        <v>2006</v>
      </c>
      <c r="H53" s="8">
        <f t="shared" si="12"/>
        <v>2007</v>
      </c>
      <c r="I53" s="8">
        <f t="shared" si="12"/>
        <v>2008</v>
      </c>
      <c r="J53" s="8">
        <f t="shared" si="12"/>
        <v>2009</v>
      </c>
      <c r="K53" s="8">
        <f t="shared" si="12"/>
        <v>2010</v>
      </c>
      <c r="L53" s="8">
        <f t="shared" si="12"/>
        <v>2011</v>
      </c>
      <c r="M53" s="8">
        <f t="shared" si="12"/>
        <v>2012</v>
      </c>
      <c r="N53" s="8">
        <f t="shared" si="12"/>
        <v>2013</v>
      </c>
      <c r="O53" s="8">
        <f t="shared" si="12"/>
        <v>2014</v>
      </c>
      <c r="P53" s="8">
        <f t="shared" si="12"/>
        <v>2015</v>
      </c>
      <c r="Q53" s="8">
        <f t="shared" si="12"/>
        <v>2016</v>
      </c>
      <c r="R53" s="8">
        <f t="shared" si="12"/>
        <v>2017</v>
      </c>
      <c r="S53" s="8">
        <f t="shared" si="12"/>
        <v>2018</v>
      </c>
      <c r="T53" s="8">
        <f t="shared" si="12"/>
        <v>2019</v>
      </c>
      <c r="U53" s="8">
        <f t="shared" si="12"/>
        <v>2020</v>
      </c>
      <c r="W53" s="403" t="s">
        <v>161</v>
      </c>
    </row>
    <row r="54" spans="1:55" outlineLevel="1">
      <c r="A54" s="12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W54" s="44"/>
    </row>
    <row r="55" spans="1:55" outlineLevel="1">
      <c r="A55" s="13" t="s">
        <v>276</v>
      </c>
      <c r="B55" s="67">
        <f>B32-B12</f>
        <v>14783.675205120737</v>
      </c>
      <c r="C55" s="67">
        <f>C32-C12</f>
        <v>14726.332554880501</v>
      </c>
      <c r="D55" s="67">
        <f>D32-D12</f>
        <v>14667.684690235004</v>
      </c>
      <c r="E55" s="56">
        <f t="shared" ref="E55:U55" si="13">E32</f>
        <v>25192.788627614587</v>
      </c>
      <c r="F55" s="56">
        <f t="shared" si="13"/>
        <v>26577.430377709949</v>
      </c>
      <c r="G55" s="56">
        <f t="shared" si="13"/>
        <v>26919.460071490979</v>
      </c>
      <c r="H55" s="56">
        <f t="shared" si="13"/>
        <v>27265.478715399386</v>
      </c>
      <c r="I55" s="56">
        <f t="shared" si="13"/>
        <v>27614.928053683347</v>
      </c>
      <c r="J55" s="56">
        <f t="shared" si="13"/>
        <v>27981.272673210988</v>
      </c>
      <c r="K55" s="56">
        <f t="shared" si="13"/>
        <v>27787.921241254553</v>
      </c>
      <c r="L55" s="56">
        <f t="shared" si="13"/>
        <v>28500.219241926403</v>
      </c>
      <c r="M55" s="56">
        <f t="shared" si="13"/>
        <v>29239.641223780109</v>
      </c>
      <c r="N55" s="56">
        <f t="shared" si="13"/>
        <v>29913.858479123672</v>
      </c>
      <c r="O55" s="56">
        <f t="shared" si="13"/>
        <v>30467.462944612747</v>
      </c>
      <c r="P55" s="56">
        <f t="shared" si="13"/>
        <v>31029.979011032145</v>
      </c>
      <c r="Q55" s="56">
        <f t="shared" si="13"/>
        <v>31431.474922268291</v>
      </c>
      <c r="R55" s="56">
        <f t="shared" si="13"/>
        <v>31832.129246687873</v>
      </c>
      <c r="S55" s="56">
        <f t="shared" si="13"/>
        <v>32236.410874300193</v>
      </c>
      <c r="T55" s="56">
        <f t="shared" si="13"/>
        <v>32644.311606169242</v>
      </c>
      <c r="U55" s="56">
        <f t="shared" si="13"/>
        <v>33055.821013644323</v>
      </c>
      <c r="W55" s="404">
        <f>SUM(B55:U55)</f>
        <v>543868.28077414492</v>
      </c>
    </row>
    <row r="56" spans="1:55">
      <c r="A56" s="13" t="s">
        <v>169</v>
      </c>
      <c r="B56" s="67">
        <f>B27</f>
        <v>487.9</v>
      </c>
      <c r="C56" s="67">
        <f t="shared" ref="C56:T56" si="14">C27</f>
        <v>486.5</v>
      </c>
      <c r="D56" s="67">
        <f t="shared" si="14"/>
        <v>484.5</v>
      </c>
      <c r="E56" s="67">
        <f t="shared" si="14"/>
        <v>476.4</v>
      </c>
      <c r="F56" s="67">
        <f t="shared" si="14"/>
        <v>467.3</v>
      </c>
      <c r="G56" s="67">
        <f t="shared" si="14"/>
        <v>451.3</v>
      </c>
      <c r="H56" s="67">
        <f t="shared" si="14"/>
        <v>427.8</v>
      </c>
      <c r="I56" s="67">
        <f t="shared" si="14"/>
        <v>402.5</v>
      </c>
      <c r="J56" s="67">
        <f t="shared" si="14"/>
        <v>362.4</v>
      </c>
      <c r="K56" s="67">
        <f t="shared" si="14"/>
        <v>878.3</v>
      </c>
      <c r="L56" s="67">
        <f t="shared" si="14"/>
        <v>695.3</v>
      </c>
      <c r="M56" s="67">
        <f t="shared" si="14"/>
        <v>494</v>
      </c>
      <c r="N56" s="67">
        <f t="shared" si="14"/>
        <v>365.9</v>
      </c>
      <c r="O56" s="67">
        <f t="shared" si="14"/>
        <v>365.9</v>
      </c>
      <c r="P56" s="67">
        <f t="shared" si="14"/>
        <v>365.9</v>
      </c>
      <c r="Q56" s="67">
        <f t="shared" si="14"/>
        <v>365.9</v>
      </c>
      <c r="R56" s="67">
        <f t="shared" si="14"/>
        <v>365.9</v>
      </c>
      <c r="S56" s="67">
        <f t="shared" si="14"/>
        <v>365.9</v>
      </c>
      <c r="T56" s="67">
        <f t="shared" si="14"/>
        <v>365.9</v>
      </c>
      <c r="U56" s="67">
        <f>T56</f>
        <v>365.9</v>
      </c>
      <c r="W56" s="404">
        <f>SUM(B56:U56)</f>
        <v>9041.3999999999978</v>
      </c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</row>
    <row r="57" spans="1:55">
      <c r="A57" s="13" t="s">
        <v>170</v>
      </c>
      <c r="B57" s="466">
        <v>-488.8</v>
      </c>
      <c r="C57" s="67">
        <f>-B56</f>
        <v>-487.9</v>
      </c>
      <c r="D57" s="67">
        <f t="shared" ref="D57:U57" si="15">-C56</f>
        <v>-486.5</v>
      </c>
      <c r="E57" s="67">
        <f t="shared" si="15"/>
        <v>-484.5</v>
      </c>
      <c r="F57" s="67">
        <f t="shared" si="15"/>
        <v>-476.4</v>
      </c>
      <c r="G57" s="67">
        <f t="shared" si="15"/>
        <v>-467.3</v>
      </c>
      <c r="H57" s="67">
        <f t="shared" si="15"/>
        <v>-451.3</v>
      </c>
      <c r="I57" s="67">
        <f t="shared" si="15"/>
        <v>-427.8</v>
      </c>
      <c r="J57" s="67">
        <f t="shared" si="15"/>
        <v>-402.5</v>
      </c>
      <c r="K57" s="67">
        <f t="shared" si="15"/>
        <v>-362.4</v>
      </c>
      <c r="L57" s="67">
        <f t="shared" si="15"/>
        <v>-878.3</v>
      </c>
      <c r="M57" s="67">
        <f t="shared" si="15"/>
        <v>-695.3</v>
      </c>
      <c r="N57" s="67">
        <f t="shared" si="15"/>
        <v>-494</v>
      </c>
      <c r="O57" s="67">
        <f t="shared" si="15"/>
        <v>-365.9</v>
      </c>
      <c r="P57" s="67">
        <f t="shared" si="15"/>
        <v>-365.9</v>
      </c>
      <c r="Q57" s="67">
        <f t="shared" si="15"/>
        <v>-365.9</v>
      </c>
      <c r="R57" s="67">
        <f t="shared" si="15"/>
        <v>-365.9</v>
      </c>
      <c r="S57" s="67">
        <f t="shared" si="15"/>
        <v>-365.9</v>
      </c>
      <c r="T57" s="67">
        <f t="shared" si="15"/>
        <v>-365.9</v>
      </c>
      <c r="U57" s="67">
        <f t="shared" si="15"/>
        <v>-365.9</v>
      </c>
      <c r="W57" s="404">
        <f>SUM(B57:U57)</f>
        <v>-9164.2999999999975</v>
      </c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</row>
    <row r="58" spans="1:55" outlineLevel="1">
      <c r="A58" s="13" t="s">
        <v>71</v>
      </c>
      <c r="B58" s="402">
        <f>-Debt!B77*Allocation!$E$9</f>
        <v>-11459.962356093862</v>
      </c>
      <c r="C58" s="402">
        <f>-Debt!C77*Allocation!$E$9</f>
        <v>-11450.585728113258</v>
      </c>
      <c r="D58" s="402">
        <f>-Debt!D77*Allocation!$E$9</f>
        <v>-11397.020140352157</v>
      </c>
      <c r="E58" s="402">
        <f>-Debt!E77*Allocation!$E$9</f>
        <v>-11234.468363101088</v>
      </c>
      <c r="F58" s="402">
        <f>-Debt!F77*Allocation!$E$9</f>
        <v>-11756.930034805784</v>
      </c>
      <c r="G58" s="402">
        <f>-Debt!G77*Allocation!$E$9</f>
        <v>-11824.717856705769</v>
      </c>
      <c r="H58" s="402">
        <f>-Debt!H77*Allocation!$E$9</f>
        <v>-11750.467494341267</v>
      </c>
      <c r="I58" s="402">
        <f>-Debt!I77*Allocation!$E$9</f>
        <v>-11860.038975123571</v>
      </c>
      <c r="J58" s="402">
        <f>-Debt!J77*Allocation!$E$9</f>
        <v>-11773.752194259132</v>
      </c>
      <c r="K58" s="402">
        <f>-Debt!K77*Allocation!$E$9</f>
        <v>-11909.49106879638</v>
      </c>
      <c r="L58" s="402">
        <f>-Debt!L77*Allocation!$E$9</f>
        <v>-11798.995400727319</v>
      </c>
      <c r="M58" s="402">
        <f>-Debt!M77*Allocation!$E$9</f>
        <v>-11177.771706681893</v>
      </c>
      <c r="N58" s="402">
        <f>-Debt!N77*Allocation!$E$9</f>
        <v>-10525.674337542814</v>
      </c>
      <c r="O58" s="402">
        <f>-Debt!O77*Allocation!$E$9</f>
        <v>-9889.0138059505625</v>
      </c>
      <c r="P58" s="402">
        <f>-Debt!P77*Allocation!$E$9</f>
        <v>-9528.7477325854907</v>
      </c>
      <c r="Q58" s="402">
        <f>-Debt!Q77*Allocation!$E$9</f>
        <v>-9145.0211547001036</v>
      </c>
      <c r="R58" s="402">
        <f>-Debt!R77*Allocation!$E$9</f>
        <v>-8436.3220478893309</v>
      </c>
      <c r="S58" s="402">
        <f>-Debt!S77*Allocation!$E$9</f>
        <v>-6630.4176302291262</v>
      </c>
      <c r="T58" s="402">
        <f>-Debt!T77*Allocation!$E$9</f>
        <v>-6057.423151796098</v>
      </c>
      <c r="U58" s="402">
        <f>-Debt!U77*Allocation!$E$9</f>
        <v>-4916.9878433049462</v>
      </c>
      <c r="W58" s="404">
        <f>SUM(B58:U58)</f>
        <v>-204523.80902309998</v>
      </c>
    </row>
    <row r="59" spans="1:55" outlineLevel="1">
      <c r="A59" s="13"/>
      <c r="B59" s="135"/>
      <c r="C59" s="135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  <c r="S59" s="135"/>
      <c r="T59" s="135"/>
      <c r="U59" s="135"/>
      <c r="W59" s="405"/>
    </row>
    <row r="60" spans="1:55" outlineLevel="1">
      <c r="A60" s="12" t="s">
        <v>72</v>
      </c>
      <c r="B60" s="65">
        <f t="shared" ref="B60:U60" si="16">SUM(B55:B58)</f>
        <v>3322.8128490268755</v>
      </c>
      <c r="C60" s="65">
        <f t="shared" si="16"/>
        <v>3274.3468267672433</v>
      </c>
      <c r="D60" s="65">
        <f t="shared" si="16"/>
        <v>3268.6645498828475</v>
      </c>
      <c r="E60" s="65">
        <f t="shared" si="16"/>
        <v>13950.2202645135</v>
      </c>
      <c r="F60" s="65">
        <f t="shared" si="16"/>
        <v>14811.400342904162</v>
      </c>
      <c r="G60" s="65">
        <f t="shared" si="16"/>
        <v>15078.74221478521</v>
      </c>
      <c r="H60" s="65">
        <f t="shared" si="16"/>
        <v>15491.511221058119</v>
      </c>
      <c r="I60" s="65">
        <f t="shared" si="16"/>
        <v>15729.589078559777</v>
      </c>
      <c r="J60" s="65">
        <f t="shared" si="16"/>
        <v>16167.420478951857</v>
      </c>
      <c r="K60" s="65">
        <f t="shared" si="16"/>
        <v>16394.330172458169</v>
      </c>
      <c r="L60" s="65">
        <f t="shared" si="16"/>
        <v>16518.223841199084</v>
      </c>
      <c r="M60" s="65">
        <f t="shared" si="16"/>
        <v>17860.569517098214</v>
      </c>
      <c r="N60" s="65">
        <f t="shared" si="16"/>
        <v>19260.084141580861</v>
      </c>
      <c r="O60" s="65">
        <f t="shared" si="16"/>
        <v>20578.449138662185</v>
      </c>
      <c r="P60" s="65">
        <f t="shared" si="16"/>
        <v>21501.231278446656</v>
      </c>
      <c r="Q60" s="65">
        <f t="shared" si="16"/>
        <v>22286.453767568186</v>
      </c>
      <c r="R60" s="65">
        <f t="shared" si="16"/>
        <v>23395.807198798542</v>
      </c>
      <c r="S60" s="65">
        <f t="shared" si="16"/>
        <v>25605.993244071065</v>
      </c>
      <c r="T60" s="65">
        <f t="shared" si="16"/>
        <v>26586.888454373144</v>
      </c>
      <c r="U60" s="65">
        <f t="shared" si="16"/>
        <v>28138.833170339378</v>
      </c>
      <c r="W60" s="404">
        <f>SUM(B60:U60)</f>
        <v>339221.57175104518</v>
      </c>
    </row>
    <row r="61" spans="1:55" outlineLevel="1">
      <c r="A61" s="12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W61" s="405"/>
    </row>
    <row r="62" spans="1:55" ht="15" outlineLevel="1">
      <c r="A62" s="13" t="s">
        <v>99</v>
      </c>
      <c r="B62" s="225">
        <f>-B101</f>
        <v>0</v>
      </c>
      <c r="C62" s="225">
        <f t="shared" ref="C62:U62" si="17">-C101</f>
        <v>0</v>
      </c>
      <c r="D62" s="225">
        <f t="shared" si="17"/>
        <v>0</v>
      </c>
      <c r="E62" s="225">
        <f t="shared" si="17"/>
        <v>0</v>
      </c>
      <c r="F62" s="225">
        <f t="shared" si="17"/>
        <v>0</v>
      </c>
      <c r="G62" s="225">
        <f t="shared" si="17"/>
        <v>0</v>
      </c>
      <c r="H62" s="225">
        <f t="shared" si="17"/>
        <v>-471.7604452202163</v>
      </c>
      <c r="I62" s="225">
        <f t="shared" si="17"/>
        <v>-533.1784021749595</v>
      </c>
      <c r="J62" s="225">
        <f t="shared" si="17"/>
        <v>-576.71060846831767</v>
      </c>
      <c r="K62" s="225">
        <f t="shared" si="17"/>
        <v>-593.335023157965</v>
      </c>
      <c r="L62" s="225">
        <f t="shared" si="17"/>
        <v>-658.21952412077133</v>
      </c>
      <c r="M62" s="225">
        <f t="shared" si="17"/>
        <v>-725.47001165616894</v>
      </c>
      <c r="N62" s="225">
        <f t="shared" si="17"/>
        <v>-792.56753913986006</v>
      </c>
      <c r="O62" s="225">
        <f t="shared" si="17"/>
        <v>-851.29899273436752</v>
      </c>
      <c r="P62" s="225">
        <f t="shared" si="17"/>
        <v>-912.4408022431835</v>
      </c>
      <c r="Q62" s="225">
        <f t="shared" si="17"/>
        <v>-1196.5527295292218</v>
      </c>
      <c r="R62" s="225">
        <f t="shared" si="17"/>
        <v>-1482.6502976606675</v>
      </c>
      <c r="S62" s="225">
        <f t="shared" si="17"/>
        <v>-1536.275974884159</v>
      </c>
      <c r="T62" s="225">
        <f t="shared" si="17"/>
        <v>-1585.320735399263</v>
      </c>
      <c r="U62" s="225">
        <f t="shared" si="17"/>
        <v>-1634.4761586775076</v>
      </c>
      <c r="W62" s="404">
        <f>SUM(B62:U62)</f>
        <v>-13550.257245066628</v>
      </c>
    </row>
    <row r="63" spans="1:55" outlineLevel="1">
      <c r="A63" s="13" t="s">
        <v>100</v>
      </c>
      <c r="B63" s="128">
        <f>-Allocation!$E$9*Tax!B24</f>
        <v>0</v>
      </c>
      <c r="C63" s="128">
        <f>-Allocation!$E$9*Tax!C24</f>
        <v>0</v>
      </c>
      <c r="D63" s="128">
        <f>-Allocation!$E$9*Tax!D24</f>
        <v>0</v>
      </c>
      <c r="E63" s="128">
        <f>-Allocation!$E$9*Tax!E24</f>
        <v>0</v>
      </c>
      <c r="F63" s="128">
        <f>-Allocation!$E$9*Tax!F24</f>
        <v>-130.37825590078788</v>
      </c>
      <c r="G63" s="128">
        <f>-Allocation!$E$9*Tax!G24</f>
        <v>-3398.2200785512564</v>
      </c>
      <c r="H63" s="128">
        <f>-Allocation!$E$9*Tax!H24</f>
        <v>-3733.7065791314385</v>
      </c>
      <c r="I63" s="128">
        <f>-Allocation!$E$9*Tax!I24</f>
        <v>-3990.344068904396</v>
      </c>
      <c r="J63" s="128">
        <f>-Allocation!$E$9*Tax!J24</f>
        <v>-4294.5766579232441</v>
      </c>
      <c r="K63" s="128">
        <f>-Allocation!$E$9*Tax!K24</f>
        <v>-4573.7160232318811</v>
      </c>
      <c r="L63" s="128">
        <f>-Allocation!$E$9*Tax!L24</f>
        <v>-4938.8296805793989</v>
      </c>
      <c r="M63" s="128">
        <f>-Allocation!$E$9*Tax!M24</f>
        <v>-5322.5999811620277</v>
      </c>
      <c r="N63" s="128">
        <f>-Allocation!$E$9*Tax!N24</f>
        <v>-5707.9710232784882</v>
      </c>
      <c r="O63" s="128">
        <f>-Allocation!$E$9*Tax!O24</f>
        <v>-6086.2278300778371</v>
      </c>
      <c r="P63" s="128">
        <f>-Allocation!$E$9*Tax!P24</f>
        <v>-6458.9813078370489</v>
      </c>
      <c r="Q63" s="128">
        <f>-Allocation!$E$9*Tax!Q24</f>
        <v>-8094.2989581023794</v>
      </c>
      <c r="R63" s="128">
        <f>-Allocation!$E$9*Tax!R24</f>
        <v>-9721.039960816719</v>
      </c>
      <c r="S63" s="128">
        <f>-Allocation!$E$9*Tax!S24</f>
        <v>-10083.087163460948</v>
      </c>
      <c r="T63" s="128">
        <f>-Allocation!$E$9*Tax!T24</f>
        <v>-10415.561057637615</v>
      </c>
      <c r="U63" s="128">
        <f>-Allocation!$E$9*Tax!U24</f>
        <v>-10749.613716258447</v>
      </c>
      <c r="W63" s="404">
        <f>SUM(B63:U63)</f>
        <v>-97699.152342853922</v>
      </c>
    </row>
    <row r="64" spans="1:55" outlineLevel="1">
      <c r="A64" s="1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W64" s="405"/>
    </row>
    <row r="65" spans="1:44" s="125" customFormat="1" ht="15.75" outlineLevel="1">
      <c r="A65" s="46" t="s">
        <v>73</v>
      </c>
      <c r="B65" s="137">
        <f t="shared" ref="B65:U65" si="18">B60+B63+B62</f>
        <v>3322.8128490268755</v>
      </c>
      <c r="C65" s="137">
        <f t="shared" si="18"/>
        <v>3274.3468267672433</v>
      </c>
      <c r="D65" s="137">
        <f t="shared" si="18"/>
        <v>3268.6645498828475</v>
      </c>
      <c r="E65" s="137">
        <f t="shared" si="18"/>
        <v>13950.2202645135</v>
      </c>
      <c r="F65" s="137">
        <f t="shared" si="18"/>
        <v>14681.022087003374</v>
      </c>
      <c r="G65" s="137">
        <f t="shared" si="18"/>
        <v>11680.522136233954</v>
      </c>
      <c r="H65" s="137">
        <f t="shared" si="18"/>
        <v>11286.044196706465</v>
      </c>
      <c r="I65" s="137">
        <f t="shared" si="18"/>
        <v>11206.066607480421</v>
      </c>
      <c r="J65" s="137">
        <f t="shared" si="18"/>
        <v>11296.133212560295</v>
      </c>
      <c r="K65" s="137">
        <f t="shared" si="18"/>
        <v>11227.279126068323</v>
      </c>
      <c r="L65" s="137">
        <f t="shared" si="18"/>
        <v>10921.174636498914</v>
      </c>
      <c r="M65" s="137">
        <f t="shared" si="18"/>
        <v>11812.499524280018</v>
      </c>
      <c r="N65" s="137">
        <f t="shared" si="18"/>
        <v>12759.545579162512</v>
      </c>
      <c r="O65" s="137">
        <f t="shared" si="18"/>
        <v>13640.922315849979</v>
      </c>
      <c r="P65" s="137">
        <f t="shared" si="18"/>
        <v>14129.809168366422</v>
      </c>
      <c r="Q65" s="137">
        <f t="shared" si="18"/>
        <v>12995.602079936585</v>
      </c>
      <c r="R65" s="137">
        <f t="shared" si="18"/>
        <v>12192.116940321155</v>
      </c>
      <c r="S65" s="137">
        <f t="shared" si="18"/>
        <v>13986.630105725959</v>
      </c>
      <c r="T65" s="137">
        <f t="shared" si="18"/>
        <v>14586.006661336265</v>
      </c>
      <c r="U65" s="137">
        <f t="shared" si="18"/>
        <v>15754.743295403421</v>
      </c>
      <c r="W65" s="404">
        <f>SUM(B65:U65)</f>
        <v>227972.16216312454</v>
      </c>
    </row>
    <row r="66" spans="1:44" outlineLevel="1">
      <c r="A66" s="68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</row>
    <row r="67" spans="1:44" outlineLevel="1">
      <c r="A67" s="68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</row>
    <row r="68" spans="1:44" outlineLevel="1">
      <c r="A68" s="6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</row>
    <row r="69" spans="1:44" ht="18.75" outlineLevel="1">
      <c r="A69" s="55" t="s">
        <v>221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r="70" spans="1:44" outlineLevel="1">
      <c r="A70" s="57"/>
      <c r="B70" s="18"/>
      <c r="C70" s="18"/>
      <c r="D70" s="18"/>
      <c r="E70" s="18"/>
      <c r="F70" s="18"/>
      <c r="G70" s="138"/>
      <c r="H70" s="18"/>
      <c r="I70" s="18"/>
      <c r="J70" s="18"/>
      <c r="K70" s="18"/>
      <c r="L70" s="18"/>
      <c r="M70" s="138"/>
      <c r="N70" s="18"/>
      <c r="O70" s="18"/>
      <c r="P70" s="18"/>
      <c r="Q70" s="18"/>
      <c r="R70" s="18"/>
      <c r="S70" s="138"/>
      <c r="T70" s="18"/>
      <c r="U70" s="18"/>
    </row>
    <row r="71" spans="1:44" outlineLevel="1">
      <c r="A71" s="226"/>
      <c r="B71" s="242">
        <v>3</v>
      </c>
      <c r="C71" s="242">
        <v>4</v>
      </c>
      <c r="D71" s="242">
        <v>5</v>
      </c>
      <c r="E71" s="243">
        <v>6</v>
      </c>
      <c r="F71" s="242">
        <v>7</v>
      </c>
      <c r="G71" s="242">
        <v>8</v>
      </c>
      <c r="H71" s="242">
        <v>9</v>
      </c>
      <c r="I71" s="242">
        <v>10</v>
      </c>
      <c r="J71" s="242">
        <v>11</v>
      </c>
      <c r="K71" s="243">
        <v>12</v>
      </c>
      <c r="L71" s="242">
        <v>13</v>
      </c>
      <c r="M71" s="242">
        <v>14</v>
      </c>
      <c r="N71" s="242">
        <v>15</v>
      </c>
      <c r="O71" s="242">
        <v>16</v>
      </c>
      <c r="P71" s="242">
        <v>17</v>
      </c>
      <c r="Q71" s="243">
        <v>18</v>
      </c>
      <c r="R71" s="242">
        <v>19</v>
      </c>
      <c r="S71" s="242">
        <v>20</v>
      </c>
      <c r="T71" s="242">
        <v>21</v>
      </c>
      <c r="U71" s="242">
        <v>22</v>
      </c>
    </row>
    <row r="72" spans="1:44" ht="13.5" outlineLevel="1" thickBot="1">
      <c r="A72" s="194" t="s">
        <v>56</v>
      </c>
      <c r="B72" s="8">
        <v>2001</v>
      </c>
      <c r="C72" s="8">
        <v>2002</v>
      </c>
      <c r="D72" s="8">
        <v>2003</v>
      </c>
      <c r="E72" s="8">
        <v>2004</v>
      </c>
      <c r="F72" s="8">
        <v>2005</v>
      </c>
      <c r="G72" s="8">
        <v>2006</v>
      </c>
      <c r="H72" s="8">
        <v>2007</v>
      </c>
      <c r="I72" s="8">
        <v>2008</v>
      </c>
      <c r="J72" s="8">
        <v>2009</v>
      </c>
      <c r="K72" s="8">
        <v>2010</v>
      </c>
      <c r="L72" s="8">
        <v>2011</v>
      </c>
      <c r="M72" s="8">
        <v>2012</v>
      </c>
      <c r="N72" s="8">
        <v>2013</v>
      </c>
      <c r="O72" s="8">
        <v>2014</v>
      </c>
      <c r="P72" s="8">
        <v>2015</v>
      </c>
      <c r="Q72" s="8">
        <v>2016</v>
      </c>
      <c r="R72" s="8">
        <v>2017</v>
      </c>
      <c r="S72" s="8">
        <v>2018</v>
      </c>
      <c r="T72" s="8">
        <v>2019</v>
      </c>
      <c r="U72" s="8">
        <v>2020</v>
      </c>
    </row>
    <row r="73" spans="1:44" outlineLevel="1">
      <c r="A73" s="226"/>
      <c r="B73" s="24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44" outlineLevel="1">
      <c r="A74" s="22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</row>
    <row r="75" spans="1:44" outlineLevel="1">
      <c r="A75" s="227" t="s">
        <v>183</v>
      </c>
      <c r="B75" s="24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44" outlineLevel="1">
      <c r="A76" s="226"/>
      <c r="B76" s="24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spans="1:44" outlineLevel="1">
      <c r="A77" s="7" t="s">
        <v>181</v>
      </c>
      <c r="B77" s="443">
        <f>Allocation!$C$9*'Summary Output'!$C$8</f>
        <v>84036.677020682313</v>
      </c>
      <c r="C77" s="443">
        <f>Allocation!$C$9*'Summary Output'!$C$8</f>
        <v>84036.677020682313</v>
      </c>
      <c r="D77" s="443">
        <f>Allocation!$C$9*'Summary Output'!$C$8</f>
        <v>84036.677020682313</v>
      </c>
      <c r="E77" s="443">
        <f>Allocation!$C$9*'Summary Output'!$C$8</f>
        <v>84036.677020682313</v>
      </c>
      <c r="F77" s="443">
        <f>Allocation!$C$9*'Summary Output'!$C$8</f>
        <v>84036.677020682313</v>
      </c>
      <c r="G77" s="443">
        <f>Allocation!$C$9*'Summary Output'!$C$8</f>
        <v>84036.677020682313</v>
      </c>
      <c r="H77" s="443">
        <f>Allocation!$C$9*'Summary Output'!$C$8</f>
        <v>84036.677020682313</v>
      </c>
      <c r="I77" s="443">
        <f>Allocation!$C$9*'Summary Output'!$C$8</f>
        <v>84036.677020682313</v>
      </c>
      <c r="J77" s="443">
        <f>Allocation!$C$9*'Summary Output'!$C$8</f>
        <v>84036.677020682313</v>
      </c>
      <c r="K77" s="443">
        <f>Allocation!$C$9*'Summary Output'!$C$8</f>
        <v>84036.677020682313</v>
      </c>
      <c r="L77" s="443">
        <f>Allocation!$C$9*'Summary Output'!$C$8</f>
        <v>84036.677020682313</v>
      </c>
      <c r="M77" s="443">
        <f>Allocation!$C$9*'Summary Output'!$C$8</f>
        <v>84036.677020682313</v>
      </c>
      <c r="N77" s="443">
        <f>Allocation!$C$9*'Summary Output'!$C$8</f>
        <v>84036.677020682313</v>
      </c>
      <c r="O77" s="443">
        <f>Allocation!$C$9*'Summary Output'!$C$8</f>
        <v>84036.677020682313</v>
      </c>
      <c r="P77" s="443">
        <f>Allocation!$C$9*'Summary Output'!$C$8</f>
        <v>84036.677020682313</v>
      </c>
      <c r="Q77" s="443">
        <f>Allocation!$C$9*'Summary Output'!$C$8</f>
        <v>84036.677020682313</v>
      </c>
      <c r="R77" s="443">
        <f>Allocation!$C$9*'Summary Output'!$C$8</f>
        <v>84036.677020682313</v>
      </c>
      <c r="S77" s="443">
        <f>Allocation!$C$9*'Summary Output'!$C$8</f>
        <v>84036.677020682313</v>
      </c>
      <c r="T77" s="443">
        <f>Allocation!$C$9*'Summary Output'!$C$8</f>
        <v>84036.677020682313</v>
      </c>
      <c r="U77" s="443">
        <f>Allocation!$C$9*'Summary Output'!$C$8</f>
        <v>84036.677020682313</v>
      </c>
    </row>
    <row r="78" spans="1:44" outlineLevel="1">
      <c r="A78" s="447" t="s">
        <v>279</v>
      </c>
      <c r="B78" s="444">
        <f>B45-B65-B12*(Assumptions!$E$39+(1-Assumptions!$E$39)*Assumptions!$E$38)</f>
        <v>-1841.0346676017916</v>
      </c>
      <c r="C78" s="444">
        <f>C45-C65-C12*(Assumptions!$E$39+(1-Assumptions!$E$39)*Assumptions!$E$38)+B78</f>
        <v>-3580.0300300680756</v>
      </c>
      <c r="D78" s="444">
        <f>D45-D65-D12*(Assumptions!$E$39+(1-Assumptions!$E$39)*Assumptions!$E$38)+C78</f>
        <v>-5224.0455309358604</v>
      </c>
      <c r="E78" s="444">
        <f t="shared" ref="E78:U78" si="19">E45-E65+D78</f>
        <v>-12496.984303466517</v>
      </c>
      <c r="F78" s="444">
        <f t="shared" si="19"/>
        <v>-19471.393351730196</v>
      </c>
      <c r="G78" s="444">
        <f t="shared" si="19"/>
        <v>-23027.490419162601</v>
      </c>
      <c r="H78" s="444">
        <f t="shared" si="19"/>
        <v>-25743.242680062514</v>
      </c>
      <c r="I78" s="444">
        <f t="shared" si="19"/>
        <v>-27920.308182009976</v>
      </c>
      <c r="J78" s="444">
        <f t="shared" si="19"/>
        <v>-29659.472725119893</v>
      </c>
      <c r="K78" s="444">
        <f t="shared" si="19"/>
        <v>-31114.816476515138</v>
      </c>
      <c r="L78" s="444">
        <f t="shared" si="19"/>
        <v>-31472.387335255873</v>
      </c>
      <c r="M78" s="444">
        <f t="shared" si="19"/>
        <v>-31881.084376909996</v>
      </c>
      <c r="N78" s="444">
        <f t="shared" si="19"/>
        <v>-32417.82819282858</v>
      </c>
      <c r="O78" s="444">
        <f t="shared" si="19"/>
        <v>-33100.960109736916</v>
      </c>
      <c r="P78" s="444">
        <f t="shared" si="19"/>
        <v>-33527.532715533365</v>
      </c>
      <c r="Q78" s="444">
        <f t="shared" si="19"/>
        <v>-32159.395153556019</v>
      </c>
      <c r="R78" s="444">
        <f t="shared" si="19"/>
        <v>-29302.746708178493</v>
      </c>
      <c r="S78" s="444">
        <f t="shared" si="19"/>
        <v>-27578.334314495653</v>
      </c>
      <c r="T78" s="444">
        <f t="shared" si="19"/>
        <v>-25847.595684061584</v>
      </c>
      <c r="U78" s="444">
        <f t="shared" si="19"/>
        <v>-24678.52421020835</v>
      </c>
      <c r="Y78" s="444"/>
      <c r="Z78" s="444"/>
      <c r="AA78" s="444"/>
      <c r="AB78" s="444"/>
      <c r="AC78" s="444"/>
      <c r="AD78" s="444"/>
      <c r="AE78" s="444"/>
      <c r="AF78" s="444"/>
      <c r="AG78" s="444"/>
      <c r="AH78" s="444"/>
      <c r="AI78" s="444"/>
      <c r="AJ78" s="444"/>
      <c r="AK78" s="444"/>
      <c r="AL78" s="444"/>
      <c r="AM78" s="444"/>
      <c r="AN78" s="444"/>
      <c r="AO78" s="444"/>
      <c r="AP78" s="444"/>
      <c r="AQ78" s="444"/>
      <c r="AR78" s="444"/>
    </row>
    <row r="79" spans="1:44" outlineLevel="1">
      <c r="A79" s="447" t="s">
        <v>188</v>
      </c>
      <c r="B79" s="445">
        <f>Debt!B73*Allocation!$E$9</f>
        <v>86163.722560793365</v>
      </c>
      <c r="C79" s="445">
        <f>Debt!C73*Allocation!$E$9</f>
        <v>84172.79568438865</v>
      </c>
      <c r="D79" s="445">
        <f>Debt!D73*Allocation!$E$9</f>
        <v>82032.175057878325</v>
      </c>
      <c r="E79" s="445">
        <f>Debt!E73*Allocation!$E$9</f>
        <v>79894.54830637011</v>
      </c>
      <c r="F79" s="445">
        <f>Debt!F73*Allocation!$E$9</f>
        <v>76952.167954294084</v>
      </c>
      <c r="G79" s="445">
        <f>Debt!G73*Allocation!$E$9</f>
        <v>73607.41080193418</v>
      </c>
      <c r="H79" s="445">
        <f>Debt!H73*Allocation!$E$9</f>
        <v>69960.871049361333</v>
      </c>
      <c r="I79" s="445">
        <f>Debt!I73*Allocation!$E$9</f>
        <v>65811.360296433617</v>
      </c>
      <c r="J79" s="445">
        <f>Debt!J73*Allocation!$E$9</f>
        <v>61259.47274322201</v>
      </c>
      <c r="K79" s="445">
        <f>Debt!K73*Allocation!$E$9</f>
        <v>56030.37066453258</v>
      </c>
      <c r="L79" s="445">
        <f>Debt!L73*Allocation!$E$9</f>
        <v>50342.008160519123</v>
      </c>
      <c r="M79" s="445">
        <f>Debt!M73*Allocation!$E$9</f>
        <v>44653.645656505665</v>
      </c>
      <c r="N79" s="445">
        <f>Debt!N73*Allocation!$E$9</f>
        <v>38965.2831524922</v>
      </c>
      <c r="O79" s="445">
        <f>Debt!O73*Allocation!$E$9</f>
        <v>33276.920648478743</v>
      </c>
      <c r="P79" s="445">
        <f>Debt!P73*Allocation!$E$9</f>
        <v>27304.140019264611</v>
      </c>
      <c r="Q79" s="445">
        <f>Debt!Q73*Allocation!$E$9</f>
        <v>21046.941264849804</v>
      </c>
      <c r="R79" s="445">
        <f>Debt!R73*Allocation!$E$9</f>
        <v>14789.742510434997</v>
      </c>
      <c r="S79" s="445">
        <f>Debt!S73*Allocation!$E$9</f>
        <v>9670.2162568228814</v>
      </c>
      <c r="T79" s="445">
        <f>Debt!T73*Allocation!$E$9</f>
        <v>4550.6900032107678</v>
      </c>
      <c r="U79" s="445">
        <f>Debt!U73*Allocation!$E$9</f>
        <v>-4.7923276758572062E-12</v>
      </c>
    </row>
    <row r="80" spans="1:44" outlineLevel="1">
      <c r="A80" s="226" t="s">
        <v>189</v>
      </c>
      <c r="B80" s="446">
        <f>SUM(B77:B79)</f>
        <v>168359.3649138739</v>
      </c>
      <c r="C80" s="446">
        <f t="shared" ref="C80:U80" si="20">SUM(C77:C79)</f>
        <v>164629.44267500291</v>
      </c>
      <c r="D80" s="446">
        <f t="shared" si="20"/>
        <v>160844.80654762476</v>
      </c>
      <c r="E80" s="446">
        <f t="shared" si="20"/>
        <v>151434.2410235859</v>
      </c>
      <c r="F80" s="446">
        <f t="shared" si="20"/>
        <v>141517.45162324619</v>
      </c>
      <c r="G80" s="446">
        <f t="shared" si="20"/>
        <v>134616.5974034539</v>
      </c>
      <c r="H80" s="446">
        <f t="shared" si="20"/>
        <v>128254.30538998113</v>
      </c>
      <c r="I80" s="446">
        <f t="shared" si="20"/>
        <v>121927.72913510595</v>
      </c>
      <c r="J80" s="446">
        <f t="shared" si="20"/>
        <v>115636.67703878443</v>
      </c>
      <c r="K80" s="446">
        <f t="shared" si="20"/>
        <v>108952.23120869976</v>
      </c>
      <c r="L80" s="446">
        <f t="shared" si="20"/>
        <v>102906.29784594556</v>
      </c>
      <c r="M80" s="446">
        <f t="shared" si="20"/>
        <v>96809.238300277982</v>
      </c>
      <c r="N80" s="446">
        <f t="shared" si="20"/>
        <v>90584.131980345934</v>
      </c>
      <c r="O80" s="446">
        <f t="shared" si="20"/>
        <v>84212.63755942414</v>
      </c>
      <c r="P80" s="446">
        <f t="shared" si="20"/>
        <v>77813.284324413558</v>
      </c>
      <c r="Q80" s="446">
        <f t="shared" si="20"/>
        <v>72924.22313197609</v>
      </c>
      <c r="R80" s="446">
        <f t="shared" si="20"/>
        <v>69523.672822938825</v>
      </c>
      <c r="S80" s="446">
        <f t="shared" si="20"/>
        <v>66128.558963009535</v>
      </c>
      <c r="T80" s="446">
        <f t="shared" si="20"/>
        <v>62739.771339831495</v>
      </c>
      <c r="U80" s="446">
        <f t="shared" si="20"/>
        <v>59358.152810473955</v>
      </c>
    </row>
    <row r="81" spans="1:44" outlineLevel="1">
      <c r="A81" s="447" t="s">
        <v>184</v>
      </c>
      <c r="B81" s="449">
        <f>Assumptions!$E$42</f>
        <v>2.5000000000000001E-3</v>
      </c>
      <c r="C81" s="449">
        <f>Assumptions!$E$43</f>
        <v>2.5000000000000001E-3</v>
      </c>
      <c r="D81" s="449">
        <f>Assumptions!$E$43</f>
        <v>2.5000000000000001E-3</v>
      </c>
      <c r="E81" s="449">
        <f>Assumptions!$E$43</f>
        <v>2.5000000000000001E-3</v>
      </c>
      <c r="F81" s="449">
        <f>Assumptions!$E$43</f>
        <v>2.5000000000000001E-3</v>
      </c>
      <c r="G81" s="449">
        <f>Assumptions!$E$43</f>
        <v>2.5000000000000001E-3</v>
      </c>
      <c r="H81" s="449">
        <f>Assumptions!$E$43</f>
        <v>2.5000000000000001E-3</v>
      </c>
      <c r="I81" s="449">
        <f>Assumptions!$E$43</f>
        <v>2.5000000000000001E-3</v>
      </c>
      <c r="J81" s="449">
        <f>Assumptions!$E$43</f>
        <v>2.5000000000000001E-3</v>
      </c>
      <c r="K81" s="449">
        <f>Assumptions!$E$43</f>
        <v>2.5000000000000001E-3</v>
      </c>
      <c r="L81" s="449">
        <f>Assumptions!$E$43</f>
        <v>2.5000000000000001E-3</v>
      </c>
      <c r="M81" s="449">
        <f>Assumptions!$E$43</f>
        <v>2.5000000000000001E-3</v>
      </c>
      <c r="N81" s="449">
        <f>Assumptions!$E$43</f>
        <v>2.5000000000000001E-3</v>
      </c>
      <c r="O81" s="449">
        <f>Assumptions!$E$43</f>
        <v>2.5000000000000001E-3</v>
      </c>
      <c r="P81" s="449">
        <f>Assumptions!$E$43</f>
        <v>2.5000000000000001E-3</v>
      </c>
      <c r="Q81" s="449">
        <f>Assumptions!$E$43</f>
        <v>2.5000000000000001E-3</v>
      </c>
      <c r="R81" s="449">
        <f>Assumptions!$E$43</f>
        <v>2.5000000000000001E-3</v>
      </c>
      <c r="S81" s="449">
        <f>Assumptions!$E$43</f>
        <v>2.5000000000000001E-3</v>
      </c>
      <c r="T81" s="449">
        <f>Assumptions!$E$43</f>
        <v>2.5000000000000001E-3</v>
      </c>
      <c r="U81" s="449">
        <f>Assumptions!$E$43</f>
        <v>2.5000000000000001E-3</v>
      </c>
    </row>
    <row r="82" spans="1:44" outlineLevel="1">
      <c r="A82" s="226" t="s">
        <v>185</v>
      </c>
      <c r="B82" s="465">
        <v>410.978384217788</v>
      </c>
      <c r="C82" s="465">
        <v>399.77427292344152</v>
      </c>
      <c r="D82" s="465">
        <v>388.38209744883886</v>
      </c>
      <c r="E82" s="465">
        <v>362.89985940276034</v>
      </c>
      <c r="F82" s="465">
        <v>335.87666816240846</v>
      </c>
      <c r="G82" s="465">
        <v>310.39148536102198</v>
      </c>
      <c r="H82" s="465">
        <v>290.74880587788903</v>
      </c>
      <c r="I82" s="465">
        <v>271.78372762829719</v>
      </c>
      <c r="J82" s="465">
        <v>253.18005286938805</v>
      </c>
      <c r="K82" s="465">
        <v>233.59122674894255</v>
      </c>
      <c r="L82" s="465">
        <v>215.61656723410184</v>
      </c>
      <c r="M82" s="465">
        <v>197.52695995241149</v>
      </c>
      <c r="N82" s="465">
        <v>179.13566616690522</v>
      </c>
      <c r="O82" s="465">
        <v>160.39244610583575</v>
      </c>
      <c r="P82" s="465">
        <v>141.59905005709558</v>
      </c>
      <c r="Q82" s="465">
        <v>127.27686416537232</v>
      </c>
      <c r="R82" s="465">
        <v>117.37085349454517</v>
      </c>
      <c r="S82" s="465">
        <v>107.46239978544155</v>
      </c>
      <c r="T82" s="465">
        <v>97.552949671381299</v>
      </c>
      <c r="U82" s="465">
        <v>87.644325192852904</v>
      </c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1:44" outlineLevel="1">
      <c r="A83" s="447"/>
      <c r="B83" s="448"/>
      <c r="C83" s="448"/>
      <c r="D83" s="448"/>
      <c r="E83" s="448"/>
      <c r="F83" s="448"/>
      <c r="G83" s="448"/>
      <c r="H83" s="448"/>
      <c r="I83" s="448"/>
      <c r="J83" s="448"/>
      <c r="K83" s="448"/>
      <c r="L83" s="448"/>
      <c r="M83" s="448"/>
      <c r="N83" s="448"/>
      <c r="O83" s="448"/>
      <c r="P83" s="448"/>
      <c r="Q83" s="448"/>
      <c r="R83" s="448"/>
      <c r="S83" s="448"/>
      <c r="T83" s="448"/>
      <c r="U83" s="448"/>
    </row>
    <row r="84" spans="1:44" outlineLevel="1">
      <c r="A84" s="226"/>
      <c r="B84" s="24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spans="1:44" outlineLevel="1">
      <c r="A85" s="227" t="s">
        <v>83</v>
      </c>
      <c r="B85" s="24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spans="1:44" outlineLevel="1">
      <c r="A86" s="226"/>
      <c r="B86" s="24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spans="1:44" outlineLevel="1">
      <c r="A87" s="21" t="s">
        <v>277</v>
      </c>
      <c r="B87" s="20">
        <f>B40-B12</f>
        <v>-102.62034263604437</v>
      </c>
      <c r="C87" s="20">
        <f>C40-C12</f>
        <v>-15.861989800618176</v>
      </c>
      <c r="D87" s="20">
        <f>D40-D12</f>
        <v>128.7494834206027</v>
      </c>
      <c r="E87" s="20">
        <f t="shared" ref="E87:U87" si="21">E40</f>
        <v>10813.41132304914</v>
      </c>
      <c r="F87" s="20">
        <f t="shared" si="21"/>
        <v>12480.345002007603</v>
      </c>
      <c r="G87" s="20">
        <f t="shared" si="21"/>
        <v>13156.96367417255</v>
      </c>
      <c r="H87" s="20">
        <f t="shared" si="21"/>
        <v>13879.015280658383</v>
      </c>
      <c r="I87" s="20">
        <f t="shared" si="21"/>
        <v>14621.864138514913</v>
      </c>
      <c r="J87" s="20">
        <f t="shared" si="21"/>
        <v>15476.872339190893</v>
      </c>
      <c r="K87" s="20">
        <f t="shared" si="21"/>
        <v>15824.996558175022</v>
      </c>
      <c r="L87" s="20">
        <f t="shared" si="21"/>
        <v>17107.050652239966</v>
      </c>
      <c r="M87" s="20">
        <f t="shared" si="21"/>
        <v>18467.6963281391</v>
      </c>
      <c r="N87" s="20">
        <f t="shared" si="21"/>
        <v>19794.010952621742</v>
      </c>
      <c r="O87" s="20">
        <f t="shared" si="21"/>
        <v>20984.275949703071</v>
      </c>
      <c r="P87" s="20">
        <f t="shared" si="21"/>
        <v>22191.476214688213</v>
      </c>
      <c r="Q87" s="20">
        <f t="shared" si="21"/>
        <v>23261.116829010418</v>
      </c>
      <c r="R87" s="20">
        <f t="shared" si="21"/>
        <v>24370.470260240774</v>
      </c>
      <c r="S87" s="20">
        <f t="shared" si="21"/>
        <v>25442.983804710606</v>
      </c>
      <c r="T87" s="20">
        <f t="shared" si="21"/>
        <v>26423.879015012684</v>
      </c>
      <c r="U87" s="20">
        <f t="shared" si="21"/>
        <v>27406.987480577576</v>
      </c>
      <c r="W87" s="424">
        <f>SUM(B87:U87)</f>
        <v>321713.68295369658</v>
      </c>
    </row>
    <row r="88" spans="1:44" outlineLevel="1">
      <c r="A88" s="21" t="s">
        <v>133</v>
      </c>
      <c r="B88" s="20">
        <f>B34</f>
        <v>5282.5356929725758</v>
      </c>
      <c r="C88" s="20">
        <f t="shared" ref="C88:U88" si="22">C34</f>
        <v>5282.5356929725758</v>
      </c>
      <c r="D88" s="20">
        <f t="shared" si="22"/>
        <v>5282.5356929725758</v>
      </c>
      <c r="E88" s="20">
        <f t="shared" si="22"/>
        <v>5282.5356929725758</v>
      </c>
      <c r="F88" s="20">
        <f t="shared" si="22"/>
        <v>5282.5356929725758</v>
      </c>
      <c r="G88" s="20">
        <f t="shared" si="22"/>
        <v>5282.5356929725758</v>
      </c>
      <c r="H88" s="20">
        <f t="shared" si="22"/>
        <v>5282.5356929725758</v>
      </c>
      <c r="I88" s="20">
        <f t="shared" si="22"/>
        <v>5282.5356929725758</v>
      </c>
      <c r="J88" s="20">
        <f t="shared" si="22"/>
        <v>5282.5356929725758</v>
      </c>
      <c r="K88" s="20">
        <f t="shared" si="22"/>
        <v>5282.5356929725758</v>
      </c>
      <c r="L88" s="20">
        <f t="shared" si="22"/>
        <v>5282.5356929725758</v>
      </c>
      <c r="M88" s="20">
        <f t="shared" si="22"/>
        <v>5282.5356929725758</v>
      </c>
      <c r="N88" s="20">
        <f t="shared" si="22"/>
        <v>5282.5356929725758</v>
      </c>
      <c r="O88" s="20">
        <f t="shared" si="22"/>
        <v>5282.5356929725758</v>
      </c>
      <c r="P88" s="20">
        <f t="shared" si="22"/>
        <v>5282.5356929725758</v>
      </c>
      <c r="Q88" s="20">
        <f t="shared" si="22"/>
        <v>5282.5356929725758</v>
      </c>
      <c r="R88" s="20">
        <f t="shared" si="22"/>
        <v>5282.5356929725758</v>
      </c>
      <c r="S88" s="20">
        <f t="shared" si="22"/>
        <v>5282.5356929725758</v>
      </c>
      <c r="T88" s="20">
        <f t="shared" si="22"/>
        <v>5282.5356929725758</v>
      </c>
      <c r="U88" s="20">
        <f t="shared" si="22"/>
        <v>5282.5356929725758</v>
      </c>
      <c r="W88" s="424">
        <f>SUM(B88:U88)</f>
        <v>105650.71385945156</v>
      </c>
    </row>
    <row r="89" spans="1:44" ht="15" outlineLevel="1">
      <c r="A89" s="21" t="s">
        <v>203</v>
      </c>
      <c r="B89" s="230">
        <f>-Depreciation!C81</f>
        <v>-7817.9625955907777</v>
      </c>
      <c r="C89" s="230">
        <f>-Depreciation!D81</f>
        <v>-14854.128931622477</v>
      </c>
      <c r="D89" s="230">
        <f>-Depreciation!E81</f>
        <v>-13368.71603846023</v>
      </c>
      <c r="E89" s="230">
        <f>-Depreciation!F81</f>
        <v>-12039.662397209797</v>
      </c>
      <c r="F89" s="230">
        <f>-Depreciation!G81</f>
        <v>-10835.696157488817</v>
      </c>
      <c r="G89" s="230">
        <f>-Depreciation!H81</f>
        <v>-9741.1813941061082</v>
      </c>
      <c r="H89" s="230">
        <f>-Depreciation!I81</f>
        <v>-9225.1958627971162</v>
      </c>
      <c r="I89" s="230">
        <f>-Depreciation!J81</f>
        <v>-9240.8317879882979</v>
      </c>
      <c r="J89" s="230">
        <f>-Depreciation!K81</f>
        <v>-9225.1958627971162</v>
      </c>
      <c r="K89" s="230">
        <f>-Depreciation!L81</f>
        <v>-9240.8317879882979</v>
      </c>
      <c r="L89" s="230">
        <f>-Depreciation!M81</f>
        <v>-9225.1958627971162</v>
      </c>
      <c r="M89" s="230">
        <f>-Depreciation!N81</f>
        <v>-9240.8317879882979</v>
      </c>
      <c r="N89" s="230">
        <f>-Depreciation!O81</f>
        <v>-9225.1958627971162</v>
      </c>
      <c r="O89" s="230">
        <f>-Depreciation!P81</f>
        <v>-9240.8317879882979</v>
      </c>
      <c r="P89" s="230">
        <f>-Depreciation!Q81</f>
        <v>-9225.1958627971162</v>
      </c>
      <c r="Q89" s="230">
        <f>-Depreciation!R81</f>
        <v>-4612.5979313985581</v>
      </c>
      <c r="R89" s="230">
        <f>-Depreciation!S81</f>
        <v>0</v>
      </c>
      <c r="S89" s="230">
        <f>-Depreciation!T81</f>
        <v>0</v>
      </c>
      <c r="T89" s="230">
        <f>-Depreciation!U81</f>
        <v>0</v>
      </c>
      <c r="U89" s="230">
        <f>-Depreciation!V81</f>
        <v>0</v>
      </c>
      <c r="W89" s="425">
        <f>SUM(B89:U89)</f>
        <v>-156359.25191181555</v>
      </c>
    </row>
    <row r="90" spans="1:44" outlineLevel="1">
      <c r="A90" s="229" t="s">
        <v>132</v>
      </c>
      <c r="B90" s="22">
        <f t="shared" ref="B90:U90" si="23">SUM(B87:B89)</f>
        <v>-2638.0472452542463</v>
      </c>
      <c r="C90" s="22">
        <f t="shared" si="23"/>
        <v>-9587.4552284505189</v>
      </c>
      <c r="D90" s="22">
        <f t="shared" si="23"/>
        <v>-7957.4308620670517</v>
      </c>
      <c r="E90" s="22">
        <f t="shared" si="23"/>
        <v>4056.2846188119202</v>
      </c>
      <c r="F90" s="22">
        <f t="shared" si="23"/>
        <v>6927.1845374913628</v>
      </c>
      <c r="G90" s="22">
        <f t="shared" si="23"/>
        <v>8698.3179730390184</v>
      </c>
      <c r="H90" s="22">
        <f t="shared" si="23"/>
        <v>9936.3551108338415</v>
      </c>
      <c r="I90" s="22">
        <f t="shared" si="23"/>
        <v>10663.56804349919</v>
      </c>
      <c r="J90" s="22">
        <f t="shared" si="23"/>
        <v>11534.212169366352</v>
      </c>
      <c r="K90" s="22">
        <f t="shared" si="23"/>
        <v>11866.700463159299</v>
      </c>
      <c r="L90" s="22">
        <f t="shared" si="23"/>
        <v>13164.390482415425</v>
      </c>
      <c r="M90" s="22">
        <f t="shared" si="23"/>
        <v>14509.400233123377</v>
      </c>
      <c r="N90" s="22">
        <f t="shared" si="23"/>
        <v>15851.350782797201</v>
      </c>
      <c r="O90" s="22">
        <f t="shared" si="23"/>
        <v>17025.97985468735</v>
      </c>
      <c r="P90" s="22">
        <f t="shared" si="23"/>
        <v>18248.81604486367</v>
      </c>
      <c r="Q90" s="22">
        <f t="shared" si="23"/>
        <v>23931.054590584434</v>
      </c>
      <c r="R90" s="22">
        <f t="shared" si="23"/>
        <v>29653.005953213349</v>
      </c>
      <c r="S90" s="22">
        <f t="shared" si="23"/>
        <v>30725.519497683181</v>
      </c>
      <c r="T90" s="22">
        <f t="shared" si="23"/>
        <v>31706.414707985259</v>
      </c>
      <c r="U90" s="22">
        <f t="shared" si="23"/>
        <v>32689.523173550151</v>
      </c>
      <c r="W90" s="424">
        <f>SUM(B90:U90)</f>
        <v>271005.14490133262</v>
      </c>
    </row>
    <row r="91" spans="1:44" outlineLevel="1">
      <c r="A91" s="21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44" outlineLevel="1">
      <c r="A92" s="21" t="s">
        <v>39</v>
      </c>
      <c r="B92" s="422">
        <f>Assumptions!$E$39</f>
        <v>0.05</v>
      </c>
      <c r="C92" s="422">
        <f>Assumptions!$E$39</f>
        <v>0.05</v>
      </c>
      <c r="D92" s="422">
        <f>Assumptions!$E$39</f>
        <v>0.05</v>
      </c>
      <c r="E92" s="422">
        <f>Assumptions!$E$39</f>
        <v>0.05</v>
      </c>
      <c r="F92" s="422">
        <f>Assumptions!$E$39</f>
        <v>0.05</v>
      </c>
      <c r="G92" s="422">
        <f>Assumptions!$E$39</f>
        <v>0.05</v>
      </c>
      <c r="H92" s="422">
        <f>Assumptions!$E$39</f>
        <v>0.05</v>
      </c>
      <c r="I92" s="422">
        <f>Assumptions!$E$39</f>
        <v>0.05</v>
      </c>
      <c r="J92" s="422">
        <f>Assumptions!$E$39</f>
        <v>0.05</v>
      </c>
      <c r="K92" s="422">
        <f>Assumptions!$E$39</f>
        <v>0.05</v>
      </c>
      <c r="L92" s="422">
        <f>Assumptions!$E$39</f>
        <v>0.05</v>
      </c>
      <c r="M92" s="422">
        <f>Assumptions!$E$39</f>
        <v>0.05</v>
      </c>
      <c r="N92" s="422">
        <f>Assumptions!$E$39</f>
        <v>0.05</v>
      </c>
      <c r="O92" s="422">
        <f>Assumptions!$E$39</f>
        <v>0.05</v>
      </c>
      <c r="P92" s="422">
        <f>Assumptions!$E$39</f>
        <v>0.05</v>
      </c>
      <c r="Q92" s="422">
        <f>Assumptions!$E$39</f>
        <v>0.05</v>
      </c>
      <c r="R92" s="422">
        <f>Assumptions!$E$39</f>
        <v>0.05</v>
      </c>
      <c r="S92" s="422">
        <f>Assumptions!$E$39</f>
        <v>0.05</v>
      </c>
      <c r="T92" s="422">
        <f>Assumptions!$E$39</f>
        <v>0.05</v>
      </c>
      <c r="U92" s="422">
        <f>Assumptions!$E$39</f>
        <v>0.05</v>
      </c>
    </row>
    <row r="93" spans="1:44" outlineLevel="1">
      <c r="A93" s="21" t="s">
        <v>134</v>
      </c>
      <c r="B93" s="20">
        <f>B90*B92</f>
        <v>-131.90236226271233</v>
      </c>
      <c r="C93" s="20">
        <f t="shared" ref="C93:U93" si="24">C90*C92</f>
        <v>-479.37276142252597</v>
      </c>
      <c r="D93" s="20">
        <f t="shared" si="24"/>
        <v>-397.87154310335262</v>
      </c>
      <c r="E93" s="20">
        <f t="shared" si="24"/>
        <v>202.81423094059602</v>
      </c>
      <c r="F93" s="20">
        <f t="shared" si="24"/>
        <v>346.35922687456815</v>
      </c>
      <c r="G93" s="20">
        <f t="shared" si="24"/>
        <v>434.91589865195095</v>
      </c>
      <c r="H93" s="20">
        <f t="shared" si="24"/>
        <v>496.81775554169212</v>
      </c>
      <c r="I93" s="20">
        <f t="shared" si="24"/>
        <v>533.1784021749595</v>
      </c>
      <c r="J93" s="20">
        <f t="shared" si="24"/>
        <v>576.71060846831767</v>
      </c>
      <c r="K93" s="20">
        <f t="shared" si="24"/>
        <v>593.335023157965</v>
      </c>
      <c r="L93" s="20">
        <f t="shared" si="24"/>
        <v>658.21952412077133</v>
      </c>
      <c r="M93" s="20">
        <f t="shared" si="24"/>
        <v>725.47001165616894</v>
      </c>
      <c r="N93" s="20">
        <f t="shared" si="24"/>
        <v>792.56753913986006</v>
      </c>
      <c r="O93" s="20">
        <f t="shared" si="24"/>
        <v>851.29899273436752</v>
      </c>
      <c r="P93" s="20">
        <f t="shared" si="24"/>
        <v>912.4408022431835</v>
      </c>
      <c r="Q93" s="20">
        <f t="shared" si="24"/>
        <v>1196.5527295292218</v>
      </c>
      <c r="R93" s="20">
        <f t="shared" si="24"/>
        <v>1482.6502976606675</v>
      </c>
      <c r="S93" s="20">
        <f t="shared" si="24"/>
        <v>1536.275974884159</v>
      </c>
      <c r="T93" s="20">
        <f t="shared" si="24"/>
        <v>1585.320735399263</v>
      </c>
      <c r="U93" s="20">
        <f t="shared" si="24"/>
        <v>1634.4761586775076</v>
      </c>
    </row>
    <row r="94" spans="1:44" outlineLevel="1">
      <c r="A94" s="21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44" outlineLevel="1">
      <c r="A95" s="21" t="s">
        <v>135</v>
      </c>
      <c r="B95" s="20">
        <v>0</v>
      </c>
      <c r="C95" s="20">
        <f t="shared" ref="C95:U95" si="25">B99</f>
        <v>131.90236226271233</v>
      </c>
      <c r="D95" s="20">
        <f t="shared" si="25"/>
        <v>611.27512368523833</v>
      </c>
      <c r="E95" s="20">
        <f t="shared" si="25"/>
        <v>1009.1466667885909</v>
      </c>
      <c r="F95" s="20">
        <f t="shared" si="25"/>
        <v>806.33243584799493</v>
      </c>
      <c r="G95" s="20">
        <f t="shared" si="25"/>
        <v>459.97320897342678</v>
      </c>
      <c r="H95" s="20">
        <f t="shared" si="25"/>
        <v>25.057310321475825</v>
      </c>
      <c r="I95" s="20">
        <f t="shared" si="25"/>
        <v>0</v>
      </c>
      <c r="J95" s="20">
        <f t="shared" si="25"/>
        <v>0</v>
      </c>
      <c r="K95" s="20">
        <f t="shared" si="25"/>
        <v>0</v>
      </c>
      <c r="L95" s="20">
        <f t="shared" si="25"/>
        <v>0</v>
      </c>
      <c r="M95" s="20">
        <f t="shared" si="25"/>
        <v>0</v>
      </c>
      <c r="N95" s="20">
        <f>M99</f>
        <v>0</v>
      </c>
      <c r="O95" s="20">
        <f t="shared" si="25"/>
        <v>0</v>
      </c>
      <c r="P95" s="20">
        <f t="shared" si="25"/>
        <v>0</v>
      </c>
      <c r="Q95" s="20">
        <f t="shared" si="25"/>
        <v>0</v>
      </c>
      <c r="R95" s="20">
        <v>0</v>
      </c>
      <c r="S95" s="20">
        <f t="shared" si="25"/>
        <v>0</v>
      </c>
      <c r="T95" s="20">
        <f t="shared" si="25"/>
        <v>0</v>
      </c>
      <c r="U95" s="20">
        <f t="shared" si="25"/>
        <v>0</v>
      </c>
    </row>
    <row r="96" spans="1:44" outlineLevel="1">
      <c r="A96" s="21" t="s">
        <v>136</v>
      </c>
      <c r="B96" s="241">
        <f t="shared" ref="B96:U96" si="26">IF(B69&gt;2020,0,IF(B93&lt;0,-B93,0))</f>
        <v>131.90236226271233</v>
      </c>
      <c r="C96" s="241">
        <f t="shared" si="26"/>
        <v>479.37276142252597</v>
      </c>
      <c r="D96" s="241">
        <f t="shared" si="26"/>
        <v>397.87154310335262</v>
      </c>
      <c r="E96" s="241">
        <f t="shared" si="26"/>
        <v>0</v>
      </c>
      <c r="F96" s="241">
        <f t="shared" si="26"/>
        <v>0</v>
      </c>
      <c r="G96" s="241">
        <f t="shared" si="26"/>
        <v>0</v>
      </c>
      <c r="H96" s="241">
        <f t="shared" si="26"/>
        <v>0</v>
      </c>
      <c r="I96" s="241">
        <f t="shared" si="26"/>
        <v>0</v>
      </c>
      <c r="J96" s="241">
        <f t="shared" si="26"/>
        <v>0</v>
      </c>
      <c r="K96" s="241">
        <f t="shared" si="26"/>
        <v>0</v>
      </c>
      <c r="L96" s="241">
        <f t="shared" si="26"/>
        <v>0</v>
      </c>
      <c r="M96" s="241">
        <f t="shared" si="26"/>
        <v>0</v>
      </c>
      <c r="N96" s="241">
        <f t="shared" si="26"/>
        <v>0</v>
      </c>
      <c r="O96" s="241">
        <f t="shared" si="26"/>
        <v>0</v>
      </c>
      <c r="P96" s="241">
        <f t="shared" si="26"/>
        <v>0</v>
      </c>
      <c r="Q96" s="241">
        <f t="shared" si="26"/>
        <v>0</v>
      </c>
      <c r="R96" s="241">
        <f t="shared" si="26"/>
        <v>0</v>
      </c>
      <c r="S96" s="241">
        <f t="shared" si="26"/>
        <v>0</v>
      </c>
      <c r="T96" s="241">
        <f t="shared" si="26"/>
        <v>0</v>
      </c>
      <c r="U96" s="241">
        <f t="shared" si="26"/>
        <v>0</v>
      </c>
    </row>
    <row r="97" spans="1:23" outlineLevel="1">
      <c r="A97" s="21" t="s">
        <v>137</v>
      </c>
      <c r="B97" s="231">
        <v>0</v>
      </c>
      <c r="C97" s="231">
        <v>0</v>
      </c>
      <c r="D97" s="231">
        <v>0</v>
      </c>
      <c r="E97" s="231">
        <v>0</v>
      </c>
      <c r="F97" s="231">
        <v>0</v>
      </c>
      <c r="G97" s="231">
        <v>0</v>
      </c>
      <c r="H97" s="231">
        <v>0</v>
      </c>
      <c r="I97" s="231">
        <v>0</v>
      </c>
      <c r="J97" s="231">
        <v>0</v>
      </c>
      <c r="K97" s="231">
        <v>0</v>
      </c>
      <c r="L97" s="231">
        <v>0</v>
      </c>
      <c r="M97" s="231">
        <v>0</v>
      </c>
      <c r="N97" s="231">
        <v>0</v>
      </c>
      <c r="O97" s="231">
        <v>0</v>
      </c>
      <c r="P97" s="231">
        <v>0</v>
      </c>
      <c r="Q97" s="231">
        <v>0</v>
      </c>
      <c r="R97" s="231">
        <v>0</v>
      </c>
      <c r="S97" s="231">
        <v>0</v>
      </c>
      <c r="T97" s="20">
        <f>IF(L96&gt;(SUM(M98:S98)+SUM(L97:S97))*-1,L96-(SUM(L98:S98)+SUM(L97:S97))*-1,0)</f>
        <v>0</v>
      </c>
      <c r="U97" s="20">
        <f>IF(M96&gt;(SUM(N98:T98)+SUM(M97:T97))*-1,M96-(SUM(M98:T98)+SUM(M97:T97))*-1,0)</f>
        <v>0</v>
      </c>
    </row>
    <row r="98" spans="1:23" outlineLevel="1">
      <c r="A98" s="17" t="s">
        <v>138</v>
      </c>
      <c r="B98" s="232">
        <f t="shared" ref="B98:T98" si="27">IF(B93&lt;0,0,IF(B95&gt;B93,-B93,-B95))</f>
        <v>0</v>
      </c>
      <c r="C98" s="232">
        <f t="shared" si="27"/>
        <v>0</v>
      </c>
      <c r="D98" s="232">
        <f t="shared" si="27"/>
        <v>0</v>
      </c>
      <c r="E98" s="232">
        <f t="shared" si="27"/>
        <v>-202.81423094059602</v>
      </c>
      <c r="F98" s="232">
        <f t="shared" si="27"/>
        <v>-346.35922687456815</v>
      </c>
      <c r="G98" s="232">
        <f t="shared" si="27"/>
        <v>-434.91589865195095</v>
      </c>
      <c r="H98" s="232">
        <f t="shared" si="27"/>
        <v>-25.057310321475825</v>
      </c>
      <c r="I98" s="232">
        <f t="shared" si="27"/>
        <v>0</v>
      </c>
      <c r="J98" s="232">
        <f t="shared" si="27"/>
        <v>0</v>
      </c>
      <c r="K98" s="232">
        <f t="shared" si="27"/>
        <v>0</v>
      </c>
      <c r="L98" s="232">
        <f t="shared" si="27"/>
        <v>0</v>
      </c>
      <c r="M98" s="232">
        <f t="shared" si="27"/>
        <v>0</v>
      </c>
      <c r="N98" s="232">
        <f t="shared" si="27"/>
        <v>0</v>
      </c>
      <c r="O98" s="232">
        <f t="shared" si="27"/>
        <v>0</v>
      </c>
      <c r="P98" s="232">
        <f t="shared" si="27"/>
        <v>0</v>
      </c>
      <c r="Q98" s="232">
        <f t="shared" si="27"/>
        <v>0</v>
      </c>
      <c r="R98" s="232">
        <f t="shared" si="27"/>
        <v>0</v>
      </c>
      <c r="S98" s="232">
        <f t="shared" si="27"/>
        <v>0</v>
      </c>
      <c r="T98" s="232">
        <f t="shared" si="27"/>
        <v>0</v>
      </c>
      <c r="U98" s="232">
        <f>IF(U93&lt;0,0,IF(U95&gt;U93,-U93,-U95))</f>
        <v>0</v>
      </c>
    </row>
    <row r="99" spans="1:23" outlineLevel="1">
      <c r="A99" s="17" t="s">
        <v>139</v>
      </c>
      <c r="B99" s="232">
        <f t="shared" ref="B99:U99" si="28">SUM(B95:B98)</f>
        <v>131.90236226271233</v>
      </c>
      <c r="C99" s="232">
        <f t="shared" si="28"/>
        <v>611.27512368523833</v>
      </c>
      <c r="D99" s="232">
        <f t="shared" si="28"/>
        <v>1009.1466667885909</v>
      </c>
      <c r="E99" s="232">
        <f t="shared" si="28"/>
        <v>806.33243584799493</v>
      </c>
      <c r="F99" s="232">
        <f t="shared" si="28"/>
        <v>459.97320897342678</v>
      </c>
      <c r="G99" s="232">
        <f t="shared" si="28"/>
        <v>25.057310321475825</v>
      </c>
      <c r="H99" s="232">
        <f t="shared" si="28"/>
        <v>0</v>
      </c>
      <c r="I99" s="232">
        <f t="shared" si="28"/>
        <v>0</v>
      </c>
      <c r="J99" s="232">
        <f t="shared" si="28"/>
        <v>0</v>
      </c>
      <c r="K99" s="232">
        <f t="shared" si="28"/>
        <v>0</v>
      </c>
      <c r="L99" s="232">
        <f t="shared" si="28"/>
        <v>0</v>
      </c>
      <c r="M99" s="232">
        <f t="shared" si="28"/>
        <v>0</v>
      </c>
      <c r="N99" s="232">
        <f t="shared" si="28"/>
        <v>0</v>
      </c>
      <c r="O99" s="232">
        <f t="shared" si="28"/>
        <v>0</v>
      </c>
      <c r="P99" s="232">
        <f t="shared" si="28"/>
        <v>0</v>
      </c>
      <c r="Q99" s="232">
        <f t="shared" si="28"/>
        <v>0</v>
      </c>
      <c r="R99" s="232">
        <f t="shared" si="28"/>
        <v>0</v>
      </c>
      <c r="S99" s="232">
        <f t="shared" si="28"/>
        <v>0</v>
      </c>
      <c r="T99" s="232">
        <f t="shared" si="28"/>
        <v>0</v>
      </c>
      <c r="U99" s="232">
        <f t="shared" si="28"/>
        <v>0</v>
      </c>
    </row>
    <row r="100" spans="1:23" outlineLevel="1">
      <c r="A100" s="17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</row>
    <row r="101" spans="1:23" ht="13.5" outlineLevel="1" thickBot="1">
      <c r="A101" s="32" t="s">
        <v>131</v>
      </c>
      <c r="B101" s="330">
        <f t="shared" ref="B101:U101" si="29">IF(B93&lt;0,0,B93+B98)</f>
        <v>0</v>
      </c>
      <c r="C101" s="330">
        <f t="shared" si="29"/>
        <v>0</v>
      </c>
      <c r="D101" s="330">
        <f t="shared" si="29"/>
        <v>0</v>
      </c>
      <c r="E101" s="330">
        <f t="shared" si="29"/>
        <v>0</v>
      </c>
      <c r="F101" s="330">
        <f t="shared" si="29"/>
        <v>0</v>
      </c>
      <c r="G101" s="330">
        <f t="shared" si="29"/>
        <v>0</v>
      </c>
      <c r="H101" s="330">
        <f t="shared" si="29"/>
        <v>471.7604452202163</v>
      </c>
      <c r="I101" s="330">
        <f t="shared" si="29"/>
        <v>533.1784021749595</v>
      </c>
      <c r="J101" s="330">
        <f t="shared" si="29"/>
        <v>576.71060846831767</v>
      </c>
      <c r="K101" s="330">
        <f t="shared" si="29"/>
        <v>593.335023157965</v>
      </c>
      <c r="L101" s="330">
        <f t="shared" si="29"/>
        <v>658.21952412077133</v>
      </c>
      <c r="M101" s="330">
        <f t="shared" si="29"/>
        <v>725.47001165616894</v>
      </c>
      <c r="N101" s="330">
        <f t="shared" si="29"/>
        <v>792.56753913986006</v>
      </c>
      <c r="O101" s="330">
        <f t="shared" si="29"/>
        <v>851.29899273436752</v>
      </c>
      <c r="P101" s="330">
        <f t="shared" si="29"/>
        <v>912.4408022431835</v>
      </c>
      <c r="Q101" s="330">
        <f t="shared" si="29"/>
        <v>1196.5527295292218</v>
      </c>
      <c r="R101" s="330">
        <f t="shared" si="29"/>
        <v>1482.6502976606675</v>
      </c>
      <c r="S101" s="330">
        <f t="shared" si="29"/>
        <v>1536.275974884159</v>
      </c>
      <c r="T101" s="330">
        <f t="shared" si="29"/>
        <v>1585.320735399263</v>
      </c>
      <c r="U101" s="330">
        <f t="shared" si="29"/>
        <v>1634.4761586775076</v>
      </c>
      <c r="W101" s="424">
        <f>SUM(B101:U101)</f>
        <v>13550.257245066628</v>
      </c>
    </row>
    <row r="102" spans="1:23" outlineLevel="1">
      <c r="A102" s="7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59"/>
      <c r="M102" s="59"/>
      <c r="N102" s="59"/>
      <c r="O102" s="59"/>
      <c r="P102" s="59"/>
      <c r="Q102" s="59"/>
      <c r="R102" s="59"/>
      <c r="S102" s="59"/>
      <c r="T102" s="59"/>
      <c r="U102" s="59"/>
    </row>
    <row r="103" spans="1:23" ht="15.75" outlineLevel="1">
      <c r="A103" s="72"/>
      <c r="B103" s="7"/>
      <c r="C103" s="73"/>
      <c r="D103" s="7"/>
      <c r="E103" s="7"/>
      <c r="F103" s="7"/>
      <c r="G103" s="7"/>
      <c r="H103" s="7"/>
      <c r="I103" s="7"/>
      <c r="J103" s="7"/>
      <c r="K103" s="7"/>
      <c r="L103" s="59"/>
      <c r="M103" s="59"/>
      <c r="N103" s="59"/>
      <c r="O103" s="59"/>
      <c r="P103" s="59"/>
      <c r="Q103" s="59"/>
      <c r="R103" s="59"/>
      <c r="S103" s="59"/>
      <c r="T103" s="59"/>
      <c r="U103" s="59"/>
    </row>
    <row r="104" spans="1:23" outlineLevel="1">
      <c r="A104" s="57"/>
      <c r="B104" s="73"/>
      <c r="C104" s="76"/>
      <c r="D104" s="77"/>
      <c r="E104" s="77"/>
      <c r="F104" s="77"/>
      <c r="G104" s="77"/>
      <c r="H104" s="77"/>
      <c r="I104" s="77"/>
      <c r="J104" s="77"/>
      <c r="K104" s="77"/>
      <c r="L104" s="59"/>
      <c r="M104" s="59"/>
      <c r="N104" s="59"/>
      <c r="O104" s="59"/>
      <c r="P104" s="59"/>
      <c r="Q104" s="59"/>
      <c r="R104" s="59"/>
      <c r="S104" s="59"/>
      <c r="T104" s="59"/>
      <c r="U104" s="59"/>
    </row>
    <row r="105" spans="1:23" outlineLevel="1">
      <c r="A105" s="524"/>
      <c r="B105" s="524"/>
      <c r="C105" s="524"/>
      <c r="D105" s="524"/>
      <c r="E105" s="524"/>
      <c r="F105" s="524"/>
      <c r="G105" s="524"/>
      <c r="H105" s="524"/>
      <c r="I105" s="524"/>
      <c r="J105" s="524"/>
      <c r="K105" s="524"/>
      <c r="L105" s="524"/>
      <c r="M105" s="524"/>
      <c r="N105" s="524"/>
      <c r="O105" s="524"/>
      <c r="P105" s="524"/>
      <c r="Q105" s="524"/>
      <c r="R105" s="524"/>
      <c r="S105" s="524"/>
      <c r="T105" s="524"/>
      <c r="U105" s="524"/>
    </row>
    <row r="106" spans="1:23" outlineLevel="1">
      <c r="A106" s="78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</row>
    <row r="107" spans="1:23" outlineLevel="1">
      <c r="A107" s="527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</row>
    <row r="108" spans="1:23" outlineLevel="1">
      <c r="A108" s="528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</row>
    <row r="109" spans="1:23" outlineLevel="1">
      <c r="A109" s="7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59"/>
      <c r="M109" s="59"/>
      <c r="N109" s="59"/>
      <c r="O109" s="59"/>
      <c r="P109" s="59"/>
      <c r="Q109" s="59"/>
      <c r="R109" s="59"/>
      <c r="S109" s="59"/>
      <c r="T109" s="59"/>
      <c r="U109" s="59"/>
    </row>
    <row r="110" spans="1:23" outlineLevel="1">
      <c r="A110" s="57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59"/>
      <c r="M110" s="59"/>
      <c r="N110" s="59"/>
      <c r="O110" s="59"/>
      <c r="P110" s="59"/>
      <c r="Q110" s="59"/>
      <c r="R110" s="59"/>
      <c r="S110" s="59"/>
      <c r="T110" s="59"/>
      <c r="U110" s="59"/>
    </row>
    <row r="111" spans="1:23" outlineLevel="1">
      <c r="A111" s="5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59"/>
      <c r="M111" s="59"/>
      <c r="N111" s="59"/>
      <c r="O111" s="59"/>
      <c r="P111" s="59"/>
      <c r="Q111" s="59"/>
      <c r="R111" s="59"/>
      <c r="S111" s="59"/>
      <c r="T111" s="59"/>
      <c r="U111" s="59"/>
    </row>
    <row r="112" spans="1:23" outlineLevel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59"/>
      <c r="M112" s="59"/>
      <c r="N112" s="59"/>
      <c r="O112" s="59"/>
      <c r="P112" s="59"/>
      <c r="Q112" s="59"/>
      <c r="R112" s="59"/>
      <c r="S112" s="59"/>
      <c r="T112" s="59"/>
      <c r="U112" s="59"/>
    </row>
    <row r="113" spans="1:21" outlineLevel="1">
      <c r="A113" s="7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59"/>
      <c r="M113" s="59"/>
      <c r="N113" s="59"/>
      <c r="O113" s="59"/>
      <c r="P113" s="59"/>
      <c r="Q113" s="59"/>
      <c r="R113" s="59"/>
      <c r="S113" s="59"/>
      <c r="T113" s="59"/>
      <c r="U113" s="59"/>
    </row>
    <row r="114" spans="1:21" ht="14.25" outlineLevel="1">
      <c r="A114" s="75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</row>
    <row r="115" spans="1:21" outlineLevel="1">
      <c r="A115" s="78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</row>
    <row r="116" spans="1:21" outlineLevel="1">
      <c r="A116" s="7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</row>
    <row r="117" spans="1:21" outlineLevel="1">
      <c r="A117" s="7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</row>
    <row r="118" spans="1:21" outlineLevel="1">
      <c r="A118" s="7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</row>
    <row r="119" spans="1:21" outlineLevel="1">
      <c r="A119" s="7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</row>
    <row r="120" spans="1:21" outlineLevel="1">
      <c r="A120" s="7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</row>
    <row r="121" spans="1:21" outlineLevel="1">
      <c r="A121" s="7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</row>
    <row r="122" spans="1:21" outlineLevel="1">
      <c r="A122" s="7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</row>
    <row r="123" spans="1:21" outlineLevel="1">
      <c r="A123" s="80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</row>
    <row r="124" spans="1:21" outlineLevel="1">
      <c r="A124" s="81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</row>
    <row r="125" spans="1:21" outlineLevel="1">
      <c r="A125" s="7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</row>
    <row r="126" spans="1:21" outlineLevel="1">
      <c r="A126" s="7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</row>
    <row r="127" spans="1:21" outlineLevel="1">
      <c r="A127" s="82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</row>
    <row r="128" spans="1:21" outlineLevel="1">
      <c r="A128" s="82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</row>
    <row r="129" spans="1:21" outlineLevel="1">
      <c r="A129" s="7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</row>
    <row r="130" spans="1:21" outlineLevel="1">
      <c r="A130" s="82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</row>
    <row r="131" spans="1:21" outlineLevel="1">
      <c r="A131" s="7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</row>
    <row r="132" spans="1:21" outlineLevel="1">
      <c r="A132" s="7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</row>
    <row r="133" spans="1:21" outlineLevel="1">
      <c r="A133" s="7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</row>
    <row r="134" spans="1:21" outlineLevel="1">
      <c r="A134" s="82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</row>
    <row r="135" spans="1:21" outlineLevel="1">
      <c r="A135" s="78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</row>
    <row r="136" spans="1:21" outlineLevel="1">
      <c r="A136" s="80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</row>
    <row r="137" spans="1:21" outlineLevel="1">
      <c r="A137" s="80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</row>
    <row r="138" spans="1:21" ht="15" customHeight="1" outlineLevel="1">
      <c r="A138" s="80"/>
      <c r="B138" s="69"/>
      <c r="C138" s="6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</row>
    <row r="139" spans="1:21" outlineLevel="1">
      <c r="A139" s="80"/>
      <c r="B139" s="69"/>
      <c r="C139" s="6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</row>
    <row r="140" spans="1:21" ht="14.25" customHeight="1" outlineLevel="1">
      <c r="A140" s="80"/>
      <c r="B140" s="69"/>
      <c r="C140" s="6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</row>
    <row r="141" spans="1:21" outlineLevel="1">
      <c r="A141" s="80"/>
      <c r="B141" s="69"/>
      <c r="C141" s="6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</row>
    <row r="142" spans="1:21" outlineLevel="1">
      <c r="A142" s="80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</row>
    <row r="143" spans="1:21" outlineLevel="1">
      <c r="A143" s="83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</row>
    <row r="144" spans="1:21" outlineLevel="1">
      <c r="A144" s="83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</row>
    <row r="145" spans="1:21" outlineLevel="1">
      <c r="A145" s="83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</row>
    <row r="146" spans="1:21" outlineLevel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</row>
    <row r="147" spans="1:21" outlineLevel="1">
      <c r="A147" s="7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</row>
    <row r="148" spans="1:21" outlineLevel="1">
      <c r="A148" s="7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</row>
    <row r="149" spans="1:21" outlineLevel="1">
      <c r="A149" s="7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</row>
    <row r="150" spans="1:21" ht="18.75" outlineLevel="1">
      <c r="A150" s="84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</row>
    <row r="151" spans="1:21" outlineLevel="1">
      <c r="A151" s="57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</row>
    <row r="152" spans="1:21" outlineLevel="1">
      <c r="A152" s="57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</row>
    <row r="153" spans="1:21" outlineLevel="1">
      <c r="A153" s="7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</row>
    <row r="154" spans="1:21" outlineLevel="1">
      <c r="A154" s="7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</row>
    <row r="155" spans="1:21" outlineLevel="1">
      <c r="A155" s="2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</row>
    <row r="156" spans="1:21" outlineLevel="1">
      <c r="A156" s="80"/>
      <c r="B156" s="69"/>
      <c r="C156" s="6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</row>
    <row r="157" spans="1:21" outlineLevel="1">
      <c r="A157" s="79"/>
      <c r="B157" s="69"/>
      <c r="C157" s="6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</row>
    <row r="158" spans="1:21" outlineLevel="1">
      <c r="A158" s="79"/>
      <c r="B158" s="69"/>
      <c r="C158" s="6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</row>
    <row r="159" spans="1:21" outlineLevel="1">
      <c r="A159" s="78"/>
      <c r="B159" s="69"/>
      <c r="C159" s="6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</row>
    <row r="160" spans="1:21" outlineLevel="1">
      <c r="A160" s="69"/>
      <c r="B160" s="69"/>
      <c r="C160" s="6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</row>
    <row r="161" spans="1:21" outlineLevel="1">
      <c r="A161" s="80"/>
      <c r="B161" s="69"/>
      <c r="C161" s="6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</row>
    <row r="162" spans="1:21" outlineLevel="1">
      <c r="A162" s="79"/>
      <c r="B162" s="69"/>
      <c r="C162" s="6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</row>
    <row r="163" spans="1:21" outlineLevel="1">
      <c r="A163" s="79"/>
      <c r="B163" s="69"/>
      <c r="C163" s="6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</row>
    <row r="164" spans="1:21" outlineLevel="1">
      <c r="A164" s="79"/>
      <c r="B164" s="69"/>
      <c r="C164" s="6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</row>
    <row r="165" spans="1:21" outlineLevel="1">
      <c r="A165" s="79"/>
      <c r="B165" s="69"/>
      <c r="C165" s="6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</row>
    <row r="166" spans="1:21" outlineLevel="1">
      <c r="A166" s="69"/>
      <c r="B166" s="69"/>
      <c r="C166" s="6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</row>
    <row r="167" spans="1:21" outlineLevel="1">
      <c r="A167" s="80"/>
      <c r="B167" s="69"/>
      <c r="C167" s="6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</row>
    <row r="168" spans="1:21" outlineLevel="1">
      <c r="A168" s="69"/>
      <c r="B168" s="69"/>
      <c r="C168" s="6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</row>
    <row r="169" spans="1:21" outlineLevel="1">
      <c r="A169" s="80"/>
      <c r="B169" s="69"/>
      <c r="C169" s="6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</row>
    <row r="170" spans="1:21" outlineLevel="1">
      <c r="A170" s="79"/>
      <c r="B170" s="69"/>
      <c r="C170" s="6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</row>
    <row r="171" spans="1:21" outlineLevel="1">
      <c r="A171" s="80"/>
      <c r="B171" s="69"/>
      <c r="C171" s="6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</row>
    <row r="172" spans="1:21" outlineLevel="1">
      <c r="A172" s="82"/>
      <c r="B172" s="69"/>
      <c r="C172" s="6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</row>
    <row r="173" spans="1:21" outlineLevel="1">
      <c r="A173" s="79"/>
      <c r="B173" s="69"/>
      <c r="C173" s="6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</row>
    <row r="174" spans="1:21" outlineLevel="1">
      <c r="A174" s="78"/>
      <c r="B174" s="69"/>
      <c r="C174" s="6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</row>
    <row r="175" spans="1:21" outlineLevel="1">
      <c r="A175" s="79"/>
      <c r="B175" s="69"/>
      <c r="C175" s="6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</row>
    <row r="176" spans="1:21" outlineLevel="1">
      <c r="A176" s="78"/>
      <c r="B176" s="69"/>
      <c r="C176" s="6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</row>
    <row r="177" spans="1:21" outlineLevel="1">
      <c r="A177" s="79"/>
      <c r="B177" s="69"/>
      <c r="C177" s="6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</row>
    <row r="178" spans="1:21" outlineLevel="1">
      <c r="A178" s="79"/>
      <c r="B178" s="69"/>
      <c r="C178" s="6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</row>
    <row r="179" spans="1:21" outlineLevel="1">
      <c r="A179" s="79"/>
      <c r="B179" s="69"/>
      <c r="C179" s="6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</row>
    <row r="180" spans="1:21" outlineLevel="1">
      <c r="A180" s="79"/>
      <c r="B180" s="69"/>
      <c r="C180" s="6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</row>
    <row r="181" spans="1:21" outlineLevel="1">
      <c r="A181" s="79"/>
      <c r="B181" s="69"/>
      <c r="C181" s="6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</row>
    <row r="182" spans="1:21" outlineLevel="1">
      <c r="A182" s="79"/>
      <c r="B182" s="69"/>
      <c r="C182" s="6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</row>
    <row r="183" spans="1:21" outlineLevel="1">
      <c r="A183" s="80"/>
      <c r="B183" s="69"/>
      <c r="C183" s="6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</row>
    <row r="184" spans="1:21" outlineLevel="1">
      <c r="A184" s="81"/>
      <c r="B184" s="69"/>
      <c r="C184" s="6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</row>
    <row r="185" spans="1:21" outlineLevel="1">
      <c r="A185" s="79"/>
      <c r="B185" s="69"/>
      <c r="C185" s="6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</row>
    <row r="186" spans="1:21" outlineLevel="1">
      <c r="A186" s="82"/>
      <c r="B186" s="69"/>
      <c r="C186" s="6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</row>
    <row r="187" spans="1:21" outlineLevel="1">
      <c r="A187" s="82"/>
      <c r="B187" s="69"/>
      <c r="C187" s="6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</row>
    <row r="188" spans="1:21" outlineLevel="1">
      <c r="A188" s="79"/>
      <c r="B188" s="69"/>
      <c r="C188" s="6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</row>
    <row r="189" spans="1:21" outlineLevel="1">
      <c r="A189" s="79"/>
      <c r="B189" s="69"/>
      <c r="C189" s="6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</row>
    <row r="190" spans="1:21" outlineLevel="1">
      <c r="A190" s="78"/>
      <c r="B190" s="69"/>
      <c r="C190" s="6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</row>
    <row r="191" spans="1:21" outlineLevel="1">
      <c r="A191" s="80"/>
      <c r="B191" s="69"/>
      <c r="C191" s="6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</row>
    <row r="192" spans="1:21" outlineLevel="1">
      <c r="A192" s="80"/>
      <c r="B192" s="69"/>
      <c r="C192" s="6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</row>
    <row r="193" spans="1:21" outlineLevel="1">
      <c r="A193" s="80"/>
      <c r="B193" s="69"/>
      <c r="C193" s="6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</row>
    <row r="194" spans="1:21" outlineLevel="1">
      <c r="A194" s="80"/>
      <c r="B194" s="69"/>
      <c r="C194" s="6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</row>
    <row r="195" spans="1:21" outlineLevel="1">
      <c r="A195" s="80"/>
      <c r="B195" s="69"/>
      <c r="C195" s="6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</row>
    <row r="196" spans="1:21" outlineLevel="1">
      <c r="A196" s="80"/>
      <c r="B196" s="69"/>
      <c r="C196" s="6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</row>
    <row r="197" spans="1:21" outlineLevel="1">
      <c r="A197" s="80"/>
      <c r="B197" s="69"/>
      <c r="C197" s="6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</row>
    <row r="198" spans="1:21" outlineLevel="1">
      <c r="A198" s="7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</row>
    <row r="199" spans="1:21" outlineLevel="1">
      <c r="A199" s="7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</row>
    <row r="200" spans="1:21" outlineLevel="1">
      <c r="A200" s="7"/>
      <c r="B200" s="7"/>
      <c r="C200" s="7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</row>
    <row r="201" spans="1:21" ht="18.75" outlineLevel="1">
      <c r="A201" s="8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</row>
    <row r="202" spans="1:21" outlineLevel="1">
      <c r="A202" s="5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spans="1:21" outlineLevel="1">
      <c r="A203" s="5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 spans="1:21" outlineLevel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 spans="1:21" outlineLevel="1">
      <c r="A205" s="2"/>
      <c r="B205" s="9"/>
      <c r="C205" s="9"/>
      <c r="D205" s="9"/>
      <c r="E205" s="9"/>
      <c r="F205" s="9"/>
      <c r="G205" s="9"/>
      <c r="H205" s="9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</row>
    <row r="206" spans="1:21" outlineLevel="1">
      <c r="A206" s="5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spans="1:21" outlineLevel="1">
      <c r="A207" s="86"/>
      <c r="B207" s="87"/>
      <c r="C207" s="87"/>
      <c r="D207" s="87"/>
      <c r="E207" s="87"/>
      <c r="F207" s="87"/>
      <c r="G207" s="87"/>
      <c r="H207" s="87"/>
      <c r="I207" s="7"/>
      <c r="J207" s="8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</row>
    <row r="208" spans="1:21" outlineLevel="1">
      <c r="A208" s="86"/>
      <c r="B208" s="87"/>
      <c r="C208" s="87"/>
      <c r="D208" s="87"/>
      <c r="E208" s="87"/>
      <c r="F208" s="87"/>
      <c r="G208" s="87"/>
      <c r="H208" s="87"/>
      <c r="I208" s="7"/>
      <c r="J208" s="8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spans="1:21" outlineLevel="1">
      <c r="A209" s="86"/>
      <c r="B209" s="87"/>
      <c r="C209" s="87"/>
      <c r="D209" s="87"/>
      <c r="E209" s="87"/>
      <c r="F209" s="87"/>
      <c r="G209" s="87"/>
      <c r="H209" s="87"/>
      <c r="I209" s="7"/>
      <c r="J209" s="8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 spans="1:21" outlineLevel="1">
      <c r="A210" s="86"/>
      <c r="B210" s="87"/>
      <c r="C210" s="87"/>
      <c r="D210" s="87"/>
      <c r="E210" s="87"/>
      <c r="F210" s="87"/>
      <c r="G210" s="87"/>
      <c r="H210" s="87"/>
      <c r="I210" s="7"/>
      <c r="J210" s="8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spans="1:21" outlineLevel="1">
      <c r="A211" s="86"/>
      <c r="B211" s="87"/>
      <c r="C211" s="87"/>
      <c r="D211" s="87"/>
      <c r="E211" s="87"/>
      <c r="F211" s="87"/>
      <c r="G211" s="87"/>
      <c r="H211" s="87"/>
      <c r="I211" s="7"/>
      <c r="J211" s="8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 spans="1:21" outlineLevel="1">
      <c r="A212" s="7"/>
      <c r="B212" s="87"/>
      <c r="C212" s="87"/>
      <c r="D212" s="87"/>
      <c r="E212" s="87"/>
      <c r="F212" s="87"/>
      <c r="G212" s="87"/>
      <c r="H212" s="87"/>
      <c r="I212" s="7"/>
      <c r="J212" s="8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spans="1:21" outlineLevel="1">
      <c r="A213" s="57"/>
      <c r="B213" s="87"/>
      <c r="C213" s="87"/>
      <c r="D213" s="87"/>
      <c r="E213" s="87"/>
      <c r="F213" s="87"/>
      <c r="G213" s="87"/>
      <c r="H213" s="87"/>
      <c r="I213" s="7"/>
      <c r="J213" s="8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spans="1:21" outlineLevel="1">
      <c r="A214" s="86"/>
      <c r="B214" s="87"/>
      <c r="C214" s="87"/>
      <c r="D214" s="87"/>
      <c r="E214" s="87"/>
      <c r="F214" s="87"/>
      <c r="G214" s="87"/>
      <c r="H214" s="87"/>
      <c r="I214" s="7"/>
      <c r="J214" s="8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21" outlineLevel="1">
      <c r="A215" s="86"/>
      <c r="B215" s="87"/>
      <c r="C215" s="87"/>
      <c r="D215" s="87"/>
      <c r="E215" s="87"/>
      <c r="F215" s="87"/>
      <c r="G215" s="87"/>
      <c r="H215" s="87"/>
      <c r="I215" s="7"/>
      <c r="J215" s="8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spans="1:21" outlineLevel="1">
      <c r="A216" s="86"/>
      <c r="B216" s="87"/>
      <c r="C216" s="87"/>
      <c r="D216" s="87"/>
      <c r="E216" s="87"/>
      <c r="F216" s="87"/>
      <c r="G216" s="87"/>
      <c r="H216" s="87"/>
      <c r="I216" s="7"/>
      <c r="J216" s="8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spans="1:21" outlineLevel="1">
      <c r="A217" s="86"/>
      <c r="B217" s="87"/>
      <c r="C217" s="87"/>
      <c r="D217" s="87"/>
      <c r="E217" s="87"/>
      <c r="F217" s="87"/>
      <c r="G217" s="87"/>
      <c r="H217" s="87"/>
      <c r="I217" s="7"/>
      <c r="J217" s="8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</row>
    <row r="218" spans="1:21" outlineLevel="1">
      <c r="A218" s="86"/>
      <c r="B218" s="87"/>
      <c r="C218" s="87"/>
      <c r="D218" s="87"/>
      <c r="E218" s="87"/>
      <c r="F218" s="87"/>
      <c r="G218" s="87"/>
      <c r="H218" s="87"/>
      <c r="I218" s="7"/>
      <c r="J218" s="8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 outlineLevel="1">
      <c r="A219" s="86"/>
      <c r="B219" s="87"/>
      <c r="C219" s="87"/>
      <c r="D219" s="87"/>
      <c r="E219" s="87"/>
      <c r="F219" s="87"/>
      <c r="G219" s="87"/>
      <c r="H219" s="87"/>
      <c r="I219" s="7"/>
      <c r="J219" s="8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</row>
    <row r="220" spans="1:21" outlineLevel="1">
      <c r="A220" s="86"/>
      <c r="B220" s="87"/>
      <c r="C220" s="87"/>
      <c r="D220" s="87"/>
      <c r="E220" s="87"/>
      <c r="F220" s="87"/>
      <c r="G220" s="87"/>
      <c r="H220" s="87"/>
      <c r="I220" s="7"/>
      <c r="J220" s="8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 spans="1:21" outlineLevel="1">
      <c r="A221" s="86"/>
      <c r="B221" s="87"/>
      <c r="C221" s="87"/>
      <c r="D221" s="87"/>
      <c r="E221" s="87"/>
      <c r="F221" s="87"/>
      <c r="G221" s="87"/>
      <c r="H221" s="87"/>
      <c r="I221" s="7"/>
      <c r="J221" s="8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</row>
    <row r="222" spans="1:21" outlineLevel="1">
      <c r="A222" s="86"/>
      <c r="B222" s="87"/>
      <c r="C222" s="87"/>
      <c r="D222" s="87"/>
      <c r="E222" s="87"/>
      <c r="F222" s="87"/>
      <c r="G222" s="87"/>
      <c r="H222" s="87"/>
      <c r="I222" s="7"/>
      <c r="J222" s="8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21" outlineLevel="1">
      <c r="A223" s="86"/>
      <c r="B223" s="87"/>
      <c r="C223" s="87"/>
      <c r="D223" s="87"/>
      <c r="E223" s="87"/>
      <c r="F223" s="87"/>
      <c r="G223" s="87"/>
      <c r="H223" s="87"/>
      <c r="I223" s="7"/>
      <c r="J223" s="8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 spans="1:21" outlineLevel="1">
      <c r="A224" s="86"/>
      <c r="B224" s="87"/>
      <c r="C224" s="87"/>
      <c r="D224" s="87"/>
      <c r="E224" s="87"/>
      <c r="F224" s="87"/>
      <c r="G224" s="87"/>
      <c r="H224" s="87"/>
      <c r="I224" s="7"/>
      <c r="J224" s="8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</row>
    <row r="225" spans="1:21" outlineLevel="1">
      <c r="A225" s="57"/>
      <c r="B225" s="87"/>
      <c r="C225" s="87"/>
      <c r="D225" s="87"/>
      <c r="E225" s="87"/>
      <c r="F225" s="87"/>
      <c r="G225" s="87"/>
      <c r="H225" s="87"/>
      <c r="I225" s="7"/>
      <c r="J225" s="8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 spans="1:21" outlineLevel="1">
      <c r="A226" s="86"/>
      <c r="B226" s="87"/>
      <c r="C226" s="87"/>
      <c r="D226" s="87"/>
      <c r="E226" s="87"/>
      <c r="F226" s="87"/>
      <c r="G226" s="87"/>
      <c r="H226" s="87"/>
      <c r="I226" s="7"/>
      <c r="J226" s="8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 outlineLevel="1">
      <c r="A227" s="86"/>
      <c r="B227" s="87"/>
      <c r="C227" s="87"/>
      <c r="D227" s="87"/>
      <c r="E227" s="87"/>
      <c r="F227" s="87"/>
      <c r="G227" s="87"/>
      <c r="H227" s="87"/>
      <c r="I227" s="7"/>
      <c r="J227" s="8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 spans="1:21" outlineLevel="1">
      <c r="A228" s="57"/>
      <c r="B228" s="87"/>
      <c r="C228" s="87"/>
      <c r="D228" s="87"/>
      <c r="E228" s="87"/>
      <c r="F228" s="87"/>
      <c r="G228" s="87"/>
      <c r="H228" s="87"/>
      <c r="I228" s="7"/>
      <c r="J228" s="8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spans="1:21" outlineLevel="1">
      <c r="A229" s="57"/>
      <c r="B229" s="87"/>
      <c r="C229" s="87"/>
      <c r="D229" s="87"/>
      <c r="E229" s="87"/>
      <c r="F229" s="87"/>
      <c r="G229" s="87"/>
      <c r="H229" s="87"/>
      <c r="I229" s="7"/>
      <c r="J229" s="8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 spans="1:21" outlineLevel="1">
      <c r="A230" s="7"/>
      <c r="B230" s="87"/>
      <c r="C230" s="87"/>
      <c r="D230" s="87"/>
      <c r="E230" s="87"/>
      <c r="F230" s="87"/>
      <c r="G230" s="87"/>
      <c r="H230" s="87"/>
      <c r="I230" s="7"/>
      <c r="J230" s="8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 outlineLevel="1">
      <c r="A231" s="7"/>
      <c r="B231" s="87"/>
      <c r="C231" s="87"/>
      <c r="D231" s="87"/>
      <c r="E231" s="87"/>
      <c r="F231" s="87"/>
      <c r="G231" s="87"/>
      <c r="H231" s="87"/>
      <c r="I231" s="7"/>
      <c r="J231" s="8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 spans="1:21" outlineLevel="1">
      <c r="A232" s="57"/>
      <c r="B232" s="87"/>
      <c r="C232" s="87"/>
      <c r="D232" s="87"/>
      <c r="E232" s="87"/>
      <c r="F232" s="87"/>
      <c r="G232" s="87"/>
      <c r="H232" s="87"/>
      <c r="I232" s="7"/>
      <c r="J232" s="8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 outlineLevel="1">
      <c r="A233" s="86"/>
      <c r="B233" s="87"/>
      <c r="C233" s="87"/>
      <c r="D233" s="87"/>
      <c r="E233" s="87"/>
      <c r="F233" s="87"/>
      <c r="G233" s="87"/>
      <c r="H233" s="87"/>
      <c r="I233" s="7"/>
      <c r="J233" s="8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</row>
    <row r="234" spans="1:21" outlineLevel="1">
      <c r="A234" s="57"/>
      <c r="B234" s="87"/>
      <c r="C234" s="87"/>
      <c r="D234" s="87"/>
      <c r="E234" s="87"/>
      <c r="F234" s="87"/>
      <c r="G234" s="87"/>
      <c r="H234" s="87"/>
      <c r="I234" s="7"/>
      <c r="J234" s="8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 spans="1:21" outlineLevel="1">
      <c r="A235" s="7"/>
      <c r="B235" s="87"/>
      <c r="C235" s="87"/>
      <c r="D235" s="87"/>
      <c r="E235" s="87"/>
      <c r="F235" s="87"/>
      <c r="G235" s="87"/>
      <c r="H235" s="87"/>
      <c r="I235" s="7"/>
      <c r="J235" s="8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 spans="1:21" outlineLevel="1">
      <c r="A236" s="57"/>
      <c r="B236" s="87"/>
      <c r="C236" s="87"/>
      <c r="D236" s="87"/>
      <c r="E236" s="87"/>
      <c r="F236" s="87"/>
      <c r="G236" s="87"/>
      <c r="H236" s="87"/>
      <c r="I236" s="7"/>
      <c r="J236" s="8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 outlineLevel="1">
      <c r="A237" s="86"/>
      <c r="B237" s="87"/>
      <c r="C237" s="87"/>
      <c r="D237" s="87"/>
      <c r="E237" s="87"/>
      <c r="F237" s="87"/>
      <c r="G237" s="87"/>
      <c r="H237" s="87"/>
      <c r="I237" s="7"/>
      <c r="J237" s="8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 spans="1:21" outlineLevel="1">
      <c r="A238" s="86"/>
      <c r="B238" s="87"/>
      <c r="C238" s="87"/>
      <c r="D238" s="87"/>
      <c r="E238" s="87"/>
      <c r="F238" s="87"/>
      <c r="G238" s="87"/>
      <c r="H238" s="87"/>
      <c r="I238" s="7"/>
      <c r="J238" s="8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 spans="1:21" outlineLevel="1">
      <c r="A239" s="86"/>
      <c r="B239" s="87"/>
      <c r="C239" s="87"/>
      <c r="D239" s="87"/>
      <c r="E239" s="87"/>
      <c r="F239" s="87"/>
      <c r="G239" s="87"/>
      <c r="H239" s="87"/>
      <c r="I239" s="7"/>
      <c r="J239" s="8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</row>
    <row r="240" spans="1:21" outlineLevel="1">
      <c r="A240" s="86"/>
      <c r="B240" s="87"/>
      <c r="C240" s="87"/>
      <c r="D240" s="87"/>
      <c r="E240" s="87"/>
      <c r="F240" s="87"/>
      <c r="G240" s="87"/>
      <c r="H240" s="87"/>
      <c r="I240" s="7"/>
      <c r="J240" s="8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 outlineLevel="1">
      <c r="A241" s="86"/>
      <c r="B241" s="87"/>
      <c r="C241" s="87"/>
      <c r="D241" s="87"/>
      <c r="E241" s="87"/>
      <c r="F241" s="87"/>
      <c r="G241" s="87"/>
      <c r="H241" s="87"/>
      <c r="I241" s="7"/>
      <c r="J241" s="8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 spans="1:21" outlineLevel="1">
      <c r="A242" s="86"/>
      <c r="B242" s="87"/>
      <c r="C242" s="87"/>
      <c r="D242" s="87"/>
      <c r="E242" s="87"/>
      <c r="F242" s="87"/>
      <c r="G242" s="87"/>
      <c r="H242" s="87"/>
      <c r="I242" s="7"/>
      <c r="J242" s="8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 spans="1:21" outlineLevel="1">
      <c r="A243" s="57"/>
      <c r="B243" s="87"/>
      <c r="C243" s="87"/>
      <c r="D243" s="87"/>
      <c r="E243" s="87"/>
      <c r="F243" s="87"/>
      <c r="G243" s="87"/>
      <c r="H243" s="87"/>
      <c r="I243" s="7"/>
      <c r="J243" s="8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 spans="1:21" outlineLevel="1">
      <c r="A244" s="57"/>
      <c r="B244" s="87"/>
      <c r="C244" s="87"/>
      <c r="D244" s="87"/>
      <c r="E244" s="87"/>
      <c r="F244" s="87"/>
      <c r="G244" s="87"/>
      <c r="H244" s="87"/>
      <c r="I244" s="7"/>
      <c r="J244" s="8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 outlineLevel="1">
      <c r="A245" s="7"/>
      <c r="B245" s="87"/>
      <c r="C245" s="87"/>
      <c r="D245" s="87"/>
      <c r="E245" s="87"/>
      <c r="F245" s="87"/>
      <c r="G245" s="87"/>
      <c r="H245" s="87"/>
      <c r="I245" s="7"/>
      <c r="J245" s="8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 spans="1:21" outlineLevel="1">
      <c r="A246" s="57"/>
      <c r="B246" s="87"/>
      <c r="C246" s="87"/>
      <c r="D246" s="87"/>
      <c r="E246" s="87"/>
      <c r="F246" s="87"/>
      <c r="G246" s="87"/>
      <c r="H246" s="87"/>
      <c r="I246" s="7"/>
      <c r="J246" s="8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spans="1:21" outlineLevel="1">
      <c r="A247" s="57"/>
      <c r="B247" s="87"/>
      <c r="C247" s="87"/>
      <c r="D247" s="87"/>
      <c r="E247" s="87"/>
      <c r="F247" s="87"/>
      <c r="G247" s="87"/>
      <c r="H247" s="87"/>
      <c r="I247" s="7"/>
      <c r="J247" s="8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</row>
    <row r="248" spans="1:21" outlineLevel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 outlineLevel="1">
      <c r="A249" s="57"/>
      <c r="B249" s="7"/>
      <c r="C249" s="59"/>
      <c r="D249" s="59"/>
      <c r="E249" s="59"/>
      <c r="F249" s="59"/>
      <c r="G249" s="59"/>
      <c r="H249" s="59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 spans="1:21" outlineLevel="1">
      <c r="A250" s="57"/>
      <c r="B250" s="7"/>
      <c r="C250" s="59"/>
      <c r="D250" s="59"/>
      <c r="E250" s="59"/>
      <c r="F250" s="59"/>
      <c r="G250" s="59"/>
      <c r="H250" s="59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spans="1:21" outlineLevel="1">
      <c r="A251" s="57"/>
      <c r="B251" s="7"/>
      <c r="C251" s="59"/>
      <c r="D251" s="59"/>
      <c r="E251" s="59"/>
      <c r="F251" s="59"/>
      <c r="G251" s="59"/>
      <c r="H251" s="59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</row>
    <row r="252" spans="1:21" outlineLevel="1">
      <c r="A252" s="57"/>
      <c r="B252" s="7"/>
      <c r="C252" s="59"/>
      <c r="D252" s="59"/>
      <c r="E252" s="59"/>
      <c r="F252" s="59"/>
      <c r="G252" s="59"/>
      <c r="H252" s="59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 outlineLevel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 spans="1:21" ht="18.75" outlineLevel="1">
      <c r="A254" s="84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 outlineLevel="1">
      <c r="A255" s="5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 spans="1:21" outlineLevel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 outlineLevel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 spans="1:21" s="90" customFormat="1" outlineLevel="1">
      <c r="A258" s="89"/>
    </row>
    <row r="259" spans="1:21" outlineLevel="1">
      <c r="A259" s="5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</row>
    <row r="260" spans="1:21" outlineLevel="1">
      <c r="A260" s="57"/>
      <c r="B260" s="7"/>
      <c r="C260" s="91"/>
      <c r="D260" s="91"/>
      <c r="E260" s="91"/>
      <c r="F260" s="91"/>
      <c r="G260" s="91"/>
      <c r="H260" s="91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 outlineLevel="1">
      <c r="A261" s="57"/>
      <c r="B261" s="7"/>
      <c r="C261" s="91"/>
      <c r="D261" s="91"/>
      <c r="E261" s="91"/>
      <c r="F261" s="91"/>
      <c r="G261" s="91"/>
      <c r="H261" s="91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</row>
    <row r="262" spans="1:21" outlineLevel="1">
      <c r="A262" s="7"/>
      <c r="B262" s="7"/>
      <c r="C262" s="93"/>
      <c r="D262" s="93"/>
      <c r="E262" s="93"/>
      <c r="F262" s="93"/>
      <c r="G262" s="93"/>
      <c r="H262" s="93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 outlineLevel="1">
      <c r="A263" s="5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 spans="1:21" outlineLevel="1">
      <c r="A264" s="89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 outlineLevel="1">
      <c r="A265" s="94"/>
      <c r="B265" s="7"/>
      <c r="C265" s="59"/>
      <c r="D265" s="59"/>
      <c r="E265" s="59"/>
      <c r="F265" s="59"/>
      <c r="G265" s="59"/>
      <c r="H265" s="59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 spans="1:21" outlineLevel="1">
      <c r="A266" s="94"/>
      <c r="B266" s="7"/>
      <c r="C266" s="59"/>
      <c r="D266" s="59"/>
      <c r="E266" s="59"/>
      <c r="F266" s="59"/>
      <c r="G266" s="59"/>
      <c r="H266" s="59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spans="1:21" outlineLevel="1">
      <c r="A267" s="94"/>
      <c r="B267" s="7"/>
      <c r="C267" s="59"/>
      <c r="D267" s="59"/>
      <c r="E267" s="59"/>
      <c r="F267" s="59"/>
      <c r="G267" s="59"/>
      <c r="H267" s="59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</row>
    <row r="268" spans="1:21" outlineLevel="1">
      <c r="A268" s="94"/>
      <c r="B268" s="7"/>
      <c r="C268" s="59"/>
      <c r="D268" s="59"/>
      <c r="E268" s="59"/>
      <c r="F268" s="59"/>
      <c r="G268" s="59"/>
      <c r="H268" s="59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 outlineLevel="1">
      <c r="A269" s="94"/>
      <c r="B269" s="7"/>
      <c r="C269" s="91"/>
      <c r="D269" s="91"/>
      <c r="E269" s="91"/>
      <c r="F269" s="91"/>
      <c r="G269" s="91"/>
      <c r="H269" s="91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 spans="1:21" outlineLevel="1">
      <c r="A270" s="57"/>
      <c r="B270" s="7"/>
      <c r="C270" s="95"/>
      <c r="D270" s="95"/>
      <c r="E270" s="95"/>
      <c r="F270" s="95"/>
      <c r="G270" s="95"/>
      <c r="H270" s="95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spans="1:21" outlineLevel="1">
      <c r="A271" s="94"/>
      <c r="B271" s="7"/>
      <c r="C271" s="96"/>
      <c r="D271" s="96"/>
      <c r="E271" s="96"/>
      <c r="F271" s="96"/>
      <c r="G271" s="96"/>
      <c r="H271" s="96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</row>
    <row r="272" spans="1:21" outlineLevel="1">
      <c r="A272" s="94"/>
      <c r="B272" s="7"/>
      <c r="C272" s="96"/>
      <c r="D272" s="96"/>
      <c r="E272" s="96"/>
      <c r="F272" s="96"/>
      <c r="G272" s="96"/>
      <c r="H272" s="96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1" outlineLevel="1">
      <c r="A273" s="94"/>
      <c r="B273" s="7"/>
      <c r="C273" s="96"/>
      <c r="D273" s="96"/>
      <c r="E273" s="96"/>
      <c r="F273" s="96"/>
      <c r="G273" s="96"/>
      <c r="H273" s="96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 spans="1:21" outlineLevel="1">
      <c r="A274" s="94"/>
      <c r="B274" s="7"/>
      <c r="C274" s="96"/>
      <c r="D274" s="96"/>
      <c r="E274" s="96"/>
      <c r="F274" s="96"/>
      <c r="G274" s="96"/>
      <c r="H274" s="96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 spans="1:21" outlineLevel="1">
      <c r="A275" s="94"/>
      <c r="B275" s="7"/>
      <c r="C275" s="95"/>
      <c r="D275" s="95"/>
      <c r="E275" s="95"/>
      <c r="F275" s="95"/>
      <c r="G275" s="95"/>
      <c r="H275" s="95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 spans="1:21" outlineLevel="1">
      <c r="A276" s="5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spans="1:21" outlineLevel="1">
      <c r="A277" s="7"/>
      <c r="B277" s="7"/>
      <c r="C277" s="59"/>
      <c r="D277" s="59"/>
      <c r="E277" s="59"/>
      <c r="F277" s="59"/>
      <c r="G277" s="59"/>
      <c r="H277" s="59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 spans="1:21" outlineLevel="1">
      <c r="A278" s="7"/>
      <c r="B278" s="7"/>
      <c r="C278" s="59"/>
      <c r="D278" s="59"/>
      <c r="E278" s="59"/>
      <c r="F278" s="59"/>
      <c r="G278" s="59"/>
      <c r="H278" s="59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 spans="1:21" outlineLevel="1">
      <c r="A279" s="7"/>
      <c r="B279" s="7"/>
      <c r="C279" s="59"/>
      <c r="D279" s="59"/>
      <c r="E279" s="59"/>
      <c r="F279" s="59"/>
      <c r="G279" s="59"/>
      <c r="H279" s="59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 spans="1:21" outlineLevel="1">
      <c r="A280" s="7"/>
      <c r="B280" s="97"/>
      <c r="C280" s="59"/>
      <c r="D280" s="59"/>
      <c r="E280" s="59"/>
      <c r="F280" s="59"/>
      <c r="G280" s="59"/>
      <c r="H280" s="59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spans="1:21" outlineLevel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</row>
    <row r="282" spans="1:21" outlineLevel="1">
      <c r="A282" s="5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spans="1:21" outlineLevel="1">
      <c r="A283" s="7"/>
      <c r="B283" s="7"/>
      <c r="C283" s="91"/>
      <c r="D283" s="91"/>
      <c r="E283" s="91"/>
      <c r="F283" s="91"/>
      <c r="G283" s="91"/>
      <c r="H283" s="91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 spans="1:21" outlineLevel="1">
      <c r="A284" s="94"/>
      <c r="B284" s="7"/>
      <c r="C284" s="91"/>
      <c r="D284" s="91"/>
      <c r="E284" s="91"/>
      <c r="F284" s="91"/>
      <c r="G284" s="91"/>
      <c r="H284" s="91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spans="1:21" outlineLevel="1">
      <c r="A285" s="94"/>
      <c r="B285" s="7"/>
      <c r="C285" s="91"/>
      <c r="D285" s="91"/>
      <c r="E285" s="91"/>
      <c r="F285" s="91"/>
      <c r="G285" s="91"/>
      <c r="H285" s="91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 spans="1:21" outlineLevel="1">
      <c r="A286" s="94"/>
      <c r="B286" s="97"/>
      <c r="C286" s="91"/>
      <c r="D286" s="91"/>
      <c r="E286" s="91"/>
      <c r="F286" s="91"/>
      <c r="G286" s="91"/>
      <c r="H286" s="91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1" outlineLevel="1">
      <c r="A287" s="7"/>
      <c r="B287" s="7"/>
      <c r="C287" s="91"/>
      <c r="D287" s="91"/>
      <c r="E287" s="91"/>
      <c r="F287" s="91"/>
      <c r="G287" s="91"/>
      <c r="H287" s="91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 spans="1:21" outlineLevel="1">
      <c r="A288" s="7"/>
      <c r="B288" s="7"/>
      <c r="C288" s="91"/>
      <c r="D288" s="91"/>
      <c r="E288" s="91"/>
      <c r="F288" s="91"/>
      <c r="G288" s="91"/>
      <c r="H288" s="91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 outlineLevel="1">
      <c r="A289" s="7"/>
      <c r="B289" s="7"/>
      <c r="C289" s="91"/>
      <c r="D289" s="91"/>
      <c r="E289" s="91"/>
      <c r="F289" s="91"/>
      <c r="G289" s="91"/>
      <c r="H289" s="91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</row>
    <row r="290" spans="1:21" outlineLevel="1">
      <c r="A290" s="7"/>
      <c r="B290" s="7"/>
      <c r="C290" s="91"/>
      <c r="D290" s="91"/>
      <c r="E290" s="91"/>
      <c r="F290" s="91"/>
      <c r="G290" s="91"/>
      <c r="H290" s="91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 outlineLevel="1">
      <c r="A291" s="7"/>
      <c r="B291" s="7"/>
      <c r="C291" s="91"/>
      <c r="D291" s="91"/>
      <c r="E291" s="91"/>
      <c r="F291" s="91"/>
      <c r="G291" s="91"/>
      <c r="H291" s="91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</row>
    <row r="292" spans="1:21" outlineLevel="1">
      <c r="A292" s="7"/>
      <c r="B292" s="7"/>
      <c r="C292" s="91"/>
      <c r="D292" s="91"/>
      <c r="E292" s="91"/>
      <c r="F292" s="91"/>
      <c r="G292" s="91"/>
      <c r="H292" s="91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 outlineLevel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 spans="1:21" outlineLevel="1">
      <c r="A294" s="57"/>
      <c r="B294" s="98"/>
      <c r="C294" s="98"/>
      <c r="D294" s="98"/>
      <c r="E294" s="98"/>
      <c r="F294" s="98"/>
      <c r="G294" s="98"/>
      <c r="H294" s="98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 outlineLevel="1">
      <c r="A295" s="57"/>
      <c r="B295" s="97"/>
      <c r="C295" s="98"/>
      <c r="D295" s="98"/>
      <c r="E295" s="98"/>
      <c r="F295" s="98"/>
      <c r="G295" s="98"/>
      <c r="H295" s="98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</row>
    <row r="296" spans="1:21" outlineLevel="1">
      <c r="A296" s="57"/>
      <c r="B296" s="98"/>
      <c r="C296" s="98"/>
      <c r="D296" s="98"/>
      <c r="E296" s="98"/>
      <c r="F296" s="98"/>
      <c r="G296" s="98"/>
      <c r="H296" s="98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 spans="1:21" outlineLevel="1">
      <c r="A297" s="57"/>
      <c r="B297" s="7"/>
      <c r="C297" s="98"/>
      <c r="D297" s="98"/>
      <c r="E297" s="98"/>
      <c r="F297" s="98"/>
      <c r="G297" s="98"/>
      <c r="H297" s="98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</row>
    <row r="298" spans="1:21" outlineLevel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 spans="1:21" outlineLevel="1">
      <c r="A299" s="5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</row>
    <row r="300" spans="1:21" outlineLevel="1">
      <c r="A300" s="5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</row>
    <row r="301" spans="1:21" outlineLevel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</row>
    <row r="302" spans="1:21" outlineLevel="1">
      <c r="A302" s="7"/>
      <c r="B302" s="7"/>
      <c r="C302" s="87"/>
      <c r="D302" s="87"/>
      <c r="E302" s="87"/>
      <c r="F302" s="87"/>
      <c r="G302" s="87"/>
      <c r="H302" s="8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</row>
    <row r="303" spans="1:21" outlineLevel="1">
      <c r="A303" s="7"/>
      <c r="B303" s="7"/>
      <c r="C303" s="98"/>
      <c r="D303" s="98"/>
      <c r="E303" s="98"/>
      <c r="F303" s="98"/>
      <c r="G303" s="98"/>
      <c r="H303" s="98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</row>
    <row r="304" spans="1:21" outlineLevel="1">
      <c r="A304" s="7"/>
      <c r="B304" s="7"/>
      <c r="C304" s="99"/>
      <c r="D304" s="99"/>
      <c r="E304" s="99"/>
      <c r="F304" s="99"/>
      <c r="G304" s="99"/>
      <c r="H304" s="99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</row>
    <row r="305" spans="1:26" outlineLevel="1">
      <c r="A305" s="7"/>
      <c r="B305" s="7"/>
      <c r="C305" s="87"/>
      <c r="D305" s="87"/>
      <c r="E305" s="87"/>
      <c r="F305" s="87"/>
      <c r="G305" s="87"/>
      <c r="H305" s="8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</row>
    <row r="306" spans="1:26" outlineLevel="1">
      <c r="A306" s="7"/>
      <c r="B306" s="7"/>
      <c r="C306" s="99"/>
      <c r="D306" s="99"/>
      <c r="E306" s="99"/>
      <c r="F306" s="99"/>
      <c r="G306" s="99"/>
      <c r="H306" s="99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</row>
    <row r="307" spans="1:26" outlineLevel="1">
      <c r="A307" s="7"/>
      <c r="B307" s="7"/>
      <c r="C307" s="100"/>
      <c r="D307" s="100"/>
      <c r="E307" s="100"/>
      <c r="F307" s="100"/>
      <c r="G307" s="100"/>
      <c r="H307" s="100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</row>
    <row r="308" spans="1:26" outlineLevel="1">
      <c r="A308" s="7"/>
      <c r="B308" s="7"/>
      <c r="C308" s="100"/>
      <c r="D308" s="100"/>
      <c r="E308" s="100"/>
      <c r="F308" s="100"/>
      <c r="G308" s="100"/>
      <c r="H308" s="100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</row>
    <row r="309" spans="1:26" ht="18.75" outlineLevel="2">
      <c r="A309" s="84"/>
      <c r="B309" s="7"/>
      <c r="C309" s="100"/>
      <c r="D309" s="100"/>
      <c r="E309" s="100"/>
      <c r="F309" s="100"/>
      <c r="G309" s="100"/>
      <c r="H309" s="100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</row>
    <row r="310" spans="1:26" outlineLevel="2">
      <c r="A310" s="57"/>
      <c r="B310" s="7"/>
      <c r="C310" s="100"/>
      <c r="D310" s="100"/>
      <c r="E310" s="100"/>
      <c r="F310" s="100"/>
      <c r="G310" s="100"/>
      <c r="H310" s="100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</row>
    <row r="311" spans="1:26" outlineLevel="2">
      <c r="A311" s="7"/>
      <c r="B311" s="7"/>
      <c r="C311" s="100"/>
      <c r="D311" s="100"/>
      <c r="E311" s="100"/>
      <c r="F311" s="100"/>
      <c r="G311" s="100"/>
      <c r="H311" s="100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</row>
    <row r="312" spans="1:26" outlineLevel="2">
      <c r="A312" s="57"/>
      <c r="B312" s="11"/>
      <c r="C312" s="11"/>
      <c r="D312" s="10"/>
      <c r="E312" s="10"/>
      <c r="F312" s="11"/>
      <c r="G312" s="11"/>
      <c r="H312" s="10"/>
      <c r="I312" s="11"/>
      <c r="J312" s="11"/>
      <c r="K312" s="11"/>
      <c r="L312" s="10"/>
      <c r="M312" s="11"/>
      <c r="N312" s="11"/>
      <c r="O312" s="7"/>
      <c r="P312" s="7"/>
      <c r="Q312" s="7"/>
      <c r="R312" s="7"/>
      <c r="S312" s="7"/>
      <c r="T312" s="11"/>
      <c r="U312" s="7"/>
    </row>
    <row r="313" spans="1:26" outlineLevel="2">
      <c r="A313" s="5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</row>
    <row r="314" spans="1:26" outlineLevel="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</row>
    <row r="315" spans="1:26" outlineLevel="2">
      <c r="A315" s="7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7"/>
      <c r="P315" s="7"/>
      <c r="Q315" s="7"/>
      <c r="R315" s="7"/>
      <c r="S315" s="7"/>
      <c r="T315" s="87"/>
      <c r="U315" s="7"/>
    </row>
    <row r="316" spans="1:26" outlineLevel="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</row>
    <row r="317" spans="1:26" outlineLevel="2">
      <c r="A317" s="7"/>
      <c r="B317" s="98"/>
      <c r="C317" s="98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7"/>
      <c r="P317" s="7"/>
      <c r="Q317" s="7"/>
      <c r="R317" s="7"/>
      <c r="S317" s="7"/>
      <c r="T317" s="87"/>
      <c r="U317" s="7"/>
    </row>
    <row r="318" spans="1:26" outlineLevel="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</row>
    <row r="319" spans="1:26" outlineLevel="2">
      <c r="A319" s="7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7"/>
      <c r="P319" s="7"/>
      <c r="Q319" s="7"/>
      <c r="R319" s="7"/>
      <c r="S319" s="7"/>
      <c r="T319" s="87"/>
      <c r="U319" s="87"/>
      <c r="V319" s="87"/>
      <c r="W319" s="87"/>
      <c r="X319" s="87"/>
      <c r="Y319" s="87"/>
      <c r="Z319" s="87"/>
    </row>
    <row r="320" spans="1:26" outlineLevel="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</row>
    <row r="321" spans="1:21" outlineLevel="2">
      <c r="A321" s="7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7"/>
      <c r="P321" s="7"/>
      <c r="Q321" s="7"/>
      <c r="R321" s="7"/>
      <c r="S321" s="7"/>
      <c r="T321" s="87"/>
      <c r="U321" s="7"/>
    </row>
    <row r="322" spans="1:21" outlineLevel="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</row>
    <row r="323" spans="1:21" outlineLevel="2">
      <c r="A323" s="7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7"/>
      <c r="P323" s="7"/>
      <c r="Q323" s="7"/>
      <c r="R323" s="7"/>
      <c r="S323" s="7"/>
      <c r="T323" s="87"/>
      <c r="U323" s="87"/>
    </row>
    <row r="324" spans="1:21" outlineLevel="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</row>
    <row r="325" spans="1:21" outlineLevel="2">
      <c r="A325" s="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7"/>
      <c r="P325" s="7"/>
      <c r="Q325" s="7"/>
      <c r="R325" s="7"/>
      <c r="S325" s="7"/>
      <c r="T325" s="87"/>
      <c r="U325" s="87"/>
    </row>
    <row r="326" spans="1:21" outlineLevel="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</row>
    <row r="327" spans="1:21" outlineLevel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</row>
    <row r="328" spans="1:21" outlineLevel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</row>
    <row r="329" spans="1:21" outlineLevel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</row>
    <row r="330" spans="1:21" ht="18.75" outlineLevel="1">
      <c r="A330" s="8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</row>
    <row r="331" spans="1:21" outlineLevel="1">
      <c r="A331" s="5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</row>
    <row r="332" spans="1:21" outlineLevel="1">
      <c r="A332" s="5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</row>
    <row r="333" spans="1:21" outlineLevel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</row>
    <row r="334" spans="1:21" outlineLevel="1">
      <c r="A334" s="2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</row>
    <row r="335" spans="1:21" outlineLevel="1">
      <c r="A335" s="5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</row>
    <row r="336" spans="1:21" outlineLevel="1">
      <c r="A336" s="86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</row>
    <row r="337" spans="1:21" outlineLevel="1">
      <c r="A337" s="86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</row>
    <row r="338" spans="1:21" outlineLevel="1">
      <c r="A338" s="86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</row>
    <row r="339" spans="1:21" outlineLevel="1">
      <c r="A339" s="86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</row>
    <row r="340" spans="1:21" outlineLevel="1">
      <c r="A340" s="86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</row>
    <row r="341" spans="1:21" outlineLevel="1">
      <c r="A341" s="7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</row>
    <row r="342" spans="1:21" outlineLevel="1">
      <c r="A342" s="57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</row>
    <row r="343" spans="1:21" outlineLevel="1">
      <c r="A343" s="86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</row>
    <row r="344" spans="1:21" outlineLevel="1">
      <c r="A344" s="86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</row>
    <row r="345" spans="1:21" outlineLevel="1">
      <c r="A345" s="86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</row>
    <row r="346" spans="1:21" outlineLevel="1">
      <c r="A346" s="86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</row>
    <row r="347" spans="1:21" outlineLevel="1">
      <c r="A347" s="86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</row>
    <row r="348" spans="1:21" outlineLevel="1">
      <c r="A348" s="86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</row>
    <row r="349" spans="1:21" outlineLevel="1">
      <c r="A349" s="86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</row>
    <row r="350" spans="1:21" outlineLevel="1">
      <c r="A350" s="86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</row>
    <row r="351" spans="1:21" outlineLevel="1">
      <c r="A351" s="86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</row>
    <row r="352" spans="1:21" outlineLevel="1">
      <c r="A352" s="86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</row>
    <row r="353" spans="1:21" outlineLevel="1">
      <c r="A353" s="86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</row>
    <row r="354" spans="1:21" outlineLevel="1">
      <c r="A354" s="57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</row>
    <row r="355" spans="1:21" outlineLevel="1">
      <c r="A355" s="86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</row>
    <row r="356" spans="1:21" outlineLevel="1">
      <c r="A356" s="57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</row>
    <row r="357" spans="1:21" outlineLevel="1">
      <c r="A357" s="86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</row>
    <row r="358" spans="1:21" outlineLevel="1">
      <c r="A358" s="57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</row>
    <row r="359" spans="1:21" outlineLevel="1">
      <c r="A359" s="7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</row>
    <row r="360" spans="1:21" outlineLevel="1">
      <c r="A360" s="57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</row>
    <row r="361" spans="1:21" outlineLevel="1">
      <c r="A361" s="86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</row>
    <row r="362" spans="1:21" outlineLevel="1">
      <c r="A362" s="86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</row>
    <row r="363" spans="1:21" outlineLevel="1">
      <c r="A363" s="86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</row>
    <row r="364" spans="1:21" outlineLevel="1">
      <c r="A364" s="86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</row>
    <row r="365" spans="1:21" outlineLevel="1">
      <c r="A365" s="57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</row>
    <row r="366" spans="1:21" outlineLevel="1">
      <c r="A366" s="57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</row>
    <row r="367" spans="1:21" outlineLevel="1">
      <c r="A367" s="86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</row>
    <row r="368" spans="1:21" outlineLevel="1">
      <c r="A368" s="86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</row>
    <row r="369" spans="1:21" outlineLevel="1">
      <c r="A369" s="86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</row>
    <row r="370" spans="1:21" outlineLevel="1">
      <c r="A370" s="86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</row>
    <row r="371" spans="1:21" outlineLevel="1">
      <c r="A371" s="86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</row>
    <row r="372" spans="1:21" outlineLevel="1">
      <c r="A372" s="2"/>
      <c r="B372" s="8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</row>
    <row r="373" spans="1:21" outlineLevel="1">
      <c r="A373" s="57"/>
      <c r="B373" s="8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</row>
    <row r="374" spans="1:21" outlineLevel="1">
      <c r="A374" s="7"/>
      <c r="B374" s="8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</row>
    <row r="375" spans="1:21" outlineLevel="1">
      <c r="A375" s="57"/>
      <c r="B375" s="8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</row>
    <row r="376" spans="1:21" outlineLevel="1">
      <c r="A376" s="57"/>
      <c r="B376" s="8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</row>
    <row r="377" spans="1:21" outlineLevel="1">
      <c r="A377" s="57"/>
      <c r="B377" s="8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</row>
    <row r="378" spans="1:21" outlineLevel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</row>
    <row r="379" spans="1:21" outlineLevel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</row>
    <row r="380" spans="1:21" ht="18.75" outlineLevel="1">
      <c r="A380" s="8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</row>
    <row r="381" spans="1:21" outlineLevel="1">
      <c r="A381" s="5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</row>
    <row r="382" spans="1:21" outlineLevel="1">
      <c r="A382" s="5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</row>
    <row r="383" spans="1:21" outlineLevel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</row>
    <row r="384" spans="1:21" outlineLevel="1">
      <c r="A384" s="2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7"/>
      <c r="P384" s="7"/>
      <c r="Q384" s="7"/>
      <c r="R384" s="7"/>
      <c r="S384" s="7"/>
      <c r="T384" s="7"/>
      <c r="U384" s="7"/>
    </row>
    <row r="385" spans="1:21" outlineLevel="1">
      <c r="A385" s="5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</row>
    <row r="386" spans="1:21" outlineLevel="1">
      <c r="A386" s="86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7"/>
      <c r="P386" s="7"/>
      <c r="Q386" s="7"/>
      <c r="R386" s="7"/>
      <c r="S386" s="7"/>
      <c r="T386" s="7"/>
      <c r="U386" s="7"/>
    </row>
    <row r="387" spans="1:21" outlineLevel="1">
      <c r="A387" s="86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7"/>
      <c r="P387" s="7"/>
      <c r="Q387" s="7"/>
      <c r="R387" s="7"/>
      <c r="S387" s="7"/>
      <c r="T387" s="7"/>
      <c r="U387" s="7"/>
    </row>
    <row r="388" spans="1:21" outlineLevel="1">
      <c r="A388" s="86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7"/>
      <c r="P388" s="7"/>
      <c r="Q388" s="7"/>
      <c r="R388" s="7"/>
      <c r="S388" s="7"/>
      <c r="T388" s="7"/>
      <c r="U388" s="7"/>
    </row>
    <row r="389" spans="1:21" outlineLevel="1">
      <c r="A389" s="86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7"/>
      <c r="P389" s="7"/>
      <c r="Q389" s="7"/>
      <c r="R389" s="7"/>
      <c r="S389" s="7"/>
      <c r="T389" s="7"/>
      <c r="U389" s="7"/>
    </row>
    <row r="390" spans="1:21" outlineLevel="1">
      <c r="A390" s="86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7"/>
      <c r="P390" s="7"/>
      <c r="Q390" s="7"/>
      <c r="R390" s="7"/>
      <c r="S390" s="7"/>
      <c r="T390" s="7"/>
      <c r="U390" s="7"/>
    </row>
    <row r="391" spans="1:21" outlineLevel="1">
      <c r="A391" s="86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7"/>
      <c r="P391" s="7"/>
      <c r="Q391" s="7"/>
      <c r="R391" s="7"/>
      <c r="S391" s="7"/>
      <c r="T391" s="7"/>
      <c r="U391" s="7"/>
    </row>
    <row r="392" spans="1:21" outlineLevel="1">
      <c r="A392" s="57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7"/>
      <c r="P392" s="7"/>
      <c r="Q392" s="7"/>
      <c r="R392" s="7"/>
      <c r="S392" s="7"/>
      <c r="T392" s="7"/>
      <c r="U392" s="7"/>
    </row>
    <row r="393" spans="1:21" outlineLevel="1">
      <c r="A393" s="86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7"/>
      <c r="P393" s="7"/>
      <c r="Q393" s="7"/>
      <c r="R393" s="7"/>
      <c r="S393" s="7"/>
      <c r="T393" s="7"/>
      <c r="U393" s="7"/>
    </row>
    <row r="394" spans="1:21" outlineLevel="1">
      <c r="A394" s="86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7"/>
      <c r="P394" s="7"/>
      <c r="Q394" s="7"/>
      <c r="R394" s="7"/>
      <c r="S394" s="7"/>
      <c r="T394" s="7"/>
      <c r="U394" s="7"/>
    </row>
    <row r="395" spans="1:21" outlineLevel="1">
      <c r="A395" s="86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7"/>
      <c r="P395" s="7"/>
      <c r="Q395" s="7"/>
      <c r="R395" s="7"/>
      <c r="S395" s="7"/>
      <c r="T395" s="7"/>
      <c r="U395" s="7"/>
    </row>
    <row r="396" spans="1:21" outlineLevel="1">
      <c r="A396" s="86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7"/>
      <c r="P396" s="7"/>
      <c r="Q396" s="7"/>
      <c r="R396" s="7"/>
      <c r="S396" s="7"/>
      <c r="T396" s="7"/>
      <c r="U396" s="7"/>
    </row>
    <row r="397" spans="1:21" outlineLevel="1">
      <c r="A397" s="86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7"/>
      <c r="P397" s="7"/>
      <c r="Q397" s="7"/>
      <c r="R397" s="7"/>
      <c r="S397" s="7"/>
      <c r="T397" s="7"/>
      <c r="U397" s="7"/>
    </row>
    <row r="398" spans="1:21" outlineLevel="1">
      <c r="A398" s="86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7"/>
      <c r="P398" s="7"/>
      <c r="Q398" s="7"/>
      <c r="R398" s="7"/>
      <c r="S398" s="7"/>
      <c r="T398" s="7"/>
      <c r="U398" s="7"/>
    </row>
    <row r="399" spans="1:21" outlineLevel="1">
      <c r="A399" s="86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7"/>
      <c r="P399" s="7"/>
      <c r="Q399" s="7"/>
      <c r="R399" s="7"/>
      <c r="S399" s="7"/>
      <c r="T399" s="7"/>
      <c r="U399" s="7"/>
    </row>
    <row r="400" spans="1:21" outlineLevel="1">
      <c r="A400" s="86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7"/>
      <c r="P400" s="7"/>
      <c r="Q400" s="7"/>
      <c r="R400" s="7"/>
      <c r="S400" s="7"/>
      <c r="T400" s="7"/>
      <c r="U400" s="7"/>
    </row>
    <row r="401" spans="1:21" outlineLevel="1">
      <c r="A401" s="86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7"/>
      <c r="P401" s="7"/>
      <c r="Q401" s="7"/>
      <c r="R401" s="7"/>
      <c r="S401" s="7"/>
      <c r="T401" s="7"/>
      <c r="U401" s="7"/>
    </row>
    <row r="402" spans="1:21" outlineLevel="1">
      <c r="A402" s="86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7"/>
      <c r="P402" s="7"/>
      <c r="Q402" s="7"/>
      <c r="R402" s="7"/>
      <c r="S402" s="7"/>
      <c r="T402" s="7"/>
      <c r="U402" s="7"/>
    </row>
    <row r="403" spans="1:21" outlineLevel="1">
      <c r="A403" s="86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7"/>
      <c r="P403" s="7"/>
      <c r="Q403" s="7"/>
      <c r="R403" s="7"/>
      <c r="S403" s="7"/>
      <c r="T403" s="7"/>
      <c r="U403" s="7"/>
    </row>
    <row r="404" spans="1:21" outlineLevel="1">
      <c r="A404" s="86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7"/>
      <c r="P404" s="7"/>
      <c r="Q404" s="7"/>
      <c r="R404" s="7"/>
      <c r="S404" s="7"/>
      <c r="T404" s="7"/>
      <c r="U404" s="7"/>
    </row>
    <row r="405" spans="1:21" outlineLevel="1">
      <c r="A405" s="57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7"/>
      <c r="P405" s="7"/>
      <c r="Q405" s="7"/>
      <c r="R405" s="7"/>
      <c r="S405" s="7"/>
      <c r="T405" s="7"/>
      <c r="U405" s="7"/>
    </row>
    <row r="406" spans="1:21" outlineLevel="1">
      <c r="A406" s="7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7"/>
      <c r="P406" s="7"/>
      <c r="Q406" s="7"/>
      <c r="R406" s="7"/>
      <c r="S406" s="7"/>
      <c r="T406" s="7"/>
      <c r="U406" s="7"/>
    </row>
    <row r="407" spans="1:21" outlineLevel="1">
      <c r="A407" s="86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7"/>
      <c r="P407" s="7"/>
      <c r="Q407" s="7"/>
      <c r="R407" s="7"/>
      <c r="S407" s="7"/>
      <c r="T407" s="7"/>
      <c r="U407" s="7"/>
    </row>
    <row r="408" spans="1:21" outlineLevel="1">
      <c r="A408" s="57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7"/>
      <c r="P408" s="7"/>
      <c r="Q408" s="7"/>
      <c r="R408" s="7"/>
      <c r="S408" s="7"/>
      <c r="T408" s="7"/>
      <c r="U408" s="7"/>
    </row>
    <row r="409" spans="1:21" outlineLevel="1">
      <c r="A409" s="86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7"/>
      <c r="P409" s="7"/>
      <c r="Q409" s="7"/>
      <c r="R409" s="7"/>
      <c r="S409" s="7"/>
      <c r="T409" s="7"/>
      <c r="U409" s="7"/>
    </row>
    <row r="410" spans="1:21" outlineLevel="1">
      <c r="A410" s="57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7"/>
      <c r="P410" s="7"/>
      <c r="Q410" s="7"/>
      <c r="R410" s="7"/>
      <c r="S410" s="7"/>
      <c r="T410" s="7"/>
      <c r="U410" s="7"/>
    </row>
    <row r="411" spans="1:21" outlineLevel="1">
      <c r="A411" s="57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7"/>
      <c r="P411" s="7"/>
      <c r="Q411" s="7"/>
      <c r="R411" s="7"/>
      <c r="S411" s="7"/>
      <c r="T411" s="7"/>
      <c r="U411" s="7"/>
    </row>
    <row r="412" spans="1:21" outlineLevel="1">
      <c r="A412" s="57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7"/>
      <c r="P412" s="7"/>
      <c r="Q412" s="7"/>
      <c r="R412" s="7"/>
      <c r="S412" s="7"/>
      <c r="T412" s="7"/>
      <c r="U412" s="7"/>
    </row>
    <row r="413" spans="1:21" outlineLevel="1">
      <c r="A413" s="57"/>
      <c r="B413" s="101"/>
      <c r="C413" s="101"/>
      <c r="D413"/>
      <c r="E413"/>
      <c r="F413"/>
      <c r="G413"/>
      <c r="H413"/>
      <c r="I413" s="101"/>
      <c r="J413" s="101"/>
      <c r="K413" s="101"/>
      <c r="L413" s="101"/>
      <c r="M413" s="101"/>
      <c r="N413" s="101"/>
      <c r="O413" s="7"/>
      <c r="P413" s="7"/>
      <c r="Q413" s="7"/>
      <c r="R413" s="7"/>
      <c r="S413" s="7"/>
      <c r="T413" s="7"/>
      <c r="U413" s="7"/>
    </row>
    <row r="414" spans="1:21" outlineLevel="1">
      <c r="A414" s="57"/>
      <c r="B414" s="101"/>
      <c r="C414" s="101"/>
      <c r="D414"/>
      <c r="E414"/>
      <c r="F414"/>
      <c r="G414"/>
      <c r="H414"/>
      <c r="I414" s="101"/>
      <c r="J414" s="101"/>
      <c r="K414" s="101"/>
      <c r="L414" s="101"/>
      <c r="M414" s="101"/>
      <c r="N414" s="101"/>
      <c r="O414" s="7"/>
      <c r="P414" s="7"/>
      <c r="Q414" s="7"/>
      <c r="R414" s="7"/>
      <c r="S414" s="7"/>
      <c r="T414" s="7"/>
      <c r="U414" s="7"/>
    </row>
    <row r="415" spans="1:21" outlineLevel="1">
      <c r="A415" s="57"/>
      <c r="B415" s="101"/>
      <c r="C415" s="101"/>
      <c r="D415"/>
      <c r="E415"/>
      <c r="F415"/>
      <c r="G415"/>
      <c r="H415"/>
      <c r="I415" s="101"/>
      <c r="J415" s="101"/>
      <c r="K415" s="101"/>
      <c r="L415" s="101"/>
      <c r="M415" s="101"/>
      <c r="N415" s="101"/>
      <c r="O415" s="7"/>
      <c r="P415" s="7"/>
      <c r="Q415" s="7"/>
      <c r="R415" s="7"/>
      <c r="S415" s="7"/>
      <c r="T415" s="7"/>
      <c r="U415" s="7"/>
    </row>
    <row r="416" spans="1:21" outlineLevel="1">
      <c r="A416" s="57"/>
      <c r="B416" s="101"/>
      <c r="C416" s="101"/>
      <c r="D416"/>
      <c r="E416"/>
      <c r="F416"/>
      <c r="G416"/>
      <c r="H416"/>
      <c r="I416" s="101"/>
      <c r="J416" s="101"/>
      <c r="K416" s="101"/>
      <c r="L416" s="101"/>
      <c r="M416" s="101"/>
      <c r="N416" s="101"/>
      <c r="O416" s="7"/>
      <c r="P416" s="7"/>
      <c r="Q416" s="7"/>
      <c r="R416" s="7"/>
      <c r="S416" s="7"/>
      <c r="T416" s="7"/>
      <c r="U416" s="7"/>
    </row>
    <row r="417" spans="1:21" outlineLevel="1">
      <c r="A417" s="57"/>
      <c r="B417" s="101"/>
      <c r="C417" s="101"/>
      <c r="D417"/>
      <c r="E417"/>
      <c r="F417"/>
      <c r="G417"/>
      <c r="H417"/>
      <c r="I417" s="101"/>
      <c r="J417" s="101"/>
      <c r="K417" s="101"/>
      <c r="L417" s="101"/>
      <c r="M417" s="101"/>
      <c r="N417" s="101"/>
      <c r="O417" s="7"/>
      <c r="P417" s="7"/>
      <c r="Q417" s="7"/>
      <c r="R417" s="7"/>
      <c r="S417" s="7"/>
      <c r="T417" s="7"/>
      <c r="U417" s="7"/>
    </row>
    <row r="418" spans="1:21" outlineLevel="1">
      <c r="A418" s="7"/>
      <c r="B418" s="101"/>
      <c r="C418" s="101"/>
      <c r="D418"/>
      <c r="E418"/>
      <c r="F418"/>
      <c r="G418"/>
      <c r="H418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</row>
    <row r="419" spans="1:21" outlineLevel="1">
      <c r="A419" s="7"/>
      <c r="B419" s="101"/>
      <c r="C419" s="101"/>
      <c r="D419"/>
      <c r="E419"/>
      <c r="F419"/>
      <c r="G419"/>
      <c r="H419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</row>
    <row r="420" spans="1:21" outlineLevel="1">
      <c r="A420" s="7"/>
      <c r="B420" s="101"/>
      <c r="C420" s="101"/>
      <c r="D420"/>
      <c r="E420"/>
      <c r="F420"/>
      <c r="G420"/>
      <c r="H420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</row>
    <row r="421" spans="1:21" outlineLevel="1">
      <c r="A421" s="7"/>
      <c r="B421" s="101"/>
      <c r="C421" s="101"/>
      <c r="D421"/>
      <c r="E421"/>
      <c r="F421"/>
      <c r="G421"/>
      <c r="H42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</row>
    <row r="422" spans="1:21" outlineLevel="1">
      <c r="A422" s="7"/>
      <c r="B422" s="101"/>
      <c r="C422" s="101"/>
      <c r="D422"/>
      <c r="E422"/>
      <c r="F422"/>
      <c r="G422"/>
      <c r="H422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</row>
    <row r="423" spans="1:21" outlineLevel="1">
      <c r="A423" s="7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</row>
    <row r="424" spans="1:21" outlineLevel="1">
      <c r="A424" s="57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</row>
    <row r="425" spans="1:21" outlineLevel="1">
      <c r="A425" s="7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</row>
    <row r="426" spans="1:21" outlineLevel="1">
      <c r="A426" s="7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</row>
    <row r="427" spans="1:21" outlineLevel="1">
      <c r="A427" s="57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</row>
    <row r="428" spans="1:21" outlineLevel="1">
      <c r="A428" s="57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</row>
    <row r="429" spans="1:21" outlineLevel="1">
      <c r="A429" s="7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</row>
    <row r="430" spans="1:21" outlineLevel="1">
      <c r="A430" s="7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</row>
    <row r="431" spans="1:21" outlineLevel="1">
      <c r="A431" s="7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</row>
    <row r="432" spans="1:21" outlineLevel="1">
      <c r="A432" s="7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</row>
    <row r="433" spans="1:21" outlineLevel="1">
      <c r="A433" s="7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</row>
    <row r="434" spans="1:21" outlineLevel="1">
      <c r="A434" s="7"/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</row>
    <row r="435" spans="1:21" outlineLevel="1">
      <c r="A435" s="7"/>
      <c r="B435" s="101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</row>
    <row r="436" spans="1:21" outlineLevel="1">
      <c r="A436" s="7"/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7"/>
      <c r="P436" s="7"/>
      <c r="Q436" s="7"/>
      <c r="R436" s="7"/>
      <c r="S436" s="7"/>
      <c r="T436" s="7"/>
      <c r="U436" s="7"/>
    </row>
    <row r="437" spans="1:21" outlineLevel="1">
      <c r="A437" s="57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7"/>
      <c r="P437" s="7"/>
      <c r="Q437" s="7"/>
      <c r="R437" s="7"/>
      <c r="S437" s="7"/>
      <c r="T437" s="7"/>
      <c r="U437" s="7"/>
    </row>
    <row r="438" spans="1:21" outlineLevel="1">
      <c r="A438" s="57"/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7"/>
      <c r="P438" s="7"/>
      <c r="Q438" s="7"/>
      <c r="R438" s="7"/>
      <c r="S438" s="7"/>
      <c r="T438" s="7"/>
      <c r="U438" s="7"/>
    </row>
    <row r="439" spans="1:21" outlineLevel="1">
      <c r="A439" s="57"/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7"/>
      <c r="P439" s="7"/>
      <c r="Q439" s="7"/>
      <c r="R439" s="7"/>
      <c r="S439" s="7"/>
      <c r="T439" s="7"/>
      <c r="U439" s="7"/>
    </row>
    <row r="440" spans="1:21" outlineLevel="1">
      <c r="A440" s="57"/>
      <c r="B440" s="101"/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7"/>
      <c r="P440" s="7"/>
      <c r="Q440" s="7"/>
      <c r="R440" s="7"/>
      <c r="S440" s="7"/>
      <c r="T440" s="7"/>
      <c r="U440" s="7"/>
    </row>
    <row r="441" spans="1:21" outlineLevel="1">
      <c r="A441" s="57"/>
      <c r="B441" s="102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7"/>
      <c r="P441" s="7"/>
      <c r="Q441" s="7"/>
      <c r="R441" s="7"/>
      <c r="S441" s="7"/>
      <c r="T441" s="7"/>
      <c r="U441" s="7"/>
    </row>
    <row r="442" spans="1:21" outlineLevel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</row>
    <row r="443" spans="1:21" ht="18.75" outlineLevel="1">
      <c r="A443" s="84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</row>
    <row r="444" spans="1:21" outlineLevel="1">
      <c r="A444" s="5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</row>
    <row r="445" spans="1:21" outlineLevel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</row>
    <row r="446" spans="1:21" outlineLevel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</row>
    <row r="447" spans="1:21" outlineLevel="1">
      <c r="A447" s="2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</row>
    <row r="448" spans="1:21" outlineLevel="1">
      <c r="A448" s="7"/>
      <c r="B448" s="7"/>
      <c r="C448" s="73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</row>
    <row r="449" spans="1:21" outlineLevel="1">
      <c r="A449" s="57"/>
      <c r="B449" s="7"/>
      <c r="C449" s="73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7"/>
      <c r="P449" s="7"/>
      <c r="Q449" s="7"/>
      <c r="R449" s="7"/>
      <c r="S449" s="7"/>
      <c r="T449" s="7"/>
      <c r="U449" s="7"/>
    </row>
    <row r="450" spans="1:21" outlineLevel="1">
      <c r="A450" s="7"/>
      <c r="B450" s="7"/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"/>
      <c r="P450" s="7"/>
      <c r="Q450" s="7"/>
      <c r="R450" s="7"/>
      <c r="S450" s="7"/>
      <c r="T450" s="7"/>
      <c r="U450" s="7"/>
    </row>
    <row r="451" spans="1:21" outlineLevel="1">
      <c r="A451" s="7"/>
      <c r="B451" s="7"/>
      <c r="C451" s="73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7"/>
      <c r="P451" s="7"/>
      <c r="Q451" s="7"/>
      <c r="R451" s="7"/>
      <c r="S451" s="7"/>
      <c r="T451" s="7"/>
      <c r="U451" s="7"/>
    </row>
    <row r="452" spans="1:21" outlineLevel="1">
      <c r="A452" s="7"/>
      <c r="B452" s="7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"/>
      <c r="P452" s="7"/>
      <c r="Q452" s="7"/>
      <c r="R452" s="7"/>
      <c r="S452" s="7"/>
      <c r="T452" s="7"/>
      <c r="U452" s="7"/>
    </row>
    <row r="453" spans="1:21" outlineLevel="1">
      <c r="A453" s="7"/>
      <c r="B453" s="7"/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"/>
      <c r="P453" s="7"/>
      <c r="Q453" s="7"/>
      <c r="R453" s="7"/>
      <c r="S453" s="7"/>
      <c r="T453" s="7"/>
      <c r="U453" s="7"/>
    </row>
    <row r="454" spans="1:21" outlineLevel="1">
      <c r="A454" s="94"/>
      <c r="B454" s="7"/>
      <c r="C454" s="73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7"/>
      <c r="P454" s="7"/>
      <c r="Q454" s="7"/>
      <c r="R454" s="7"/>
      <c r="S454" s="7"/>
      <c r="T454" s="7"/>
      <c r="U454" s="7"/>
    </row>
    <row r="455" spans="1:21" outlineLevel="1">
      <c r="A455" s="94"/>
      <c r="B455" s="7"/>
      <c r="C455" s="73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7"/>
      <c r="P455" s="7"/>
      <c r="Q455" s="7"/>
      <c r="R455" s="7"/>
      <c r="S455" s="7"/>
      <c r="T455" s="7"/>
      <c r="U455" s="7"/>
    </row>
    <row r="456" spans="1:21" outlineLevel="1">
      <c r="A456" s="57"/>
      <c r="B456" s="7"/>
      <c r="C456" s="73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</row>
    <row r="457" spans="1:21" outlineLevel="1">
      <c r="A457" s="7"/>
      <c r="B457" s="102"/>
      <c r="C457" s="103"/>
      <c r="D457" s="103"/>
      <c r="E457" s="103"/>
      <c r="F457" s="103"/>
      <c r="G457" s="103"/>
      <c r="H457" s="103"/>
      <c r="I457" s="103"/>
      <c r="J457" s="103"/>
      <c r="K457" s="103"/>
      <c r="L457" s="103"/>
      <c r="M457" s="103"/>
      <c r="N457" s="103"/>
      <c r="O457" s="7"/>
      <c r="P457" s="7"/>
      <c r="Q457" s="7"/>
      <c r="R457" s="7"/>
      <c r="S457" s="7"/>
      <c r="T457" s="7"/>
      <c r="U457" s="7"/>
    </row>
    <row r="458" spans="1:21" outlineLevel="1">
      <c r="A458" s="7"/>
      <c r="B458" s="7"/>
      <c r="C458" s="73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</row>
    <row r="459" spans="1:21" outlineLevel="1">
      <c r="A459" s="57"/>
      <c r="B459" s="7"/>
      <c r="C459" s="73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7"/>
      <c r="P459" s="7"/>
      <c r="Q459" s="7"/>
      <c r="R459" s="7"/>
      <c r="S459" s="7"/>
      <c r="T459" s="7"/>
      <c r="U459" s="7"/>
    </row>
    <row r="460" spans="1:21" outlineLevel="1">
      <c r="A460" s="7"/>
      <c r="B460" s="7"/>
      <c r="C460" s="73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7"/>
      <c r="P460" s="7"/>
      <c r="Q460" s="7"/>
      <c r="R460" s="7"/>
      <c r="S460" s="7"/>
      <c r="T460" s="7"/>
      <c r="U460" s="7"/>
    </row>
    <row r="461" spans="1:21" outlineLevel="1">
      <c r="A461" s="57"/>
      <c r="B461" s="7"/>
      <c r="C461" s="73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7"/>
      <c r="P461" s="7"/>
      <c r="Q461" s="7"/>
      <c r="R461" s="7"/>
      <c r="S461" s="7"/>
      <c r="T461" s="7"/>
      <c r="U461" s="7"/>
    </row>
    <row r="462" spans="1:21" outlineLevel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</row>
    <row r="463" spans="1:21" outlineLevel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</row>
    <row r="464" spans="1:21" s="106" customFormat="1" ht="18.75" outlineLevel="1">
      <c r="A464" s="104"/>
      <c r="B464" s="105"/>
      <c r="C464" s="105"/>
    </row>
    <row r="465" spans="1:21" s="106" customFormat="1" outlineLevel="1">
      <c r="A465" s="105"/>
      <c r="B465" s="107"/>
      <c r="C465" s="108"/>
      <c r="D465" s="105"/>
      <c r="E465" s="109"/>
    </row>
    <row r="466" spans="1:21" s="106" customFormat="1" outlineLevel="1">
      <c r="A466" s="105"/>
      <c r="B466" s="110"/>
      <c r="C466" s="88"/>
      <c r="D466" s="88"/>
      <c r="E466" s="109"/>
    </row>
    <row r="467" spans="1:21" s="106" customFormat="1" outlineLevel="1">
      <c r="A467" s="105"/>
      <c r="B467" s="88"/>
      <c r="C467" s="109"/>
      <c r="D467" s="88"/>
      <c r="E467" s="110"/>
    </row>
    <row r="468" spans="1:21" s="106" customFormat="1" outlineLevel="1">
      <c r="A468" s="111"/>
      <c r="B468" s="107"/>
      <c r="C468" s="107"/>
      <c r="D468" s="107"/>
      <c r="E468" s="107"/>
      <c r="F468" s="107"/>
      <c r="G468" s="107"/>
      <c r="H468" s="107"/>
      <c r="I468" s="107"/>
      <c r="J468" s="107"/>
      <c r="K468" s="107"/>
      <c r="L468" s="107"/>
      <c r="M468" s="107"/>
      <c r="N468" s="107"/>
      <c r="O468" s="107"/>
      <c r="P468" s="107"/>
      <c r="Q468" s="107"/>
      <c r="R468" s="107"/>
      <c r="S468" s="107"/>
      <c r="T468" s="107"/>
      <c r="U468" s="107"/>
    </row>
    <row r="469" spans="1:21" s="106" customFormat="1" outlineLevel="1">
      <c r="A469" s="80"/>
      <c r="B469" s="105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</row>
    <row r="470" spans="1:21" s="106" customFormat="1" outlineLevel="1">
      <c r="A470" s="79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</row>
    <row r="471" spans="1:21" s="106" customFormat="1" outlineLevel="1">
      <c r="A471" s="79"/>
      <c r="B471" s="112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</row>
    <row r="472" spans="1:21" s="106" customFormat="1" outlineLevel="1">
      <c r="A472" s="79"/>
      <c r="B472" s="112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</row>
    <row r="473" spans="1:21" s="106" customFormat="1" outlineLevel="1">
      <c r="A473" s="78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</row>
    <row r="474" spans="1:21" s="106" customFormat="1" outlineLevel="1">
      <c r="A474" s="69"/>
      <c r="B474" s="112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</row>
    <row r="475" spans="1:21" s="106" customFormat="1" outlineLevel="1">
      <c r="A475" s="80"/>
      <c r="B475" s="112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</row>
    <row r="476" spans="1:21" s="106" customFormat="1" outlineLevel="1">
      <c r="A476" s="113"/>
      <c r="B476" s="112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</row>
    <row r="477" spans="1:21" s="106" customFormat="1" outlineLevel="1">
      <c r="A477" s="113"/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</row>
    <row r="478" spans="1:21" s="106" customFormat="1" outlineLevel="1">
      <c r="A478" s="113"/>
      <c r="B478" s="112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</row>
    <row r="479" spans="1:21" s="106" customFormat="1" outlineLevel="1">
      <c r="A479" s="113"/>
      <c r="B479" s="112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</row>
    <row r="480" spans="1:21" s="106" customFormat="1" outlineLevel="1">
      <c r="A480" s="113"/>
      <c r="B480" s="112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</row>
    <row r="481" spans="1:21" s="106" customFormat="1" outlineLevel="1">
      <c r="A481" s="83"/>
      <c r="B481" s="112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</row>
    <row r="482" spans="1:21" s="106" customFormat="1" outlineLevel="1">
      <c r="A482" s="113"/>
      <c r="B482" s="112"/>
      <c r="C482" s="112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</row>
    <row r="483" spans="1:21" s="106" customFormat="1" outlineLevel="1">
      <c r="A483" s="113"/>
      <c r="B483" s="112"/>
      <c r="C483" s="112"/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</row>
    <row r="484" spans="1:21" s="106" customFormat="1" outlineLevel="1">
      <c r="A484" s="113"/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</row>
    <row r="485" spans="1:21" s="106" customFormat="1" outlineLevel="1">
      <c r="A485" s="113"/>
      <c r="B485" s="112"/>
      <c r="C485" s="112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</row>
    <row r="486" spans="1:21" s="106" customFormat="1" outlineLevel="1">
      <c r="A486" s="113"/>
      <c r="B486" s="112"/>
      <c r="C486" s="112"/>
      <c r="D486" s="112"/>
      <c r="E486" s="112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</row>
    <row r="487" spans="1:21" s="106" customFormat="1" outlineLevel="1">
      <c r="A487" s="80"/>
      <c r="B487" s="112"/>
      <c r="C487" s="112"/>
      <c r="D487" s="112"/>
      <c r="E487" s="112"/>
      <c r="F487" s="112"/>
      <c r="G487" s="112"/>
      <c r="H487" s="112"/>
      <c r="I487" s="112"/>
      <c r="J487" s="112"/>
      <c r="K487" s="112"/>
      <c r="L487" s="112"/>
      <c r="M487" s="112"/>
      <c r="N487" s="112"/>
      <c r="O487" s="112"/>
      <c r="P487" s="112"/>
      <c r="Q487" s="112"/>
      <c r="R487" s="112"/>
      <c r="S487" s="112"/>
      <c r="T487" s="112"/>
      <c r="U487" s="112"/>
    </row>
    <row r="488" spans="1:21" s="106" customFormat="1" outlineLevel="1">
      <c r="A488" s="80"/>
      <c r="B488" s="112"/>
      <c r="C488" s="112"/>
      <c r="D488" s="112"/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</row>
    <row r="489" spans="1:21" s="106" customFormat="1" outlineLevel="1">
      <c r="A489" s="80"/>
      <c r="B489" s="112"/>
      <c r="C489" s="112"/>
      <c r="D489" s="112"/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</row>
    <row r="490" spans="1:21" s="106" customFormat="1" outlineLevel="1">
      <c r="A490" s="80"/>
      <c r="B490" s="112"/>
      <c r="C490" s="112"/>
      <c r="D490" s="112"/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</row>
    <row r="491" spans="1:21" s="106" customFormat="1" outlineLevel="1">
      <c r="A491" s="79"/>
      <c r="B491" s="112"/>
      <c r="C491" s="112"/>
      <c r="D491" s="112"/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</row>
    <row r="492" spans="1:21" s="106" customFormat="1" outlineLevel="1">
      <c r="A492" s="79"/>
      <c r="B492" s="112"/>
      <c r="C492" s="112"/>
      <c r="D492" s="112"/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</row>
    <row r="493" spans="1:21" s="106" customFormat="1" outlineLevel="1">
      <c r="A493" s="80"/>
      <c r="B493" s="112"/>
      <c r="C493" s="112"/>
      <c r="D493" s="112"/>
      <c r="E493" s="112"/>
      <c r="F493" s="112"/>
      <c r="G493" s="112"/>
      <c r="H493" s="112"/>
      <c r="I493" s="112"/>
      <c r="J493" s="112"/>
      <c r="K493" s="112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</row>
    <row r="494" spans="1:21" s="106" customFormat="1" outlineLevel="1">
      <c r="A494" s="82"/>
      <c r="B494" s="114"/>
      <c r="C494" s="114"/>
      <c r="D494" s="114"/>
      <c r="E494" s="114"/>
      <c r="F494" s="114"/>
      <c r="G494" s="114"/>
      <c r="H494" s="114"/>
      <c r="I494" s="114"/>
      <c r="J494" s="114"/>
      <c r="K494" s="114"/>
      <c r="L494" s="114"/>
      <c r="M494" s="114"/>
      <c r="N494" s="114"/>
      <c r="O494" s="114"/>
      <c r="P494" s="114"/>
      <c r="Q494" s="114"/>
      <c r="R494" s="114"/>
      <c r="S494" s="114"/>
      <c r="T494" s="114"/>
      <c r="U494" s="114"/>
    </row>
    <row r="495" spans="1:21" s="106" customFormat="1" outlineLevel="1">
      <c r="A495" s="79"/>
      <c r="B495" s="112"/>
      <c r="C495" s="112"/>
      <c r="D495" s="112"/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</row>
    <row r="496" spans="1:21" s="106" customFormat="1" ht="13.9" customHeight="1" outlineLevel="1">
      <c r="A496" s="78"/>
      <c r="B496" s="112"/>
      <c r="C496" s="112"/>
      <c r="D496" s="112"/>
      <c r="E496" s="112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</row>
    <row r="497" spans="1:21" s="116" customFormat="1" outlineLevel="1">
      <c r="A497" s="115"/>
      <c r="B497" s="112"/>
      <c r="C497" s="112"/>
      <c r="D497" s="112"/>
      <c r="E497" s="112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</row>
    <row r="498" spans="1:21" s="106" customFormat="1" outlineLevel="1">
      <c r="A498" s="78"/>
      <c r="B498" s="112"/>
      <c r="C498" s="112"/>
      <c r="D498" s="112"/>
      <c r="E498" s="112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</row>
    <row r="499" spans="1:21" s="106" customFormat="1" outlineLevel="1">
      <c r="A499" s="79"/>
      <c r="B499" s="112"/>
      <c r="C499" s="112"/>
      <c r="D499" s="112"/>
      <c r="E499" s="112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</row>
    <row r="500" spans="1:21" s="106" customFormat="1" outlineLevel="1">
      <c r="A500" s="79"/>
      <c r="B500" s="112"/>
      <c r="C500" s="112"/>
      <c r="D500" s="112"/>
      <c r="E500" s="112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</row>
    <row r="501" spans="1:21" s="106" customFormat="1" outlineLevel="1">
      <c r="A501" s="79"/>
      <c r="B501" s="112"/>
      <c r="C501" s="112"/>
      <c r="D501" s="112"/>
      <c r="E501" s="112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</row>
    <row r="502" spans="1:21" s="106" customFormat="1" outlineLevel="1">
      <c r="A502" s="79"/>
      <c r="B502" s="112"/>
      <c r="C502" s="112"/>
      <c r="D502" s="112"/>
      <c r="E502" s="112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</row>
    <row r="503" spans="1:21" s="106" customFormat="1" outlineLevel="1">
      <c r="A503" s="80"/>
      <c r="B503" s="112"/>
      <c r="C503" s="112"/>
      <c r="D503" s="112"/>
      <c r="E503" s="112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</row>
    <row r="504" spans="1:21" s="116" customFormat="1" outlineLevel="1">
      <c r="A504"/>
      <c r="B504"/>
      <c r="C504"/>
      <c r="D504"/>
      <c r="E504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</row>
    <row r="505" spans="1:21" s="106" customFormat="1" outlineLevel="1">
      <c r="A505"/>
      <c r="B505"/>
      <c r="C505"/>
      <c r="D505"/>
      <c r="E505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</row>
    <row r="506" spans="1:21" s="106" customFormat="1" outlineLevel="1">
      <c r="A506"/>
      <c r="B506"/>
      <c r="C506"/>
      <c r="D506"/>
      <c r="E506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</row>
    <row r="507" spans="1:21" s="106" customFormat="1" outlineLevel="1">
      <c r="A507"/>
      <c r="B507"/>
      <c r="C507"/>
      <c r="D507"/>
      <c r="E507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</row>
    <row r="508" spans="1:21" s="106" customFormat="1" outlineLevel="1">
      <c r="A508"/>
      <c r="B508"/>
      <c r="C508"/>
      <c r="D508"/>
      <c r="E508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</row>
    <row r="509" spans="1:21" s="106" customFormat="1" outlineLevel="1">
      <c r="A509"/>
      <c r="B509"/>
      <c r="C509"/>
      <c r="D509"/>
      <c r="E509"/>
      <c r="F509" s="112"/>
      <c r="G509" s="112"/>
      <c r="H509" s="112"/>
      <c r="I509" s="112"/>
      <c r="J509" s="112"/>
      <c r="K509" s="112"/>
      <c r="L509" s="112"/>
      <c r="M509" s="112"/>
      <c r="N509" s="112"/>
      <c r="O509" s="112"/>
      <c r="P509" s="112"/>
      <c r="Q509" s="112"/>
      <c r="R509" s="112"/>
      <c r="S509" s="112"/>
      <c r="T509" s="112"/>
      <c r="U509" s="112"/>
    </row>
    <row r="510" spans="1:21" s="116" customFormat="1" outlineLevel="1">
      <c r="A510"/>
      <c r="B510"/>
      <c r="C510"/>
      <c r="D510"/>
      <c r="E510"/>
      <c r="F510" s="112"/>
      <c r="G510" s="112"/>
      <c r="H510" s="112"/>
      <c r="I510" s="112"/>
      <c r="J510" s="112"/>
      <c r="K510" s="112"/>
      <c r="L510" s="112"/>
      <c r="M510" s="112"/>
      <c r="N510" s="112"/>
      <c r="O510" s="112"/>
      <c r="P510" s="112"/>
      <c r="Q510" s="112"/>
      <c r="R510" s="112"/>
      <c r="S510" s="112"/>
      <c r="T510" s="112"/>
      <c r="U510" s="112"/>
    </row>
    <row r="511" spans="1:21" s="106" customFormat="1" outlineLevel="1">
      <c r="A511"/>
      <c r="B511"/>
      <c r="C511"/>
      <c r="D511"/>
      <c r="E511"/>
      <c r="F511" s="112"/>
      <c r="G511" s="112"/>
      <c r="H511" s="112"/>
      <c r="I511" s="112"/>
      <c r="J511" s="112"/>
      <c r="K511" s="112"/>
      <c r="L511" s="112"/>
      <c r="M511" s="112"/>
      <c r="N511" s="112"/>
      <c r="O511" s="112"/>
      <c r="P511" s="112"/>
      <c r="Q511" s="112"/>
      <c r="R511" s="112"/>
      <c r="S511" s="112"/>
      <c r="T511" s="112"/>
      <c r="U511" s="112"/>
    </row>
    <row r="512" spans="1:21" s="106" customFormat="1" outlineLevel="1">
      <c r="A512"/>
      <c r="B512"/>
      <c r="C512"/>
      <c r="D512"/>
      <c r="E512"/>
      <c r="F512" s="112"/>
      <c r="G512" s="112"/>
      <c r="H512" s="112"/>
      <c r="I512" s="112"/>
      <c r="J512" s="112"/>
      <c r="K512" s="112"/>
      <c r="L512" s="112"/>
      <c r="M512" s="112"/>
      <c r="N512" s="112"/>
      <c r="O512" s="112"/>
      <c r="P512" s="112"/>
      <c r="Q512" s="112"/>
      <c r="R512" s="112"/>
      <c r="S512" s="112"/>
      <c r="T512" s="112"/>
      <c r="U512" s="112"/>
    </row>
    <row r="513" spans="1:21" s="106" customFormat="1" outlineLevel="1">
      <c r="A513"/>
      <c r="B513"/>
      <c r="C513"/>
      <c r="D513"/>
      <c r="E513"/>
      <c r="F513" s="112"/>
      <c r="G513" s="112"/>
      <c r="H513" s="112"/>
      <c r="I513" s="112"/>
      <c r="J513" s="112"/>
      <c r="K513" s="112"/>
      <c r="L513" s="112"/>
      <c r="M513" s="112"/>
      <c r="N513" s="112"/>
      <c r="O513" s="112"/>
      <c r="P513" s="112"/>
      <c r="Q513" s="112"/>
      <c r="R513" s="112"/>
      <c r="S513" s="112"/>
      <c r="T513" s="112"/>
      <c r="U513" s="112"/>
    </row>
    <row r="514" spans="1:21" s="116" customFormat="1" outlineLevel="1">
      <c r="A514"/>
      <c r="B514"/>
      <c r="C514"/>
      <c r="D514"/>
      <c r="E514"/>
      <c r="F514" s="112"/>
      <c r="G514" s="112"/>
      <c r="H514" s="112"/>
      <c r="I514" s="112"/>
      <c r="J514" s="112"/>
      <c r="K514" s="112"/>
      <c r="L514" s="112"/>
      <c r="M514" s="112"/>
      <c r="N514" s="112"/>
      <c r="O514" s="112"/>
      <c r="P514" s="112"/>
      <c r="Q514" s="112"/>
      <c r="R514" s="112"/>
      <c r="S514" s="112"/>
      <c r="T514" s="112"/>
      <c r="U514" s="112"/>
    </row>
    <row r="515" spans="1:21" s="106" customFormat="1" outlineLevel="1">
      <c r="A515" s="80"/>
      <c r="B515" s="112"/>
      <c r="C515" s="112"/>
      <c r="D515" s="112"/>
      <c r="E515" s="112"/>
      <c r="F515" s="112"/>
      <c r="G515" s="112"/>
      <c r="H515" s="112"/>
      <c r="I515" s="112"/>
      <c r="J515" s="112"/>
      <c r="K515" s="112"/>
      <c r="L515" s="112"/>
      <c r="M515" s="112"/>
      <c r="N515" s="112"/>
      <c r="O515" s="112"/>
      <c r="P515" s="112"/>
      <c r="Q515" s="112"/>
      <c r="R515" s="112"/>
      <c r="S515" s="112"/>
      <c r="T515" s="112"/>
      <c r="U515" s="112"/>
    </row>
    <row r="516" spans="1:21" s="116" customFormat="1" outlineLevel="1">
      <c r="A516" s="117"/>
      <c r="B516" s="112"/>
      <c r="C516" s="112"/>
      <c r="D516" s="112"/>
      <c r="E516" s="112"/>
      <c r="F516" s="112"/>
      <c r="G516" s="112"/>
      <c r="H516" s="112"/>
      <c r="I516" s="112"/>
      <c r="J516" s="112"/>
      <c r="K516" s="112"/>
      <c r="L516" s="112"/>
      <c r="M516" s="112"/>
      <c r="N516" s="112"/>
      <c r="O516" s="112"/>
      <c r="P516" s="112"/>
      <c r="Q516" s="112"/>
      <c r="R516" s="112"/>
      <c r="S516" s="112"/>
      <c r="T516" s="112"/>
      <c r="U516" s="112"/>
    </row>
    <row r="517" spans="1:21" s="106" customFormat="1" outlineLevel="1">
      <c r="A517" s="80"/>
      <c r="B517" s="112"/>
      <c r="C517" s="112"/>
      <c r="D517" s="112"/>
      <c r="E517" s="112"/>
      <c r="F517" s="112"/>
      <c r="G517" s="112"/>
      <c r="H517" s="112"/>
      <c r="I517" s="112"/>
      <c r="J517" s="112"/>
      <c r="K517" s="112"/>
      <c r="L517" s="112"/>
      <c r="M517" s="112"/>
      <c r="N517" s="112"/>
      <c r="O517" s="112"/>
      <c r="P517" s="112"/>
      <c r="Q517" s="112"/>
      <c r="R517" s="112"/>
      <c r="S517" s="112"/>
      <c r="T517" s="112"/>
      <c r="U517" s="112"/>
    </row>
    <row r="518" spans="1:21" s="106" customFormat="1" outlineLevel="1">
      <c r="A518" s="80"/>
      <c r="B518" s="112"/>
      <c r="C518" s="112"/>
      <c r="D518" s="112"/>
      <c r="E518" s="112"/>
      <c r="F518" s="112"/>
      <c r="G518" s="112"/>
      <c r="H518" s="112"/>
      <c r="I518" s="112"/>
      <c r="J518" s="112"/>
      <c r="K518" s="112"/>
      <c r="L518" s="112"/>
      <c r="M518" s="112"/>
      <c r="N518" s="112"/>
      <c r="O518" s="112"/>
      <c r="P518" s="112"/>
      <c r="Q518" s="112"/>
      <c r="R518" s="112"/>
      <c r="S518" s="112"/>
      <c r="T518" s="112"/>
      <c r="U518" s="112"/>
    </row>
    <row r="519" spans="1:21" s="106" customFormat="1" outlineLevel="1">
      <c r="A519" s="80"/>
      <c r="B519" s="112"/>
      <c r="C519" s="112"/>
      <c r="D519" s="112"/>
      <c r="E519" s="112"/>
      <c r="F519" s="112"/>
      <c r="G519" s="112"/>
      <c r="H519" s="112"/>
      <c r="I519" s="112"/>
      <c r="J519" s="112"/>
      <c r="K519" s="112"/>
      <c r="L519" s="112"/>
      <c r="M519" s="112"/>
      <c r="N519" s="112"/>
      <c r="O519" s="112"/>
      <c r="P519" s="112"/>
      <c r="Q519" s="112"/>
      <c r="R519" s="112"/>
      <c r="S519" s="112"/>
      <c r="T519" s="112"/>
      <c r="U519" s="112"/>
    </row>
    <row r="520" spans="1:21" outlineLevel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</row>
    <row r="521" spans="1:21" outlineLevel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</row>
    <row r="522" spans="1:21" outlineLevel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</row>
    <row r="523" spans="1:21" ht="18.75" outlineLevel="1">
      <c r="A523" s="8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</row>
    <row r="524" spans="1:21" outlineLevel="1">
      <c r="A524" s="5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</row>
    <row r="525" spans="1:21" outlineLevel="1">
      <c r="A525" s="118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7"/>
      <c r="N525" s="7"/>
      <c r="O525" s="7"/>
      <c r="P525" s="7"/>
      <c r="Q525" s="7"/>
      <c r="R525" s="7"/>
      <c r="S525" s="7"/>
      <c r="T525" s="7"/>
      <c r="U525" s="7"/>
    </row>
    <row r="526" spans="1:21" outlineLevel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</row>
    <row r="527" spans="1:21" outlineLevel="1">
      <c r="A527" s="2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7"/>
      <c r="N527" s="7"/>
      <c r="O527" s="7"/>
      <c r="P527" s="7"/>
      <c r="Q527" s="7"/>
      <c r="R527" s="7"/>
      <c r="S527" s="7"/>
      <c r="T527" s="7"/>
      <c r="U527" s="7"/>
    </row>
    <row r="528" spans="1:21" outlineLevel="2">
      <c r="A528" s="5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</row>
    <row r="529" spans="1:21" outlineLevel="2">
      <c r="A529" s="86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7"/>
      <c r="N529" s="7"/>
      <c r="O529" s="7"/>
      <c r="P529" s="7"/>
      <c r="Q529" s="7"/>
      <c r="R529" s="7"/>
      <c r="S529" s="7"/>
      <c r="T529" s="7"/>
      <c r="U529" s="7"/>
    </row>
    <row r="530" spans="1:21" outlineLevel="2">
      <c r="A530" s="86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7"/>
      <c r="N530" s="7"/>
      <c r="O530" s="7"/>
      <c r="P530" s="7"/>
      <c r="Q530" s="7"/>
      <c r="R530" s="7"/>
      <c r="S530" s="7"/>
      <c r="T530" s="7"/>
      <c r="U530" s="7"/>
    </row>
    <row r="531" spans="1:21" outlineLevel="2">
      <c r="A531" s="119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7"/>
      <c r="N531" s="7"/>
      <c r="O531" s="7"/>
      <c r="P531" s="7"/>
      <c r="Q531" s="7"/>
      <c r="R531" s="7"/>
      <c r="S531" s="7"/>
      <c r="T531" s="7"/>
      <c r="U531" s="7"/>
    </row>
    <row r="532" spans="1:21" outlineLevel="2">
      <c r="A532" s="86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7"/>
      <c r="N532" s="7"/>
      <c r="O532" s="7"/>
      <c r="P532" s="7"/>
      <c r="Q532" s="7"/>
      <c r="R532" s="7"/>
      <c r="S532" s="7"/>
      <c r="T532" s="7"/>
      <c r="U532" s="7"/>
    </row>
    <row r="533" spans="1:21" outlineLevel="2">
      <c r="A533" s="7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7"/>
      <c r="N533" s="7"/>
      <c r="O533" s="7"/>
      <c r="P533" s="7"/>
      <c r="Q533" s="7"/>
      <c r="R533" s="7"/>
      <c r="S533" s="7"/>
      <c r="T533" s="7"/>
      <c r="U533" s="7"/>
    </row>
    <row r="534" spans="1:21" outlineLevel="2">
      <c r="A534" s="57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7"/>
      <c r="N534" s="7"/>
      <c r="O534" s="7"/>
      <c r="P534" s="7"/>
      <c r="Q534" s="7"/>
      <c r="R534" s="7"/>
      <c r="S534" s="7"/>
      <c r="T534" s="7"/>
      <c r="U534" s="7"/>
    </row>
    <row r="535" spans="1:21" outlineLevel="2">
      <c r="A535" s="86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7"/>
      <c r="N535" s="7"/>
      <c r="O535" s="7"/>
      <c r="P535" s="7"/>
      <c r="Q535" s="7"/>
      <c r="R535" s="7"/>
      <c r="S535" s="7"/>
      <c r="T535" s="7"/>
      <c r="U535" s="7"/>
    </row>
    <row r="536" spans="1:21" outlineLevel="2">
      <c r="A536" s="86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7"/>
      <c r="N536" s="7"/>
      <c r="O536" s="7"/>
      <c r="P536" s="7"/>
      <c r="Q536" s="7"/>
      <c r="R536" s="7"/>
      <c r="S536" s="7"/>
      <c r="T536" s="7"/>
      <c r="U536" s="7"/>
    </row>
    <row r="537" spans="1:21" outlineLevel="2">
      <c r="A537" s="86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7"/>
      <c r="N537" s="7"/>
      <c r="O537" s="7"/>
      <c r="P537" s="7"/>
      <c r="Q537" s="7"/>
      <c r="R537" s="7"/>
      <c r="S537" s="7"/>
      <c r="T537" s="7"/>
      <c r="U537" s="7"/>
    </row>
    <row r="538" spans="1:21" outlineLevel="2">
      <c r="A538" s="86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7"/>
      <c r="N538" s="7"/>
      <c r="O538" s="7"/>
      <c r="P538" s="7"/>
      <c r="Q538" s="7"/>
      <c r="R538" s="7"/>
      <c r="S538" s="7"/>
      <c r="T538" s="7"/>
      <c r="U538" s="7"/>
    </row>
    <row r="539" spans="1:21" outlineLevel="2">
      <c r="A539" s="86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7"/>
      <c r="N539" s="7"/>
      <c r="O539" s="7"/>
      <c r="P539" s="7"/>
      <c r="Q539" s="7"/>
      <c r="R539" s="7"/>
      <c r="S539" s="7"/>
      <c r="T539" s="7"/>
      <c r="U539" s="7"/>
    </row>
    <row r="540" spans="1:21" outlineLevel="2">
      <c r="A540" s="86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7"/>
      <c r="N540" s="7"/>
      <c r="O540" s="7"/>
      <c r="P540" s="7"/>
      <c r="Q540" s="7"/>
      <c r="R540" s="7"/>
      <c r="S540" s="7"/>
      <c r="T540" s="7"/>
      <c r="U540" s="7"/>
    </row>
    <row r="541" spans="1:21" outlineLevel="2">
      <c r="A541" s="86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7"/>
      <c r="N541" s="7"/>
      <c r="O541" s="7"/>
      <c r="P541" s="7"/>
      <c r="Q541" s="7"/>
      <c r="R541" s="7"/>
      <c r="S541" s="7"/>
      <c r="T541" s="7"/>
      <c r="U541" s="7"/>
    </row>
    <row r="542" spans="1:21" outlineLevel="2">
      <c r="A542" s="86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7"/>
      <c r="N542" s="7"/>
      <c r="O542" s="7"/>
      <c r="P542" s="7"/>
      <c r="Q542" s="7"/>
      <c r="R542" s="7"/>
      <c r="S542" s="7"/>
      <c r="T542" s="7"/>
      <c r="U542" s="7"/>
    </row>
    <row r="543" spans="1:21" outlineLevel="2">
      <c r="A543" s="86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7"/>
      <c r="N543" s="7"/>
      <c r="O543" s="7"/>
      <c r="P543" s="7"/>
      <c r="Q543" s="7"/>
      <c r="R543" s="7"/>
      <c r="S543" s="7"/>
      <c r="T543" s="7"/>
      <c r="U543" s="7"/>
    </row>
    <row r="544" spans="1:21" outlineLevel="2">
      <c r="A544" s="86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7"/>
      <c r="N544" s="7"/>
      <c r="O544" s="7"/>
      <c r="P544" s="7"/>
      <c r="Q544" s="7"/>
      <c r="R544" s="7"/>
      <c r="S544" s="7"/>
      <c r="T544" s="7"/>
      <c r="U544" s="7"/>
    </row>
    <row r="545" spans="1:21" outlineLevel="2">
      <c r="A545" s="7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7"/>
      <c r="N545" s="7"/>
      <c r="O545" s="7"/>
      <c r="P545" s="7"/>
      <c r="Q545" s="7"/>
      <c r="R545" s="7"/>
      <c r="S545" s="7"/>
      <c r="T545" s="7"/>
      <c r="U545" s="7"/>
    </row>
    <row r="546" spans="1:21" outlineLevel="2">
      <c r="A546" s="7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7"/>
      <c r="N546" s="7"/>
      <c r="O546" s="7"/>
      <c r="P546" s="7"/>
      <c r="Q546" s="7"/>
      <c r="R546" s="7"/>
      <c r="S546" s="7"/>
      <c r="T546" s="7"/>
      <c r="U546" s="7"/>
    </row>
    <row r="547" spans="1:21" outlineLevel="2">
      <c r="A547" s="7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7"/>
      <c r="N547" s="7"/>
      <c r="O547" s="7"/>
      <c r="P547" s="7"/>
      <c r="Q547" s="7"/>
      <c r="R547" s="7"/>
      <c r="S547" s="7"/>
      <c r="T547" s="7"/>
      <c r="U547" s="7"/>
    </row>
    <row r="548" spans="1:21" outlineLevel="2">
      <c r="A548" s="86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7"/>
      <c r="N548" s="7"/>
      <c r="O548" s="7"/>
      <c r="P548" s="7"/>
      <c r="Q548" s="7"/>
      <c r="R548" s="7"/>
      <c r="S548" s="7"/>
      <c r="T548" s="7"/>
      <c r="U548" s="7"/>
    </row>
    <row r="549" spans="1:21" outlineLevel="2">
      <c r="A549" s="7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7"/>
      <c r="N549" s="7"/>
      <c r="O549" s="7"/>
      <c r="P549" s="7"/>
      <c r="Q549" s="7"/>
      <c r="R549" s="7"/>
      <c r="S549" s="7"/>
      <c r="T549" s="7"/>
      <c r="U549" s="7"/>
    </row>
    <row r="550" spans="1:21" outlineLevel="2">
      <c r="A550" s="7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7"/>
      <c r="N550" s="7"/>
      <c r="O550" s="7"/>
      <c r="P550" s="7"/>
      <c r="Q550" s="7"/>
      <c r="R550" s="7"/>
      <c r="S550" s="7"/>
      <c r="T550" s="7"/>
      <c r="U550" s="7"/>
    </row>
    <row r="551" spans="1:21" outlineLevel="2">
      <c r="A551" s="57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7"/>
      <c r="N551" s="7"/>
      <c r="O551" s="7"/>
      <c r="P551" s="7"/>
      <c r="Q551" s="7"/>
      <c r="R551" s="7"/>
      <c r="S551" s="7"/>
      <c r="T551" s="7"/>
      <c r="U551" s="7"/>
    </row>
    <row r="552" spans="1:21" outlineLevel="2">
      <c r="A552" s="86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7"/>
      <c r="N552" s="7"/>
      <c r="O552" s="7"/>
      <c r="P552" s="7"/>
      <c r="Q552" s="7"/>
      <c r="R552" s="7"/>
      <c r="S552" s="7"/>
      <c r="T552" s="7"/>
      <c r="U552" s="7"/>
    </row>
    <row r="553" spans="1:21" outlineLevel="1">
      <c r="A553" s="57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7"/>
      <c r="N553" s="7"/>
      <c r="O553" s="7"/>
      <c r="P553" s="7"/>
      <c r="Q553" s="7"/>
      <c r="R553" s="7"/>
      <c r="S553" s="7"/>
      <c r="T553" s="7"/>
      <c r="U553" s="7"/>
    </row>
    <row r="554" spans="1:21" outlineLevel="1">
      <c r="A554" s="57"/>
      <c r="B554" s="8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7"/>
      <c r="N554" s="7"/>
      <c r="O554" s="7"/>
      <c r="P554" s="7"/>
      <c r="Q554" s="7"/>
      <c r="R554" s="7"/>
      <c r="S554" s="7"/>
      <c r="T554" s="7"/>
      <c r="U554" s="7"/>
    </row>
    <row r="555" spans="1:21" outlineLevel="1">
      <c r="A555" s="57"/>
      <c r="B555" s="8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7"/>
      <c r="N555" s="7"/>
      <c r="O555" s="7"/>
      <c r="P555" s="7"/>
      <c r="Q555" s="7"/>
      <c r="R555" s="7"/>
      <c r="S555" s="7"/>
      <c r="T555" s="7"/>
      <c r="U555" s="7"/>
    </row>
    <row r="556" spans="1:21" outlineLevel="1">
      <c r="A556" s="7"/>
      <c r="B556" s="8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7"/>
      <c r="N556" s="7"/>
      <c r="O556" s="7"/>
      <c r="P556" s="7"/>
      <c r="Q556" s="7"/>
      <c r="R556" s="7"/>
      <c r="S556" s="7"/>
      <c r="T556" s="7"/>
      <c r="U556" s="7"/>
    </row>
    <row r="557" spans="1:21" outlineLevel="1">
      <c r="A557" s="7"/>
      <c r="B557" s="87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7"/>
      <c r="N557" s="7"/>
      <c r="O557" s="7"/>
      <c r="P557" s="7"/>
      <c r="Q557" s="7"/>
      <c r="R557" s="7"/>
      <c r="S557" s="7"/>
      <c r="T557" s="7"/>
      <c r="U557" s="7"/>
    </row>
    <row r="558" spans="1:21" outlineLevel="1">
      <c r="A558" s="57"/>
      <c r="B558" s="8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7"/>
      <c r="N558" s="7"/>
      <c r="O558" s="7"/>
      <c r="P558" s="7"/>
      <c r="Q558" s="7"/>
      <c r="R558" s="7"/>
      <c r="S558" s="7"/>
      <c r="T558" s="7"/>
      <c r="U558" s="7"/>
    </row>
    <row r="559" spans="1:21" outlineLevel="1">
      <c r="A559" s="57"/>
      <c r="B559" s="8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7"/>
      <c r="N559" s="7"/>
      <c r="O559" s="7"/>
      <c r="P559" s="7"/>
      <c r="Q559" s="7"/>
      <c r="R559" s="7"/>
      <c r="S559" s="7"/>
      <c r="T559" s="7"/>
      <c r="U559" s="7"/>
    </row>
    <row r="560" spans="1:21" outlineLevel="1">
      <c r="A560" s="57"/>
      <c r="B560" s="87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7"/>
      <c r="N560" s="7"/>
      <c r="O560" s="7"/>
      <c r="P560" s="7"/>
      <c r="Q560" s="7"/>
      <c r="R560" s="7"/>
      <c r="S560" s="7"/>
      <c r="T560" s="7"/>
      <c r="U560" s="7"/>
    </row>
    <row r="561" spans="1:21" outlineLevel="1">
      <c r="A561" s="57"/>
      <c r="B561" s="87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7"/>
      <c r="N561" s="7"/>
      <c r="O561" s="7"/>
      <c r="P561" s="7"/>
      <c r="Q561" s="7"/>
      <c r="R561" s="7"/>
      <c r="S561" s="7"/>
      <c r="T561" s="7"/>
      <c r="U561" s="7"/>
    </row>
    <row r="562" spans="1:21">
      <c r="A562" s="7"/>
      <c r="B562" s="7"/>
      <c r="C562" s="7"/>
      <c r="D562" s="87"/>
      <c r="E562" s="87"/>
      <c r="F562" s="87"/>
      <c r="G562" s="87"/>
      <c r="H562" s="87"/>
      <c r="I562" s="87"/>
      <c r="J562" s="87"/>
      <c r="K562" s="87"/>
      <c r="L562" s="87"/>
      <c r="M562" s="7"/>
      <c r="N562" s="7"/>
      <c r="O562" s="7"/>
      <c r="P562" s="7"/>
      <c r="Q562" s="7"/>
      <c r="R562" s="7"/>
      <c r="S562" s="7"/>
      <c r="T562" s="7"/>
      <c r="U562" s="7"/>
    </row>
    <row r="563" spans="1:21">
      <c r="A563" s="7"/>
      <c r="B563" s="7"/>
      <c r="C563" s="7"/>
      <c r="D563" s="87"/>
      <c r="E563" s="87"/>
      <c r="F563" s="87"/>
      <c r="G563" s="87"/>
      <c r="H563" s="87"/>
      <c r="I563" s="87"/>
      <c r="J563" s="87"/>
      <c r="K563" s="87"/>
      <c r="L563" s="87"/>
      <c r="M563" s="7"/>
      <c r="N563" s="7"/>
      <c r="O563" s="7"/>
      <c r="P563" s="7"/>
      <c r="Q563" s="7"/>
      <c r="R563" s="7"/>
      <c r="S563" s="7"/>
      <c r="T563" s="7"/>
      <c r="U563" s="7"/>
    </row>
    <row r="564" spans="1:21">
      <c r="A564" s="7"/>
      <c r="B564" s="7"/>
      <c r="C564" s="7"/>
      <c r="D564" s="87"/>
      <c r="E564" s="87"/>
      <c r="F564" s="87"/>
      <c r="G564" s="87"/>
      <c r="H564" s="87"/>
      <c r="I564" s="87"/>
      <c r="J564" s="87"/>
      <c r="K564" s="87"/>
      <c r="L564" s="87"/>
      <c r="M564" s="7"/>
      <c r="N564" s="7"/>
      <c r="O564" s="7"/>
      <c r="P564" s="7"/>
      <c r="Q564" s="7"/>
      <c r="R564" s="7"/>
      <c r="S564" s="7"/>
      <c r="T564" s="7"/>
      <c r="U564" s="7"/>
    </row>
    <row r="565" spans="1:21">
      <c r="A565" s="7"/>
      <c r="B565" s="7"/>
      <c r="C565" s="7"/>
      <c r="D565" s="87"/>
      <c r="E565" s="87"/>
      <c r="F565" s="87"/>
      <c r="G565" s="87"/>
      <c r="H565" s="87"/>
      <c r="I565" s="87"/>
      <c r="J565" s="87"/>
      <c r="K565" s="87"/>
      <c r="L565" s="87"/>
      <c r="M565" s="7"/>
      <c r="N565" s="7"/>
      <c r="O565" s="7"/>
      <c r="P565" s="7"/>
      <c r="Q565" s="7"/>
      <c r="R565" s="7"/>
      <c r="S565" s="7"/>
      <c r="T565" s="7"/>
      <c r="U565" s="7"/>
    </row>
    <row r="566" spans="1:21">
      <c r="A566" s="7"/>
      <c r="B566" s="7"/>
      <c r="C566" s="7"/>
      <c r="D566" s="87"/>
      <c r="E566" s="87"/>
      <c r="F566" s="87"/>
      <c r="G566" s="87"/>
      <c r="H566" s="87"/>
      <c r="I566" s="87"/>
      <c r="J566" s="87"/>
      <c r="K566" s="87"/>
      <c r="L566" s="87"/>
      <c r="M566" s="7"/>
      <c r="N566" s="7"/>
      <c r="O566" s="7"/>
      <c r="P566" s="7"/>
      <c r="Q566" s="7"/>
      <c r="R566" s="7"/>
      <c r="S566" s="7"/>
      <c r="T566" s="7"/>
      <c r="U566" s="7"/>
    </row>
    <row r="567" spans="1:2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</row>
    <row r="568" spans="1:2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</row>
    <row r="569" spans="1:2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</row>
    <row r="570" spans="1:2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</row>
    <row r="571" spans="1:2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</row>
    <row r="572" spans="1:2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</row>
    <row r="573" spans="1:2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</row>
    <row r="574" spans="1:2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</row>
    <row r="575" spans="1:2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</row>
    <row r="576" spans="1:2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</row>
    <row r="577" spans="1:2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</row>
    <row r="578" spans="1:2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</row>
    <row r="579" spans="1:2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</row>
    <row r="580" spans="1:2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</row>
    <row r="581" spans="1:2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</row>
    <row r="582" spans="1:2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</row>
    <row r="583" spans="1:2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</row>
    <row r="584" spans="1:2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</row>
    <row r="585" spans="1:2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</row>
    <row r="586" spans="1:2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</row>
    <row r="587" spans="1:2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</row>
    <row r="588" spans="1:2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</row>
    <row r="589" spans="1:2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</row>
    <row r="590" spans="1:2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</row>
    <row r="591" spans="1:2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</row>
    <row r="592" spans="1:2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</row>
    <row r="593" spans="1:2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</row>
    <row r="594" spans="1:2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</row>
    <row r="595" spans="1:2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</row>
    <row r="596" spans="1:2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</row>
    <row r="597" spans="1:2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</row>
    <row r="598" spans="1:2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</row>
    <row r="599" spans="1:2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</row>
    <row r="600" spans="1:2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</row>
    <row r="601" spans="1:2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</row>
    <row r="602" spans="1:2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</row>
    <row r="603" spans="1:2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</row>
    <row r="604" spans="1:2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</row>
    <row r="605" spans="1:2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</row>
    <row r="606" spans="1:2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</row>
    <row r="607" spans="1:2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</row>
    <row r="608" spans="1:2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</row>
    <row r="609" spans="1:2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</row>
    <row r="610" spans="1:2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</row>
    <row r="611" spans="1:2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</row>
    <row r="612" spans="1:2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</row>
    <row r="613" spans="1:2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</row>
    <row r="614" spans="1:2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</row>
    <row r="615" spans="1:2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</row>
    <row r="616" spans="1:2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</row>
    <row r="617" spans="1:2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</row>
    <row r="618" spans="1:2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</row>
    <row r="619" spans="1:2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</row>
    <row r="620" spans="1:2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</row>
    <row r="621" spans="1: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</row>
    <row r="622" spans="1:2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</row>
    <row r="623" spans="1:2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</row>
    <row r="624" spans="1:2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</row>
    <row r="625" spans="1:2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</row>
    <row r="626" spans="1:2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</row>
    <row r="627" spans="1:2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</row>
    <row r="628" spans="1:2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</row>
    <row r="629" spans="1:2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</row>
    <row r="630" spans="1:2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</row>
    <row r="631" spans="1:2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</row>
    <row r="632" spans="1:2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</row>
    <row r="633" spans="1:2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</row>
    <row r="634" spans="1:2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</row>
    <row r="635" spans="1:2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</row>
    <row r="636" spans="1:2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</row>
    <row r="637" spans="1:2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</row>
    <row r="638" spans="1:2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</row>
    <row r="639" spans="1:2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</row>
    <row r="640" spans="1:2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</row>
    <row r="641" spans="1:2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</row>
    <row r="642" spans="1:2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</row>
    <row r="643" spans="1:2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</row>
    <row r="644" spans="1:2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</row>
    <row r="645" spans="1:2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</row>
    <row r="646" spans="1:2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</row>
    <row r="647" spans="1:2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</row>
    <row r="648" spans="1:2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</row>
    <row r="649" spans="1:2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</row>
    <row r="650" spans="1:2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</row>
    <row r="651" spans="1:2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</row>
    <row r="652" spans="1:2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</row>
    <row r="653" spans="1:2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</row>
    <row r="654" spans="1:2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</row>
    <row r="655" spans="1:2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</row>
    <row r="656" spans="1:2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</row>
    <row r="657" spans="1:2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</row>
    <row r="658" spans="1:2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</row>
    <row r="659" spans="1:2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</row>
    <row r="660" spans="1:2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</row>
    <row r="661" spans="1:2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</row>
    <row r="662" spans="1:2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</row>
    <row r="663" spans="1:2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</row>
    <row r="664" spans="1:2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</row>
    <row r="665" spans="1:2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</row>
    <row r="666" spans="1:2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</row>
    <row r="667" spans="1:2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</row>
    <row r="668" spans="1:2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</row>
    <row r="669" spans="1:2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</row>
    <row r="670" spans="1:2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</row>
    <row r="671" spans="1:2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</row>
    <row r="672" spans="1:2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</row>
    <row r="673" spans="1:2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</row>
    <row r="674" spans="1:2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</row>
    <row r="675" spans="1:2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</row>
    <row r="676" spans="1:2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</row>
    <row r="677" spans="1:2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</row>
    <row r="678" spans="1:2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</row>
    <row r="679" spans="1:2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</row>
    <row r="680" spans="1:2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</row>
    <row r="681" spans="1:2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</row>
    <row r="682" spans="1:2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</row>
    <row r="683" spans="1:2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</row>
    <row r="684" spans="1:2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</row>
    <row r="685" spans="1:2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</row>
    <row r="686" spans="1:2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</row>
    <row r="687" spans="1:2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</row>
    <row r="688" spans="1:2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</row>
    <row r="689" spans="1:2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</row>
    <row r="690" spans="1:2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</row>
    <row r="691" spans="1:2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</row>
    <row r="692" spans="1:2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</row>
    <row r="693" spans="1:2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</row>
    <row r="694" spans="1:2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</row>
    <row r="695" spans="1:2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</row>
    <row r="696" spans="1:2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</row>
    <row r="697" spans="1:2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</row>
    <row r="698" spans="1:2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</row>
    <row r="699" spans="1:2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</row>
    <row r="700" spans="1:2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</row>
    <row r="701" spans="1:2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</row>
    <row r="702" spans="1:2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</row>
    <row r="703" spans="1:2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</row>
    <row r="704" spans="1:2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</row>
    <row r="705" spans="1:2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</row>
    <row r="706" spans="1:2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</row>
    <row r="707" spans="1:2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</row>
    <row r="708" spans="1:2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</row>
    <row r="709" spans="1:2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</row>
    <row r="710" spans="1:2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</row>
    <row r="711" spans="1:2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</row>
    <row r="712" spans="1:2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</row>
    <row r="713" spans="1:2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</row>
    <row r="714" spans="1:2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</row>
    <row r="715" spans="1:2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</row>
    <row r="716" spans="1:2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</row>
    <row r="717" spans="1:2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</row>
    <row r="718" spans="1:2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</row>
    <row r="719" spans="1:2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</row>
    <row r="720" spans="1:2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</row>
    <row r="721" spans="1: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</row>
    <row r="722" spans="1:2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</row>
    <row r="723" spans="1:2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</row>
    <row r="724" spans="1:2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</row>
    <row r="725" spans="1:2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</row>
    <row r="726" spans="1:2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</row>
    <row r="727" spans="1:2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</row>
    <row r="728" spans="1:2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</row>
    <row r="729" spans="1:2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</row>
    <row r="730" spans="1:2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</row>
    <row r="731" spans="1:2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</row>
    <row r="732" spans="1:2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</row>
    <row r="733" spans="1:2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</row>
    <row r="734" spans="1:2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</row>
    <row r="735" spans="1:2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</row>
    <row r="736" spans="1:2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</row>
    <row r="737" spans="1:2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</row>
    <row r="738" spans="1:2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</row>
    <row r="739" spans="1:2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</row>
    <row r="740" spans="1:2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</row>
    <row r="741" spans="1:2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</row>
    <row r="742" spans="1:2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</row>
    <row r="743" spans="1:2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</row>
    <row r="744" spans="1:2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</row>
    <row r="745" spans="1:2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</row>
    <row r="746" spans="1:2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</row>
    <row r="747" spans="1:2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</row>
    <row r="748" spans="1:2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</row>
    <row r="749" spans="1:2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</row>
    <row r="750" spans="1:2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</row>
    <row r="751" spans="1:2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</row>
    <row r="752" spans="1:2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</row>
    <row r="753" spans="1:2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</row>
    <row r="754" spans="1:2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</row>
    <row r="755" spans="1:2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</row>
    <row r="756" spans="1:2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</row>
    <row r="757" spans="1:2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</row>
    <row r="758" spans="1:2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</row>
    <row r="759" spans="1:2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</row>
    <row r="760" spans="1:2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</row>
    <row r="761" spans="1:2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</row>
    <row r="762" spans="1:2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</row>
    <row r="763" spans="1:2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</row>
    <row r="764" spans="1:2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</row>
    <row r="765" spans="1:2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</row>
    <row r="766" spans="1:2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</row>
    <row r="767" spans="1:2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</row>
    <row r="768" spans="1:2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</row>
    <row r="769" spans="1:2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</row>
    <row r="770" spans="1:2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</row>
    <row r="771" spans="1:2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</row>
    <row r="772" spans="1:2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</row>
    <row r="773" spans="1:2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</row>
    <row r="774" spans="1:2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</row>
    <row r="775" spans="1:2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</row>
  </sheetData>
  <pageMargins left="0.75" right="0.75" top="1" bottom="1" header="0.5" footer="0.5"/>
  <pageSetup scale="35" orientation="landscape" r:id="rId1"/>
  <headerFooter alignWithMargins="0">
    <oddHeader>&amp;L&amp;12Enron's Generation&amp;RCONFIDENTIAL</oddHeader>
    <oddFooter>&amp;L&amp;D&amp;C&amp;F&amp;RPage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C764"/>
  <sheetViews>
    <sheetView zoomScale="75" zoomScaleNormal="75" workbookViewId="0"/>
  </sheetViews>
  <sheetFormatPr defaultRowHeight="12.75" outlineLevelRow="2" outlineLevelCol="1"/>
  <cols>
    <col min="1" max="1" width="48.7109375" style="6" customWidth="1"/>
    <col min="2" max="3" width="10.7109375" style="6" customWidth="1" outlineLevel="1"/>
    <col min="4" max="21" width="10.7109375" style="6" customWidth="1"/>
    <col min="22" max="22" width="9.140625" style="7"/>
    <col min="23" max="23" width="12.28515625" style="7" bestFit="1" customWidth="1"/>
    <col min="24" max="16384" width="9.140625" style="7"/>
  </cols>
  <sheetData>
    <row r="1" spans="1:55"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</row>
    <row r="2" spans="1:55" ht="18.75">
      <c r="A2" s="52" t="s">
        <v>151</v>
      </c>
      <c r="B2" s="373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</row>
    <row r="5" spans="1:55" ht="13.5" thickBot="1">
      <c r="A5" s="194" t="s">
        <v>56</v>
      </c>
      <c r="B5" s="8">
        <f>Brownsville!$B$5</f>
        <v>2001</v>
      </c>
      <c r="C5" s="8">
        <f t="shared" ref="C5:U5" si="0">B5+1</f>
        <v>2002</v>
      </c>
      <c r="D5" s="8">
        <f t="shared" si="0"/>
        <v>2003</v>
      </c>
      <c r="E5" s="8">
        <f t="shared" si="0"/>
        <v>2004</v>
      </c>
      <c r="F5" s="8">
        <f t="shared" si="0"/>
        <v>2005</v>
      </c>
      <c r="G5" s="8">
        <f t="shared" si="0"/>
        <v>2006</v>
      </c>
      <c r="H5" s="8">
        <f t="shared" si="0"/>
        <v>2007</v>
      </c>
      <c r="I5" s="8">
        <f t="shared" si="0"/>
        <v>2008</v>
      </c>
      <c r="J5" s="8">
        <f t="shared" si="0"/>
        <v>2009</v>
      </c>
      <c r="K5" s="8">
        <f t="shared" si="0"/>
        <v>2010</v>
      </c>
      <c r="L5" s="8">
        <f t="shared" si="0"/>
        <v>2011</v>
      </c>
      <c r="M5" s="8">
        <f t="shared" si="0"/>
        <v>2012</v>
      </c>
      <c r="N5" s="8">
        <f t="shared" si="0"/>
        <v>2013</v>
      </c>
      <c r="O5" s="8">
        <f t="shared" si="0"/>
        <v>2014</v>
      </c>
      <c r="P5" s="8">
        <f t="shared" si="0"/>
        <v>2015</v>
      </c>
      <c r="Q5" s="8">
        <f t="shared" si="0"/>
        <v>2016</v>
      </c>
      <c r="R5" s="8">
        <f t="shared" si="0"/>
        <v>2017</v>
      </c>
      <c r="S5" s="8">
        <f t="shared" si="0"/>
        <v>2018</v>
      </c>
      <c r="T5" s="8">
        <f t="shared" si="0"/>
        <v>2019</v>
      </c>
      <c r="U5" s="8">
        <f t="shared" si="0"/>
        <v>2020</v>
      </c>
    </row>
    <row r="6" spans="1:55">
      <c r="A6" s="2"/>
      <c r="B6" s="120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</row>
    <row r="7" spans="1:55">
      <c r="A7" s="1" t="s">
        <v>57</v>
      </c>
      <c r="B7" s="421"/>
      <c r="C7" s="421"/>
      <c r="D7" s="421"/>
      <c r="E7" s="421"/>
      <c r="F7" s="421"/>
      <c r="G7" s="421"/>
      <c r="H7" s="421"/>
      <c r="I7" s="421"/>
      <c r="J7" s="421"/>
      <c r="K7" s="421"/>
      <c r="L7" s="421"/>
      <c r="M7" s="421"/>
      <c r="N7" s="421"/>
      <c r="O7" s="421"/>
      <c r="P7" s="421"/>
      <c r="Q7" s="421"/>
      <c r="R7" s="421"/>
      <c r="S7" s="421"/>
      <c r="T7" s="421"/>
      <c r="U7" s="421"/>
      <c r="V7" s="58"/>
      <c r="W7" s="58"/>
      <c r="X7" s="58"/>
      <c r="Y7" s="473">
        <f>SUM(Z7:AS7)-SUM(Z8:AS8)</f>
        <v>0</v>
      </c>
      <c r="Z7" s="474">
        <f>B10+B11</f>
        <v>1171.0970525687362</v>
      </c>
      <c r="AA7" s="474">
        <f>C10+C11</f>
        <v>1206.2299641457982</v>
      </c>
      <c r="AB7" s="474">
        <f>D10+D11</f>
        <v>1242.4168630701722</v>
      </c>
      <c r="AC7" s="474">
        <f t="shared" ref="AC7:AS7" si="1">E16</f>
        <v>1026.449886712277</v>
      </c>
      <c r="AD7" s="474">
        <f t="shared" si="1"/>
        <v>1057.2433833136454</v>
      </c>
      <c r="AE7" s="474">
        <f t="shared" si="1"/>
        <v>1088.9606848130547</v>
      </c>
      <c r="AF7" s="474">
        <f t="shared" si="1"/>
        <v>1121.6295053574463</v>
      </c>
      <c r="AG7" s="474">
        <f t="shared" si="1"/>
        <v>1155.2783905181698</v>
      </c>
      <c r="AH7" s="474">
        <f t="shared" si="1"/>
        <v>1189.9367422337148</v>
      </c>
      <c r="AI7" s="474">
        <f t="shared" si="1"/>
        <v>1225.6348445007263</v>
      </c>
      <c r="AJ7" s="474">
        <f t="shared" si="1"/>
        <v>1262.4038898357483</v>
      </c>
      <c r="AK7" s="474">
        <f t="shared" si="1"/>
        <v>1300.2760065308205</v>
      </c>
      <c r="AL7" s="474">
        <f t="shared" si="1"/>
        <v>1339.2842867267448</v>
      </c>
      <c r="AM7" s="474">
        <f t="shared" si="1"/>
        <v>1379.4628153285473</v>
      </c>
      <c r="AN7" s="474">
        <f t="shared" si="1"/>
        <v>1420.8466997884038</v>
      </c>
      <c r="AO7" s="474">
        <f t="shared" si="1"/>
        <v>1463.4721007820558</v>
      </c>
      <c r="AP7" s="474">
        <f t="shared" si="1"/>
        <v>1507.3762638055175</v>
      </c>
      <c r="AQ7" s="474">
        <f t="shared" si="1"/>
        <v>1552.597551719683</v>
      </c>
      <c r="AR7" s="474">
        <f t="shared" si="1"/>
        <v>1599.1754782712733</v>
      </c>
      <c r="AS7" s="474">
        <f t="shared" si="1"/>
        <v>1647.1507426194116</v>
      </c>
    </row>
    <row r="8" spans="1:55">
      <c r="A8" s="347" t="s">
        <v>144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8"/>
      <c r="W8" s="16"/>
      <c r="X8" s="16"/>
      <c r="Y8" s="496">
        <v>0</v>
      </c>
      <c r="Z8" s="495">
        <f>B23+B24</f>
        <v>1171.0970525687362</v>
      </c>
      <c r="AA8" s="495">
        <f>C23+C24</f>
        <v>1206.2299641457982</v>
      </c>
      <c r="AB8" s="495">
        <f>D23+D24</f>
        <v>1242.4168630701722</v>
      </c>
      <c r="AC8" s="495">
        <f t="shared" ref="AC8:AS8" si="2">E23+1/3*E24</f>
        <v>1026.449886712277</v>
      </c>
      <c r="AD8" s="495">
        <f t="shared" si="2"/>
        <v>1057.2433833136454</v>
      </c>
      <c r="AE8" s="495">
        <f t="shared" si="2"/>
        <v>1088.9606848130547</v>
      </c>
      <c r="AF8" s="495">
        <f t="shared" si="2"/>
        <v>1121.6295053574463</v>
      </c>
      <c r="AG8" s="495">
        <f t="shared" si="2"/>
        <v>1155.2783905181698</v>
      </c>
      <c r="AH8" s="495">
        <f t="shared" si="2"/>
        <v>1189.9367422337148</v>
      </c>
      <c r="AI8" s="495">
        <f t="shared" si="2"/>
        <v>1225.6348445007263</v>
      </c>
      <c r="AJ8" s="495">
        <f t="shared" si="2"/>
        <v>1262.4038898357483</v>
      </c>
      <c r="AK8" s="495">
        <f t="shared" si="2"/>
        <v>1300.2760065308205</v>
      </c>
      <c r="AL8" s="495">
        <f t="shared" si="2"/>
        <v>1339.284286726745</v>
      </c>
      <c r="AM8" s="495">
        <f t="shared" si="2"/>
        <v>1379.4628153285473</v>
      </c>
      <c r="AN8" s="495">
        <f t="shared" si="2"/>
        <v>1420.8466997884041</v>
      </c>
      <c r="AO8" s="495">
        <f t="shared" si="2"/>
        <v>1463.472100782056</v>
      </c>
      <c r="AP8" s="495">
        <f t="shared" si="2"/>
        <v>1507.3762638055177</v>
      </c>
      <c r="AQ8" s="495">
        <f t="shared" si="2"/>
        <v>1552.5975517196832</v>
      </c>
      <c r="AR8" s="495">
        <f t="shared" si="2"/>
        <v>1599.1754782712735</v>
      </c>
      <c r="AS8" s="495">
        <f t="shared" si="2"/>
        <v>1647.1507426194119</v>
      </c>
      <c r="AT8" s="16"/>
      <c r="AU8" s="16"/>
      <c r="AV8" s="16"/>
      <c r="AW8" s="16"/>
      <c r="AX8" s="16"/>
      <c r="AY8" s="16"/>
      <c r="AZ8" s="16"/>
      <c r="BA8" s="16"/>
      <c r="BB8" s="16"/>
      <c r="BC8" s="16"/>
    </row>
    <row r="9" spans="1:55">
      <c r="A9" s="3" t="s">
        <v>58</v>
      </c>
      <c r="B9" s="56">
        <f>'Power Price Assumption'!D27*12*Assumptions!$G$9</f>
        <v>24480</v>
      </c>
      <c r="C9" s="56">
        <f>'Power Price Assumption'!E27*12*Assumptions!$G$9</f>
        <v>24480</v>
      </c>
      <c r="D9" s="56">
        <f>'Power Price Assumption'!F27*12*Assumptions!$G$9</f>
        <v>24480</v>
      </c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8"/>
      <c r="W9" s="91">
        <f>SUM(B9:U9)</f>
        <v>73440</v>
      </c>
      <c r="X9" s="16"/>
      <c r="Y9" s="473"/>
      <c r="Z9" s="475">
        <f>Z7-Z8</f>
        <v>0</v>
      </c>
      <c r="AA9" s="475">
        <f t="shared" ref="AA9:AS9" si="3">AA7-AA8</f>
        <v>0</v>
      </c>
      <c r="AB9" s="475">
        <f t="shared" si="3"/>
        <v>0</v>
      </c>
      <c r="AC9" s="475">
        <f t="shared" si="3"/>
        <v>0</v>
      </c>
      <c r="AD9" s="475">
        <f t="shared" si="3"/>
        <v>0</v>
      </c>
      <c r="AE9" s="475">
        <f t="shared" si="3"/>
        <v>0</v>
      </c>
      <c r="AF9" s="475">
        <f t="shared" si="3"/>
        <v>0</v>
      </c>
      <c r="AG9" s="475">
        <f t="shared" si="3"/>
        <v>0</v>
      </c>
      <c r="AH9" s="475">
        <f t="shared" si="3"/>
        <v>0</v>
      </c>
      <c r="AI9" s="475">
        <f t="shared" si="3"/>
        <v>0</v>
      </c>
      <c r="AJ9" s="475">
        <f t="shared" si="3"/>
        <v>0</v>
      </c>
      <c r="AK9" s="475">
        <f t="shared" si="3"/>
        <v>0</v>
      </c>
      <c r="AL9" s="475">
        <f t="shared" si="3"/>
        <v>0</v>
      </c>
      <c r="AM9" s="475">
        <f t="shared" si="3"/>
        <v>0</v>
      </c>
      <c r="AN9" s="475">
        <f t="shared" si="3"/>
        <v>0</v>
      </c>
      <c r="AO9" s="475">
        <f t="shared" si="3"/>
        <v>0</v>
      </c>
      <c r="AP9" s="475">
        <f t="shared" si="3"/>
        <v>0</v>
      </c>
      <c r="AQ9" s="475">
        <f t="shared" si="3"/>
        <v>0</v>
      </c>
      <c r="AR9" s="475">
        <f t="shared" si="3"/>
        <v>0</v>
      </c>
      <c r="AS9" s="475">
        <f t="shared" si="3"/>
        <v>0</v>
      </c>
      <c r="AT9" s="16"/>
      <c r="AU9" s="16"/>
      <c r="AV9" s="16"/>
      <c r="AW9" s="16"/>
      <c r="AX9" s="16"/>
      <c r="AY9" s="16"/>
      <c r="AZ9" s="16"/>
      <c r="BA9" s="16"/>
      <c r="BB9" s="16"/>
      <c r="BC9" s="16"/>
    </row>
    <row r="10" spans="1:55">
      <c r="A10" s="3" t="s">
        <v>208</v>
      </c>
      <c r="B10" s="56">
        <f>Assumptions!G19*Assumptions!G17/1000*(1+Assumptions!$G$25)</f>
        <v>823.4720525687361</v>
      </c>
      <c r="C10" s="56">
        <f>B10*(1+Assumptions!$G$25)</f>
        <v>848.17621414579821</v>
      </c>
      <c r="D10" s="56">
        <f>C10*(1+Assumptions!$G$25)</f>
        <v>873.6215005701722</v>
      </c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8"/>
      <c r="W10" s="91">
        <f>SUM(B10:U10)</f>
        <v>2545.2697672847062</v>
      </c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</row>
    <row r="11" spans="1:55">
      <c r="A11" s="3" t="s">
        <v>255</v>
      </c>
      <c r="B11" s="127">
        <f>Assumptions!$G$18*Assumptions!$G$11*Assumptions!$G$8/1000*(1+Assumptions!$G$25)</f>
        <v>347.625</v>
      </c>
      <c r="C11" s="91">
        <f>B11*(1+Assumptions!$G$25)</f>
        <v>358.05375000000004</v>
      </c>
      <c r="D11" s="91">
        <f>C11*(1+Assumptions!$G$25)</f>
        <v>368.79536250000007</v>
      </c>
      <c r="E11" s="56"/>
      <c r="F11" s="56"/>
      <c r="G11" s="56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8"/>
      <c r="W11" s="91">
        <f>SUM(B11:U11)</f>
        <v>1074.4741125</v>
      </c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</row>
    <row r="12" spans="1:55">
      <c r="A12" s="3" t="s">
        <v>275</v>
      </c>
      <c r="B12" s="127">
        <f>'Amortization of Power Contract'!$C$29/3</f>
        <v>9038.5339672128084</v>
      </c>
      <c r="C12" s="127">
        <f>'Amortization of Power Contract'!$C$29/3</f>
        <v>9038.5339672128084</v>
      </c>
      <c r="D12" s="127">
        <f>'Amortization of Power Contract'!$C$29/3</f>
        <v>9038.5339672128084</v>
      </c>
      <c r="E12" s="56"/>
      <c r="F12" s="56"/>
      <c r="G12" s="56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8"/>
      <c r="W12" s="91">
        <f>SUM(B12:U12)</f>
        <v>27115.601901638423</v>
      </c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</row>
    <row r="13" spans="1:55">
      <c r="A13" s="1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8"/>
      <c r="W13" s="91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</row>
    <row r="14" spans="1:55">
      <c r="A14" s="347" t="s">
        <v>281</v>
      </c>
      <c r="W14" s="91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</row>
    <row r="15" spans="1:55" s="62" customFormat="1" ht="12" customHeight="1">
      <c r="A15" s="3" t="s">
        <v>58</v>
      </c>
      <c r="B15" s="19">
        <v>0</v>
      </c>
      <c r="C15" s="19">
        <v>0</v>
      </c>
      <c r="D15" s="19">
        <v>0</v>
      </c>
      <c r="E15" s="19">
        <f>'Power Price Assumption'!G27*Assumptions!$G$9*12</f>
        <v>39288.819494509924</v>
      </c>
      <c r="F15" s="19">
        <f>'Power Price Assumption'!H27*Assumptions!$G$9*12</f>
        <v>41237.009778250213</v>
      </c>
      <c r="G15" s="19">
        <f>'Power Price Assumption'!I27*Assumptions!$G$9*12</f>
        <v>41765.821079137233</v>
      </c>
      <c r="H15" s="19">
        <f>'Power Price Assumption'!J27*Assumptions!$G$9*12</f>
        <v>42301.41370081959</v>
      </c>
      <c r="I15" s="19">
        <f>'Power Price Assumption'!K27*Assumptions!$G$9*12</f>
        <v>42843.874604963254</v>
      </c>
      <c r="J15" s="19">
        <f>'Power Price Assumption'!L27*Assumptions!$G$9*12</f>
        <v>43393.291868405126</v>
      </c>
      <c r="K15" s="19">
        <f>'Power Price Assumption'!M27*Assumptions!$G$9*12</f>
        <v>43949.754697453536</v>
      </c>
      <c r="L15" s="19">
        <f>'Power Price Assumption'!N27*Assumptions!$G$9*12</f>
        <v>44781.378776473983</v>
      </c>
      <c r="M15" s="19">
        <f>'Power Price Assumption'!O27*Assumptions!$G$9*12</f>
        <v>45628.738975378772</v>
      </c>
      <c r="N15" s="19">
        <f>'Power Price Assumption'!P27*Assumptions!$G$9*12</f>
        <v>46492.133055470462</v>
      </c>
      <c r="O15" s="19">
        <f>'Power Price Assumption'!Q27*Assumptions!$G$9*12</f>
        <v>47371.864412337192</v>
      </c>
      <c r="P15" s="19">
        <f>'Power Price Assumption'!R27*Assumptions!$G$9*12</f>
        <v>48268.242182465561</v>
      </c>
      <c r="Q15" s="19">
        <f>'Power Price Assumption'!S27*Assumptions!$G$9*12</f>
        <v>48956.905260957668</v>
      </c>
      <c r="R15" s="19">
        <f>'Power Price Assumption'!T27*Assumptions!$G$9*12</f>
        <v>49655.393781898791</v>
      </c>
      <c r="S15" s="19">
        <f>'Power Price Assumption'!U27*Assumptions!$G$9*12</f>
        <v>50363.847928961215</v>
      </c>
      <c r="T15" s="19">
        <f>'Power Price Assumption'!V27*Assumptions!$G$9*12</f>
        <v>51082.409885875939</v>
      </c>
      <c r="U15" s="19">
        <f>'Power Price Assumption'!W27*Assumptions!$G$9*12</f>
        <v>51811.223864968488</v>
      </c>
      <c r="W15" s="91">
        <f>SUM(B15:U15)</f>
        <v>779192.123348327</v>
      </c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</row>
    <row r="16" spans="1:55" s="62" customFormat="1" ht="12" customHeight="1">
      <c r="A16" s="3" t="s">
        <v>59</v>
      </c>
      <c r="B16" s="19">
        <v>0</v>
      </c>
      <c r="C16" s="19">
        <v>0</v>
      </c>
      <c r="D16" s="19">
        <v>0</v>
      </c>
      <c r="E16" s="127">
        <f>1/3*Assumptions!$G$18*Assumptions!$G$11*Assumptions!$G$8/1000*(1+Assumptions!$G$25)^(E5-2000)+Assumptions!$G$19*Assumptions!$G$17*(1+Assumptions!$G$25)^(E5-2000)/1000</f>
        <v>1026.449886712277</v>
      </c>
      <c r="F16" s="127">
        <f>1/3*Assumptions!$G$18*Assumptions!$G$11*Assumptions!$G$8/1000*(1+Assumptions!$G$25)^(F5-2000)+Assumptions!$G$19*Assumptions!$G$17*(1+Assumptions!$G$25)^(F5-2000)/1000</f>
        <v>1057.2433833136454</v>
      </c>
      <c r="G16" s="127">
        <f>1/3*Assumptions!$G$18*Assumptions!$G$11*Assumptions!$G$8/1000*(1+Assumptions!$G$25)^(G5-2000)+Assumptions!$G$19*Assumptions!$G$17*(1+Assumptions!$G$25)^(G5-2000)/1000</f>
        <v>1088.9606848130547</v>
      </c>
      <c r="H16" s="127">
        <f>1/3*Assumptions!$G$18*Assumptions!$G$11*Assumptions!$G$8/1000*(1+Assumptions!$G$25)^(H5-2000)+Assumptions!$G$19*Assumptions!$G$17*(1+Assumptions!$G$25)^(H5-2000)/1000</f>
        <v>1121.6295053574463</v>
      </c>
      <c r="I16" s="127">
        <f>1/3*Assumptions!$G$18*Assumptions!$G$11*Assumptions!$G$8/1000*(1+Assumptions!$G$25)^(I5-2000)+Assumptions!$G$19*Assumptions!$G$17*(1+Assumptions!$G$25)^(I5-2000)/1000</f>
        <v>1155.2783905181698</v>
      </c>
      <c r="J16" s="127">
        <f>1/3*Assumptions!$G$18*Assumptions!$G$11*Assumptions!$G$8/1000*(1+Assumptions!$G$25)^(J5-2000)+Assumptions!$G$19*Assumptions!$G$17*(1+Assumptions!$G$25)^(J5-2000)/1000</f>
        <v>1189.9367422337148</v>
      </c>
      <c r="K16" s="127">
        <f>1/3*Assumptions!$G$18*Assumptions!$G$11*Assumptions!$G$8/1000*(1+Assumptions!$G$25)^(K5-2000)+Assumptions!$G$19*Assumptions!$G$17*(1+Assumptions!$G$25)^(K5-2000)/1000</f>
        <v>1225.6348445007263</v>
      </c>
      <c r="L16" s="127">
        <f>1/3*Assumptions!$G$18*Assumptions!$G$11*Assumptions!$G$8/1000*(1+Assumptions!$G$25)^(L5-2000)+Assumptions!$G$19*Assumptions!$G$17*(1+Assumptions!$G$25)^(L5-2000)/1000</f>
        <v>1262.4038898357483</v>
      </c>
      <c r="M16" s="127">
        <f>1/3*Assumptions!$G$18*Assumptions!$G$11*Assumptions!$G$8/1000*(1+Assumptions!$G$25)^(M5-2000)+Assumptions!$G$19*Assumptions!$G$17*(1+Assumptions!$G$25)^(M5-2000)/1000</f>
        <v>1300.2760065308205</v>
      </c>
      <c r="N16" s="127">
        <f>1/3*Assumptions!$G$18*Assumptions!$G$11*Assumptions!$G$8/1000*(1+Assumptions!$G$25)^(N5-2000)+Assumptions!$G$19*Assumptions!$G$17*(1+Assumptions!$G$25)^(N5-2000)/1000</f>
        <v>1339.2842867267448</v>
      </c>
      <c r="O16" s="127">
        <f>1/3*Assumptions!$G$18*Assumptions!$G$11*Assumptions!$G$8/1000*(1+Assumptions!$G$25)^(O5-2000)+Assumptions!$G$19*Assumptions!$G$17*(1+Assumptions!$G$25)^(O5-2000)/1000</f>
        <v>1379.4628153285473</v>
      </c>
      <c r="P16" s="127">
        <f>1/3*Assumptions!$G$18*Assumptions!$G$11*Assumptions!$G$8/1000*(1+Assumptions!$G$25)^(P5-2000)+Assumptions!$G$19*Assumptions!$G$17*(1+Assumptions!$G$25)^(P5-2000)/1000</f>
        <v>1420.8466997884038</v>
      </c>
      <c r="Q16" s="127">
        <f>1/3*Assumptions!$G$18*Assumptions!$G$11*Assumptions!$G$8/1000*(1+Assumptions!$G$25)^(Q5-2000)+Assumptions!$G$19*Assumptions!$G$17*(1+Assumptions!$G$25)^(Q5-2000)/1000</f>
        <v>1463.4721007820558</v>
      </c>
      <c r="R16" s="127">
        <f>1/3*Assumptions!$G$18*Assumptions!$G$11*Assumptions!$G$8/1000*(1+Assumptions!$G$25)^(R5-2000)+Assumptions!$G$19*Assumptions!$G$17*(1+Assumptions!$G$25)^(R5-2000)/1000</f>
        <v>1507.3762638055175</v>
      </c>
      <c r="S16" s="127">
        <f>1/3*Assumptions!$G$18*Assumptions!$G$11*Assumptions!$G$8/1000*(1+Assumptions!$G$25)^(S5-2000)+Assumptions!$G$19*Assumptions!$G$17*(1+Assumptions!$G$25)^(S5-2000)/1000</f>
        <v>1552.597551719683</v>
      </c>
      <c r="T16" s="127">
        <f>1/3*Assumptions!$G$18*Assumptions!$G$11*Assumptions!$G$8/1000*(1+Assumptions!$G$25)^(T5-2000)+Assumptions!$G$19*Assumptions!$G$17*(1+Assumptions!$G$25)^(T5-2000)/1000</f>
        <v>1599.1754782712733</v>
      </c>
      <c r="U16" s="127">
        <f>1/3*Assumptions!$G$18*Assumptions!$G$11*Assumptions!$G$8/1000*(1+Assumptions!$G$25)^(U5-2000)+Assumptions!$G$19*Assumptions!$G$17*(1+Assumptions!$G$25)^(U5-2000)/1000</f>
        <v>1647.1507426194116</v>
      </c>
      <c r="W16" s="91">
        <f>SUM(B16:U16)</f>
        <v>22337.179272857236</v>
      </c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</row>
    <row r="17" spans="1:55" s="62" customFormat="1" ht="12" customHeight="1">
      <c r="A17" s="3"/>
      <c r="W17" s="91">
        <f>SUM(B17:U17)</f>
        <v>0</v>
      </c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</row>
    <row r="18" spans="1:55" s="62" customFormat="1" ht="12" customHeight="1">
      <c r="A18" s="3" t="s">
        <v>168</v>
      </c>
      <c r="B18" s="198">
        <f>(SUM(B9:B11)-SUM(B22:B28))*'Summary Output'!$B$29/4</f>
        <v>276.20363168770194</v>
      </c>
      <c r="C18" s="198">
        <f>(SUM(C9:C11)-SUM(C22:C28))*'Summary Output'!$B$29/4</f>
        <v>273.64952473843204</v>
      </c>
      <c r="D18" s="198">
        <f>(SUM(D9:D11)-SUM(D22:D28))*'Summary Output'!$B$29/4</f>
        <v>272.16766144718002</v>
      </c>
      <c r="E18" s="198">
        <f>(SUM(E9:E16)-SUM(E22:E28))*'Summary Output'!$B$29/4</f>
        <v>453.70224802693548</v>
      </c>
      <c r="F18" s="198">
        <f>(SUM(F9:F16)-SUM(F22:F28))*'Summary Output'!$B$29/4</f>
        <v>477.53026265364292</v>
      </c>
      <c r="G18" s="198">
        <f>(SUM(G9:G16)-SUM(G22:G28))*'Summary Output'!$B$29/4</f>
        <v>482.50300344357902</v>
      </c>
      <c r="H18" s="198">
        <f>(SUM(H9:H16)-SUM(H22:H28))*'Summary Output'!$B$29/4</f>
        <v>488.62754434581814</v>
      </c>
      <c r="I18" s="198">
        <f>(SUM(I9:I16)-SUM(I22:I28))*'Summary Output'!$B$29/4</f>
        <v>494.81389713925603</v>
      </c>
      <c r="J18" s="198">
        <f>(SUM(J9:J16)-SUM(J22:J28))*'Summary Output'!$B$29/4</f>
        <v>501.06244153516656</v>
      </c>
      <c r="K18" s="198">
        <f>(SUM(K9:K16)-SUM(K22:K28))*'Summary Output'!$B$29/4</f>
        <v>507.3735497257415</v>
      </c>
      <c r="L18" s="198">
        <f>(SUM(L9:L16)-SUM(L22:L28))*'Summary Output'!$B$29/4</f>
        <v>517.09790259228691</v>
      </c>
      <c r="M18" s="198">
        <f>(SUM(M9:M16)-SUM(M22:M28))*'Summary Output'!$B$29/4</f>
        <v>526.99189788024614</v>
      </c>
      <c r="N18" s="198">
        <f>(SUM(N9:N16)-SUM(N22:N28))*'Summary Output'!$B$29/4</f>
        <v>532.69694583358728</v>
      </c>
      <c r="O18" s="198">
        <f>(SUM(O9:O16)-SUM(O22:O28))*'Summary Output'!$B$29/4</f>
        <v>542.93900277167802</v>
      </c>
      <c r="P18" s="198">
        <f>(SUM(P9:P16)-SUM(P22:P28))*'Summary Output'!$B$29/4</f>
        <v>547.90769669135295</v>
      </c>
      <c r="Q18" s="198">
        <f>(SUM(Q9:Q16)-SUM(Q22:Q28))*'Summary Output'!$B$29/4</f>
        <v>562.75786367336275</v>
      </c>
      <c r="R18" s="198">
        <f>(SUM(R9:R16)-SUM(R22:R28))*'Summary Output'!$B$29/4</f>
        <v>570.45701010063192</v>
      </c>
      <c r="S18" s="198">
        <f>(SUM(S9:S16)-SUM(S22:S28))*'Summary Output'!$B$29/4</f>
        <v>578.24469724599101</v>
      </c>
      <c r="T18" s="198">
        <f>(SUM(T9:T16)-SUM(T22:T28))*'Summary Output'!$B$29/4</f>
        <v>586.12165871437685</v>
      </c>
      <c r="U18" s="198">
        <f>(SUM(U9:U16)-SUM(U22:U28))*'Summary Output'!$B$29/4</f>
        <v>594.08862290133811</v>
      </c>
      <c r="W18" s="91">
        <f>SUM(B18:U18)</f>
        <v>9786.9370631483052</v>
      </c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</row>
    <row r="19" spans="1:55" s="62" customFormat="1" ht="12" customHeight="1">
      <c r="A19" s="3" t="s">
        <v>60</v>
      </c>
      <c r="B19" s="56">
        <f>SUM(B9:B18)</f>
        <v>34965.834651469246</v>
      </c>
      <c r="C19" s="56">
        <f t="shared" ref="C19:U19" si="4">SUM(C9:C18)</f>
        <v>34998.413456097034</v>
      </c>
      <c r="D19" s="56">
        <f t="shared" si="4"/>
        <v>35033.118491730158</v>
      </c>
      <c r="E19" s="56">
        <f t="shared" si="4"/>
        <v>40768.971629249136</v>
      </c>
      <c r="F19" s="56">
        <f t="shared" si="4"/>
        <v>42771.783424217501</v>
      </c>
      <c r="G19" s="56">
        <f t="shared" si="4"/>
        <v>43337.284767393867</v>
      </c>
      <c r="H19" s="56">
        <f t="shared" si="4"/>
        <v>43911.670750522855</v>
      </c>
      <c r="I19" s="56">
        <f t="shared" si="4"/>
        <v>44493.96689262068</v>
      </c>
      <c r="J19" s="56">
        <f t="shared" si="4"/>
        <v>45084.291052174005</v>
      </c>
      <c r="K19" s="56">
        <f t="shared" si="4"/>
        <v>45682.763091680004</v>
      </c>
      <c r="L19" s="56">
        <f t="shared" si="4"/>
        <v>46560.880568902016</v>
      </c>
      <c r="M19" s="56">
        <f t="shared" si="4"/>
        <v>47456.006879789835</v>
      </c>
      <c r="N19" s="56">
        <f t="shared" si="4"/>
        <v>48364.114288030796</v>
      </c>
      <c r="O19" s="56">
        <f t="shared" si="4"/>
        <v>49294.266230437417</v>
      </c>
      <c r="P19" s="56">
        <f t="shared" si="4"/>
        <v>50236.99657894532</v>
      </c>
      <c r="Q19" s="56">
        <f t="shared" si="4"/>
        <v>50983.135225413083</v>
      </c>
      <c r="R19" s="56">
        <f t="shared" si="4"/>
        <v>51733.227055804942</v>
      </c>
      <c r="S19" s="56">
        <f t="shared" si="4"/>
        <v>52494.690177926888</v>
      </c>
      <c r="T19" s="56">
        <f t="shared" si="4"/>
        <v>53267.707022861592</v>
      </c>
      <c r="U19" s="56">
        <f t="shared" si="4"/>
        <v>54052.463230489244</v>
      </c>
      <c r="W19" s="91">
        <f>SUM(B19:U19)</f>
        <v>915491.58546575566</v>
      </c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</row>
    <row r="20" spans="1:55" s="62" customFormat="1" ht="12" customHeight="1">
      <c r="A20" s="4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W20" s="91"/>
    </row>
    <row r="21" spans="1:55">
      <c r="A21" s="1" t="s">
        <v>61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W21" s="91"/>
    </row>
    <row r="22" spans="1:55">
      <c r="A22" s="3" t="s">
        <v>48</v>
      </c>
      <c r="B22" s="127">
        <f>Assumptions!G28*(1+Assumptions!$G$25)</f>
        <v>1279.7561657142855</v>
      </c>
      <c r="C22" s="91">
        <f>B22*(1+Assumptions!$G$25)</f>
        <v>1318.1488506857143</v>
      </c>
      <c r="D22" s="91">
        <f>C22*(1+Assumptions!$G$25)</f>
        <v>1357.6933162062858</v>
      </c>
      <c r="E22" s="91">
        <f>D22*(1+Assumptions!$G$25)</f>
        <v>1398.4241156924743</v>
      </c>
      <c r="F22" s="91">
        <f>E22*(1+Assumptions!$G$25)</f>
        <v>1440.3768391632486</v>
      </c>
      <c r="G22" s="91">
        <f>F22*(1+Assumptions!$G$25)</f>
        <v>1483.5881443381461</v>
      </c>
      <c r="H22" s="91">
        <f>G22*(1+Assumptions!$G$25)</f>
        <v>1528.0957886682904</v>
      </c>
      <c r="I22" s="91">
        <f>H22*(1+Assumptions!$G$25)</f>
        <v>1573.9386623283392</v>
      </c>
      <c r="J22" s="91">
        <f>I22*(1+Assumptions!$G$25)</f>
        <v>1621.1568221981895</v>
      </c>
      <c r="K22" s="91">
        <f>J22*(1+Assumptions!$G$25)</f>
        <v>1669.7915268641352</v>
      </c>
      <c r="L22" s="91">
        <f>K22*(1+Assumptions!$G$25)</f>
        <v>1719.8852726700593</v>
      </c>
      <c r="M22" s="91">
        <f>L22*(1+Assumptions!$G$25)</f>
        <v>1771.481830850161</v>
      </c>
      <c r="N22" s="91">
        <f>M22*(1+Assumptions!$G$25)</f>
        <v>1824.626285775666</v>
      </c>
      <c r="O22" s="91">
        <f>N22*(1+Assumptions!$G$25)</f>
        <v>1879.3650743489361</v>
      </c>
      <c r="P22" s="91">
        <f>O22*(1+Assumptions!$G$25)</f>
        <v>1935.7460265794043</v>
      </c>
      <c r="Q22" s="91">
        <f>P22*(1+Assumptions!$G$25)</f>
        <v>1993.8184073767866</v>
      </c>
      <c r="R22" s="91">
        <f>Q22*(1+Assumptions!$G$25)</f>
        <v>2053.6329595980901</v>
      </c>
      <c r="S22" s="91">
        <f>R22*(1+Assumptions!$G$25)</f>
        <v>2115.2419483860331</v>
      </c>
      <c r="T22" s="91">
        <f>S22*(1+Assumptions!$G$25)</f>
        <v>2178.6992068376139</v>
      </c>
      <c r="U22" s="91">
        <f>T22*(1+Assumptions!$G$25)</f>
        <v>2244.0601830427422</v>
      </c>
      <c r="W22" s="91">
        <f t="shared" ref="W22:W29" si="5">SUM(B22:U22)</f>
        <v>34387.527427324596</v>
      </c>
    </row>
    <row r="23" spans="1:55">
      <c r="A23" s="3" t="s">
        <v>49</v>
      </c>
      <c r="B23" s="127">
        <f>Assumptions!$G$29*(1+Assumptions!$G$25)</f>
        <v>823.4720525687361</v>
      </c>
      <c r="C23" s="56">
        <f>B23*(1+Assumptions!$G$25)</f>
        <v>848.17621414579821</v>
      </c>
      <c r="D23" s="56">
        <f>C23*(1+Assumptions!$G$25)</f>
        <v>873.6215005701722</v>
      </c>
      <c r="E23" s="127">
        <f>Assumptions!$G$19*Assumptions!$G$23*(1+Assumptions!$G$25)^(E5-2000)/1000</f>
        <v>899.83014558727712</v>
      </c>
      <c r="F23" s="127">
        <f>Assumptions!$G$19*Assumptions!$G$23*(1+Assumptions!$G$25)^(F5-2000)/1000</f>
        <v>926.82504995489535</v>
      </c>
      <c r="G23" s="127">
        <f>Assumptions!$G$19*Assumptions!$G$23*(1+Assumptions!$G$25)^(G5-2000)/1000</f>
        <v>954.62980145354231</v>
      </c>
      <c r="H23" s="127">
        <f>Assumptions!$G$19*Assumptions!$G$23*(1+Assumptions!$G$25)^(H5-2000)/1000</f>
        <v>983.26869549714854</v>
      </c>
      <c r="I23" s="127">
        <f>Assumptions!$G$19*Assumptions!$G$23*(1+Assumptions!$G$25)^(I5-2000)/1000</f>
        <v>1012.7667563620629</v>
      </c>
      <c r="J23" s="127">
        <f>Assumptions!$G$19*Assumptions!$G$23*(1+Assumptions!$G$25)^(J5-2000)/1000</f>
        <v>1043.1497590529248</v>
      </c>
      <c r="K23" s="127">
        <f>Assumptions!$G$19*Assumptions!$G$23*(1+Assumptions!$G$25)^(K5-2000)/1000</f>
        <v>1074.4442518245125</v>
      </c>
      <c r="L23" s="127">
        <f>Assumptions!$G$19*Assumptions!$G$23*(1+Assumptions!$G$25)^(L5-2000)/1000</f>
        <v>1106.6775793792481</v>
      </c>
      <c r="M23" s="127">
        <f>Assumptions!$G$19*Assumptions!$G$23*(1+Assumptions!$G$25)^(M5-2000)/1000</f>
        <v>1139.8779067606254</v>
      </c>
      <c r="N23" s="127">
        <f>Assumptions!$G$19*Assumptions!$G$23*(1+Assumptions!$G$25)^(N5-2000)/1000</f>
        <v>1174.0742439634439</v>
      </c>
      <c r="O23" s="127">
        <f>Assumptions!$G$19*Assumptions!$G$23*(1+Assumptions!$G$25)^(O5-2000)/1000</f>
        <v>1209.2964712823473</v>
      </c>
      <c r="P23" s="127">
        <f>Assumptions!$G$19*Assumptions!$G$23*(1+Assumptions!$G$25)^(P5-2000)/1000</f>
        <v>1245.5753654208179</v>
      </c>
      <c r="Q23" s="127">
        <f>Assumptions!$G$19*Assumptions!$G$23*(1+Assumptions!$G$25)^(Q5-2000)/1000</f>
        <v>1282.9426263834423</v>
      </c>
      <c r="R23" s="127">
        <f>Assumptions!$G$19*Assumptions!$G$23*(1+Assumptions!$G$25)^(R5-2000)/1000</f>
        <v>1321.4309051749456</v>
      </c>
      <c r="S23" s="127">
        <f>Assumptions!$G$19*Assumptions!$G$23*(1+Assumptions!$G$25)^(S5-2000)/1000</f>
        <v>1361.0738323301939</v>
      </c>
      <c r="T23" s="127">
        <f>Assumptions!$G$19*Assumptions!$G$23*(1+Assumptions!$G$25)^(T5-2000)/1000</f>
        <v>1401.9060473000995</v>
      </c>
      <c r="U23" s="127">
        <f>Assumptions!$G$19*Assumptions!$G$23*(1+Assumptions!$G$25)^(U5-2000)/1000</f>
        <v>1443.9632287191027</v>
      </c>
      <c r="W23" s="91">
        <f t="shared" si="5"/>
        <v>22127.002433731333</v>
      </c>
    </row>
    <row r="24" spans="1:55">
      <c r="A24" s="3" t="s">
        <v>262</v>
      </c>
      <c r="B24" s="127">
        <f>Assumptions!$G$24*Assumptions!$G$11*Assumptions!$G$8/1000*(1+Assumptions!$G$25)</f>
        <v>347.625</v>
      </c>
      <c r="C24" s="91">
        <f>B24*(1+Assumptions!$G$25)</f>
        <v>358.05375000000004</v>
      </c>
      <c r="D24" s="91">
        <f>C24*(1+Assumptions!$G$25)</f>
        <v>368.79536250000007</v>
      </c>
      <c r="E24" s="91">
        <f>D24*(1+Assumptions!$G$25)</f>
        <v>379.85922337500006</v>
      </c>
      <c r="F24" s="91">
        <f>E24*(1+Assumptions!$G$25)</f>
        <v>391.25500007625004</v>
      </c>
      <c r="G24" s="91">
        <f>F24*(1+Assumptions!$G$25)</f>
        <v>402.99265007853757</v>
      </c>
      <c r="H24" s="91">
        <f>G24*(1+Assumptions!$G$25)</f>
        <v>415.08242958089369</v>
      </c>
      <c r="I24" s="91">
        <f>H24*(1+Assumptions!$G$25)</f>
        <v>427.53490246832052</v>
      </c>
      <c r="J24" s="91">
        <f>I24*(1+Assumptions!$G$25)</f>
        <v>440.36094954237018</v>
      </c>
      <c r="K24" s="91">
        <f>J24*(1+Assumptions!$G$25)</f>
        <v>453.57177802864129</v>
      </c>
      <c r="L24" s="91">
        <f>K24*(1+Assumptions!$G$25)</f>
        <v>467.17893136950056</v>
      </c>
      <c r="M24" s="91">
        <f>L24*(1+Assumptions!$G$25)</f>
        <v>481.19429931058556</v>
      </c>
      <c r="N24" s="91">
        <f>M24*(1+Assumptions!$G$25)</f>
        <v>495.63012828990315</v>
      </c>
      <c r="O24" s="91">
        <f>N24*(1+Assumptions!$G$25)</f>
        <v>510.49903213860028</v>
      </c>
      <c r="P24" s="91">
        <f>O24*(1+Assumptions!$G$25)</f>
        <v>525.81400310275831</v>
      </c>
      <c r="Q24" s="91">
        <f>P24*(1+Assumptions!$G$25)</f>
        <v>541.58842319584107</v>
      </c>
      <c r="R24" s="91">
        <f>Q24*(1+Assumptions!$G$25)</f>
        <v>557.83607589171629</v>
      </c>
      <c r="S24" s="91">
        <f>R24*(1+Assumptions!$G$25)</f>
        <v>574.57115816846783</v>
      </c>
      <c r="T24" s="91">
        <f>S24*(1+Assumptions!$G$25)</f>
        <v>591.80829291352188</v>
      </c>
      <c r="U24" s="91">
        <f>T24*(1+Assumptions!$G$25)</f>
        <v>609.56254170092757</v>
      </c>
      <c r="W24" s="91">
        <f t="shared" si="5"/>
        <v>9340.8139317318364</v>
      </c>
    </row>
    <row r="25" spans="1:55">
      <c r="A25" s="3" t="s">
        <v>112</v>
      </c>
      <c r="B25" s="127">
        <f>Assumptions!G31*(1+Assumptions!$G$25)</f>
        <v>0</v>
      </c>
      <c r="C25" s="91">
        <f>B25*(1+Assumptions!$G$25)</f>
        <v>0</v>
      </c>
      <c r="D25" s="91">
        <f>C25*(1+Assumptions!$G$25)</f>
        <v>0</v>
      </c>
      <c r="E25" s="91">
        <f>D25*(1+Assumptions!$G$25)</f>
        <v>0</v>
      </c>
      <c r="F25" s="91">
        <f>E25*(1+Assumptions!$G$25)</f>
        <v>0</v>
      </c>
      <c r="G25" s="91">
        <f>F25*(1+Assumptions!$G$25)</f>
        <v>0</v>
      </c>
      <c r="H25" s="91">
        <f>G25*(1+Assumptions!$G$25)</f>
        <v>0</v>
      </c>
      <c r="I25" s="91">
        <f>H25*(1+Assumptions!$G$25)</f>
        <v>0</v>
      </c>
      <c r="J25" s="91">
        <f>I25*(1+Assumptions!$G$25)</f>
        <v>0</v>
      </c>
      <c r="K25" s="91">
        <f>J25*(1+Assumptions!$G$25)</f>
        <v>0</v>
      </c>
      <c r="L25" s="91">
        <f>K25*(1+Assumptions!$G$25)</f>
        <v>0</v>
      </c>
      <c r="M25" s="91">
        <f>L25*(1+Assumptions!$G$25)</f>
        <v>0</v>
      </c>
      <c r="N25" s="91">
        <f>M25*(1+Assumptions!$G$25)</f>
        <v>0</v>
      </c>
      <c r="O25" s="91">
        <f>N25*(1+Assumptions!$G$25)</f>
        <v>0</v>
      </c>
      <c r="P25" s="91">
        <f>O25*(1+Assumptions!$G$25)</f>
        <v>0</v>
      </c>
      <c r="Q25" s="91">
        <f>P25*(1+Assumptions!$G$25)</f>
        <v>0</v>
      </c>
      <c r="R25" s="91">
        <f>Q25*(1+Assumptions!$G$25)</f>
        <v>0</v>
      </c>
      <c r="S25" s="91">
        <f>R25*(1+Assumptions!$G$25)</f>
        <v>0</v>
      </c>
      <c r="T25" s="91">
        <f>S25*(1+Assumptions!$G$25)</f>
        <v>0</v>
      </c>
      <c r="U25" s="91">
        <f>T25*(1+Assumptions!$G$25)</f>
        <v>0</v>
      </c>
      <c r="W25" s="91">
        <f t="shared" si="5"/>
        <v>0</v>
      </c>
    </row>
    <row r="26" spans="1:55">
      <c r="A26" s="3" t="s">
        <v>113</v>
      </c>
      <c r="B26" s="127">
        <f>Assumptions!G32*(1+Assumptions!$G$25)</f>
        <v>331.91867714285718</v>
      </c>
      <c r="C26" s="91">
        <f>B26*(1+Assumptions!$G$25)</f>
        <v>341.87623745714291</v>
      </c>
      <c r="D26" s="91">
        <f>C26*(1+Assumptions!$G$25)</f>
        <v>352.13252458085719</v>
      </c>
      <c r="E26" s="91">
        <f>D26*(1+Assumptions!$G$25)</f>
        <v>362.69650031828292</v>
      </c>
      <c r="F26" s="91">
        <f>E26*(1+Assumptions!$G$25)</f>
        <v>373.57739532783143</v>
      </c>
      <c r="G26" s="91">
        <f>F26*(1+Assumptions!$G$25)</f>
        <v>384.78471718766639</v>
      </c>
      <c r="H26" s="91">
        <f>G26*(1+Assumptions!$G$25)</f>
        <v>396.3282587032964</v>
      </c>
      <c r="I26" s="91">
        <f>H26*(1+Assumptions!$G$25)</f>
        <v>408.21810646439531</v>
      </c>
      <c r="J26" s="91">
        <f>I26*(1+Assumptions!$G$25)</f>
        <v>420.46464965832718</v>
      </c>
      <c r="K26" s="91">
        <f>J26*(1+Assumptions!$G$25)</f>
        <v>433.07858914807701</v>
      </c>
      <c r="L26" s="91">
        <f>K26*(1+Assumptions!$G$25)</f>
        <v>446.07094682251932</v>
      </c>
      <c r="M26" s="91">
        <f>L26*(1+Assumptions!$G$25)</f>
        <v>459.45307522719492</v>
      </c>
      <c r="N26" s="91">
        <f>M26*(1+Assumptions!$G$25)</f>
        <v>473.23666748401075</v>
      </c>
      <c r="O26" s="91">
        <f>N26*(1+Assumptions!$G$25)</f>
        <v>487.4337675085311</v>
      </c>
      <c r="P26" s="91">
        <f>O26*(1+Assumptions!$G$25)</f>
        <v>502.05678053378705</v>
      </c>
      <c r="Q26" s="91">
        <f>P26*(1+Assumptions!$G$25)</f>
        <v>517.11848394980063</v>
      </c>
      <c r="R26" s="91">
        <f>Q26*(1+Assumptions!$G$25)</f>
        <v>532.6320384682947</v>
      </c>
      <c r="S26" s="91">
        <f>R26*(1+Assumptions!$G$25)</f>
        <v>548.61099962234357</v>
      </c>
      <c r="T26" s="91">
        <f>S26*(1+Assumptions!$G$25)</f>
        <v>565.06932961101393</v>
      </c>
      <c r="U26" s="91">
        <f>T26*(1+Assumptions!$G$25)</f>
        <v>582.02140949934437</v>
      </c>
      <c r="W26" s="91">
        <f t="shared" si="5"/>
        <v>8918.7791547155739</v>
      </c>
    </row>
    <row r="27" spans="1:55">
      <c r="A27" s="3" t="s">
        <v>190</v>
      </c>
      <c r="B27" s="460">
        <v>174.46</v>
      </c>
      <c r="C27" s="460">
        <v>348.92</v>
      </c>
      <c r="D27" s="460">
        <v>436.15</v>
      </c>
      <c r="E27" s="460">
        <v>436.15</v>
      </c>
      <c r="F27" s="460">
        <v>436.15</v>
      </c>
      <c r="G27" s="460">
        <v>523.38</v>
      </c>
      <c r="H27" s="460">
        <v>523.38</v>
      </c>
      <c r="I27" s="460">
        <v>523.38</v>
      </c>
      <c r="J27" s="460">
        <v>523.38</v>
      </c>
      <c r="K27" s="460">
        <v>523.38</v>
      </c>
      <c r="L27" s="460">
        <v>523.38</v>
      </c>
      <c r="M27" s="460">
        <v>523.38</v>
      </c>
      <c r="N27" s="460">
        <v>872.3</v>
      </c>
      <c r="O27" s="460">
        <v>872.3</v>
      </c>
      <c r="P27" s="460">
        <v>1308.45</v>
      </c>
      <c r="Q27" s="460">
        <v>743.93104499999993</v>
      </c>
      <c r="R27" s="460">
        <v>758.80966589999991</v>
      </c>
      <c r="S27" s="460">
        <v>773.98585921799997</v>
      </c>
      <c r="T27" s="460">
        <v>789.46557640235994</v>
      </c>
      <c r="U27" s="460">
        <v>805.25488793040722</v>
      </c>
      <c r="W27" s="91">
        <f t="shared" si="5"/>
        <v>12419.987034450767</v>
      </c>
    </row>
    <row r="28" spans="1:55" s="16" customFormat="1">
      <c r="A28" s="3" t="s">
        <v>186</v>
      </c>
      <c r="B28" s="146">
        <f>B85</f>
        <v>597.57462212670225</v>
      </c>
      <c r="C28" s="146">
        <f t="shared" ref="C28:U28" si="6">C85</f>
        <v>579.09293278257746</v>
      </c>
      <c r="D28" s="146">
        <f t="shared" si="6"/>
        <v>560.61124343845256</v>
      </c>
      <c r="E28" s="146">
        <f t="shared" si="6"/>
        <v>542.12955409432777</v>
      </c>
      <c r="F28" s="146">
        <f t="shared" si="6"/>
        <v>523.64786475020298</v>
      </c>
      <c r="G28" s="146">
        <f t="shared" si="6"/>
        <v>505.16617540607814</v>
      </c>
      <c r="H28" s="146">
        <f t="shared" si="6"/>
        <v>486.68448606195329</v>
      </c>
      <c r="I28" s="146">
        <f t="shared" si="6"/>
        <v>468.20279671782845</v>
      </c>
      <c r="J28" s="146">
        <f t="shared" si="6"/>
        <v>449.72110737370366</v>
      </c>
      <c r="K28" s="146">
        <f t="shared" si="6"/>
        <v>431.23941802957881</v>
      </c>
      <c r="L28" s="146">
        <f t="shared" si="6"/>
        <v>412.75772868545397</v>
      </c>
      <c r="M28" s="146">
        <f t="shared" si="6"/>
        <v>394.27603934132918</v>
      </c>
      <c r="N28" s="146">
        <f t="shared" si="6"/>
        <v>375.79434999720434</v>
      </c>
      <c r="O28" s="146">
        <f t="shared" si="6"/>
        <v>357.31266065307949</v>
      </c>
      <c r="P28" s="146">
        <f t="shared" si="6"/>
        <v>338.8309713089547</v>
      </c>
      <c r="Q28" s="146">
        <f t="shared" si="6"/>
        <v>320.34928196482986</v>
      </c>
      <c r="R28" s="146">
        <f t="shared" si="6"/>
        <v>301.86759262070507</v>
      </c>
      <c r="S28" s="146">
        <f t="shared" si="6"/>
        <v>283.38590327658022</v>
      </c>
      <c r="T28" s="146">
        <f t="shared" si="6"/>
        <v>264.90421393245538</v>
      </c>
      <c r="U28" s="146">
        <f t="shared" si="6"/>
        <v>246.42252458833056</v>
      </c>
      <c r="V28" s="91"/>
      <c r="W28" s="91">
        <f t="shared" si="5"/>
        <v>8439.971467150328</v>
      </c>
    </row>
    <row r="29" spans="1:55">
      <c r="A29" s="3" t="s">
        <v>62</v>
      </c>
      <c r="B29" s="127">
        <f t="shared" ref="B29:U29" si="7">SUM(B22:B28)</f>
        <v>3554.8065175525812</v>
      </c>
      <c r="C29" s="127">
        <f t="shared" si="7"/>
        <v>3794.2679850712329</v>
      </c>
      <c r="D29" s="127">
        <f t="shared" si="7"/>
        <v>3949.0039472957678</v>
      </c>
      <c r="E29" s="127">
        <f t="shared" si="7"/>
        <v>4019.0895390673622</v>
      </c>
      <c r="F29" s="127">
        <f t="shared" si="7"/>
        <v>4091.8321492724285</v>
      </c>
      <c r="G29" s="127">
        <f t="shared" si="7"/>
        <v>4254.5414884639704</v>
      </c>
      <c r="H29" s="127">
        <f t="shared" si="7"/>
        <v>4332.8396585115825</v>
      </c>
      <c r="I29" s="127">
        <f t="shared" si="7"/>
        <v>4414.0412243409464</v>
      </c>
      <c r="J29" s="127">
        <f t="shared" si="7"/>
        <v>4498.2332878255156</v>
      </c>
      <c r="K29" s="127">
        <f t="shared" si="7"/>
        <v>4585.5055638949443</v>
      </c>
      <c r="L29" s="127">
        <f t="shared" si="7"/>
        <v>4675.9504589267817</v>
      </c>
      <c r="M29" s="127">
        <f t="shared" si="7"/>
        <v>4769.6631514898954</v>
      </c>
      <c r="N29" s="127">
        <f t="shared" si="7"/>
        <v>5215.6616755102277</v>
      </c>
      <c r="O29" s="127">
        <f t="shared" si="7"/>
        <v>5316.2070059314947</v>
      </c>
      <c r="P29" s="127">
        <f t="shared" si="7"/>
        <v>5856.473146945722</v>
      </c>
      <c r="Q29" s="127">
        <f t="shared" si="7"/>
        <v>5399.7482678707011</v>
      </c>
      <c r="R29" s="127">
        <f t="shared" si="7"/>
        <v>5526.2092376537521</v>
      </c>
      <c r="S29" s="127">
        <f t="shared" si="7"/>
        <v>5656.8697010016185</v>
      </c>
      <c r="T29" s="127">
        <f t="shared" si="7"/>
        <v>5791.8526669970652</v>
      </c>
      <c r="U29" s="127">
        <f t="shared" si="7"/>
        <v>5931.2847754808545</v>
      </c>
      <c r="W29" s="91">
        <f t="shared" si="5"/>
        <v>95634.081449104444</v>
      </c>
    </row>
    <row r="30" spans="1:55" s="62" customFormat="1" outlineLevel="1">
      <c r="A30" s="5"/>
      <c r="B30" s="130"/>
      <c r="C30" s="131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W30" s="91"/>
    </row>
    <row r="31" spans="1:55" s="62" customFormat="1" ht="6.75" customHeight="1">
      <c r="A31" s="5"/>
      <c r="B31" s="130"/>
      <c r="C31" s="131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W31" s="91"/>
    </row>
    <row r="32" spans="1:55" s="57" customFormat="1">
      <c r="A32" s="1" t="s">
        <v>63</v>
      </c>
      <c r="B32" s="120">
        <f t="shared" ref="B32:U32" si="8">B19-B29</f>
        <v>31411.028133916665</v>
      </c>
      <c r="C32" s="120">
        <f t="shared" si="8"/>
        <v>31204.1454710258</v>
      </c>
      <c r="D32" s="120">
        <f t="shared" si="8"/>
        <v>31084.114544434389</v>
      </c>
      <c r="E32" s="120">
        <f t="shared" si="8"/>
        <v>36749.882090181774</v>
      </c>
      <c r="F32" s="120">
        <f t="shared" si="8"/>
        <v>38679.951274945073</v>
      </c>
      <c r="G32" s="120">
        <f t="shared" si="8"/>
        <v>39082.743278929898</v>
      </c>
      <c r="H32" s="120">
        <f t="shared" si="8"/>
        <v>39578.831092011271</v>
      </c>
      <c r="I32" s="120">
        <f t="shared" si="8"/>
        <v>40079.925668279735</v>
      </c>
      <c r="J32" s="120">
        <f t="shared" si="8"/>
        <v>40586.057764348487</v>
      </c>
      <c r="K32" s="120">
        <f t="shared" si="8"/>
        <v>41097.257527785063</v>
      </c>
      <c r="L32" s="120">
        <f t="shared" si="8"/>
        <v>41884.930109975234</v>
      </c>
      <c r="M32" s="120">
        <f t="shared" si="8"/>
        <v>42686.343728299937</v>
      </c>
      <c r="N32" s="120">
        <f t="shared" si="8"/>
        <v>43148.452612520567</v>
      </c>
      <c r="O32" s="120">
        <f t="shared" si="8"/>
        <v>43978.059224505923</v>
      </c>
      <c r="P32" s="120">
        <f t="shared" si="8"/>
        <v>44380.523431999594</v>
      </c>
      <c r="Q32" s="120">
        <f t="shared" si="8"/>
        <v>45583.386957542381</v>
      </c>
      <c r="R32" s="120">
        <f t="shared" si="8"/>
        <v>46207.017818151187</v>
      </c>
      <c r="S32" s="120">
        <f t="shared" si="8"/>
        <v>46837.82047692527</v>
      </c>
      <c r="T32" s="120">
        <f t="shared" si="8"/>
        <v>47475.854355864525</v>
      </c>
      <c r="U32" s="120">
        <f t="shared" si="8"/>
        <v>48121.17845500839</v>
      </c>
      <c r="W32" s="91">
        <f>SUM(B32:U32)</f>
        <v>819857.50401665119</v>
      </c>
    </row>
    <row r="33" spans="1:23" s="57" customFormat="1">
      <c r="A33" s="1"/>
      <c r="B33" s="132"/>
      <c r="C33" s="133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W33" s="91"/>
    </row>
    <row r="34" spans="1:23">
      <c r="A34" s="3" t="s">
        <v>64</v>
      </c>
      <c r="B34" s="127">
        <f>Depreciation!C37</f>
        <v>6322.1073648652764</v>
      </c>
      <c r="C34" s="127">
        <f>Depreciation!D37</f>
        <v>6322.1073648652764</v>
      </c>
      <c r="D34" s="127">
        <f>Depreciation!E37</f>
        <v>6322.1073648652764</v>
      </c>
      <c r="E34" s="127">
        <f>Depreciation!F37</f>
        <v>6322.1073648652764</v>
      </c>
      <c r="F34" s="127">
        <f>Depreciation!G37</f>
        <v>6322.1073648652764</v>
      </c>
      <c r="G34" s="127">
        <f>Depreciation!H37</f>
        <v>6322.1073648652764</v>
      </c>
      <c r="H34" s="127">
        <f>Depreciation!I37</f>
        <v>6322.1073648652764</v>
      </c>
      <c r="I34" s="127">
        <f>Depreciation!J37</f>
        <v>6322.1073648652764</v>
      </c>
      <c r="J34" s="127">
        <f>Depreciation!K37</f>
        <v>6322.1073648652764</v>
      </c>
      <c r="K34" s="127">
        <f>Depreciation!L37</f>
        <v>6322.1073648652764</v>
      </c>
      <c r="L34" s="127">
        <f>Depreciation!M37</f>
        <v>6322.1073648652764</v>
      </c>
      <c r="M34" s="127">
        <f>Depreciation!N37</f>
        <v>6322.1073648652764</v>
      </c>
      <c r="N34" s="127">
        <f>Depreciation!O37</f>
        <v>6322.1073648652764</v>
      </c>
      <c r="O34" s="127">
        <f>Depreciation!P37</f>
        <v>6322.1073648652764</v>
      </c>
      <c r="P34" s="127">
        <f>Depreciation!Q37</f>
        <v>6322.1073648652764</v>
      </c>
      <c r="Q34" s="127">
        <f>Depreciation!R37</f>
        <v>6322.1073648652764</v>
      </c>
      <c r="R34" s="127">
        <f>Depreciation!S37</f>
        <v>6322.1073648652764</v>
      </c>
      <c r="S34" s="127">
        <f>Depreciation!T37</f>
        <v>6322.1073648652764</v>
      </c>
      <c r="T34" s="127">
        <f>Depreciation!U37</f>
        <v>6322.1073648652764</v>
      </c>
      <c r="U34" s="127">
        <f>Depreciation!V37</f>
        <v>6322.1073648652764</v>
      </c>
      <c r="W34" s="91">
        <f>SUM(B34:U34)</f>
        <v>126442.14729730556</v>
      </c>
    </row>
    <row r="35" spans="1:23">
      <c r="A35" s="3"/>
      <c r="B35" s="127"/>
      <c r="C35" s="91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W35" s="91"/>
    </row>
    <row r="36" spans="1:23" s="57" customFormat="1">
      <c r="A36" s="1" t="s">
        <v>65</v>
      </c>
      <c r="B36" s="132">
        <f t="shared" ref="B36:U36" si="9">B32-B34</f>
        <v>25088.920769051387</v>
      </c>
      <c r="C36" s="132">
        <f t="shared" si="9"/>
        <v>24882.038106160522</v>
      </c>
      <c r="D36" s="132">
        <f t="shared" si="9"/>
        <v>24762.007179569111</v>
      </c>
      <c r="E36" s="132">
        <f t="shared" si="9"/>
        <v>30427.7747253165</v>
      </c>
      <c r="F36" s="132">
        <f t="shared" si="9"/>
        <v>32357.843910079799</v>
      </c>
      <c r="G36" s="132">
        <f t="shared" si="9"/>
        <v>32760.635914064624</v>
      </c>
      <c r="H36" s="132">
        <f t="shared" si="9"/>
        <v>33256.723727145996</v>
      </c>
      <c r="I36" s="132">
        <f t="shared" si="9"/>
        <v>33757.81830341446</v>
      </c>
      <c r="J36" s="132">
        <f t="shared" si="9"/>
        <v>34263.950399483212</v>
      </c>
      <c r="K36" s="132">
        <f t="shared" si="9"/>
        <v>34775.150162919788</v>
      </c>
      <c r="L36" s="132">
        <f t="shared" si="9"/>
        <v>35562.822745109959</v>
      </c>
      <c r="M36" s="132">
        <f t="shared" si="9"/>
        <v>36364.236363434662</v>
      </c>
      <c r="N36" s="132">
        <f t="shared" si="9"/>
        <v>36826.345247655292</v>
      </c>
      <c r="O36" s="132">
        <f t="shared" si="9"/>
        <v>37655.951859640649</v>
      </c>
      <c r="P36" s="132">
        <f t="shared" si="9"/>
        <v>38058.41606713432</v>
      </c>
      <c r="Q36" s="132">
        <f t="shared" si="9"/>
        <v>39261.279592677107</v>
      </c>
      <c r="R36" s="132">
        <f t="shared" si="9"/>
        <v>39884.910453285913</v>
      </c>
      <c r="S36" s="132">
        <f t="shared" si="9"/>
        <v>40515.713112059995</v>
      </c>
      <c r="T36" s="132">
        <f t="shared" si="9"/>
        <v>41153.746990999251</v>
      </c>
      <c r="U36" s="132">
        <f t="shared" si="9"/>
        <v>41799.071090143116</v>
      </c>
      <c r="W36" s="91">
        <f>SUM(B36:U36)</f>
        <v>693415.35671934555</v>
      </c>
    </row>
    <row r="37" spans="1:23" s="57" customFormat="1">
      <c r="A37" s="1"/>
      <c r="B37" s="132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W37" s="91"/>
    </row>
    <row r="38" spans="1:23">
      <c r="A38" s="6" t="s">
        <v>66</v>
      </c>
      <c r="B38" s="127">
        <f>IS!B39*Allocation!$E$12</f>
        <v>14038.121018428183</v>
      </c>
      <c r="C38" s="127">
        <f>IS!C39*Allocation!$E$12</f>
        <v>13827.484002234436</v>
      </c>
      <c r="D38" s="127">
        <f>IS!D39*Allocation!$E$12</f>
        <v>13530.373367832524</v>
      </c>
      <c r="E38" s="127">
        <f>IS!E39*Allocation!$E$12</f>
        <v>13297.142510846699</v>
      </c>
      <c r="F38" s="127">
        <f>IS!F39*Allocation!$E$12</f>
        <v>12884.507426272858</v>
      </c>
      <c r="G38" s="127">
        <f>IS!G39*Allocation!$E$12</f>
        <v>12395.428082244302</v>
      </c>
      <c r="H38" s="127">
        <f>IS!H39*Allocation!$E$12</f>
        <v>11845.768749295621</v>
      </c>
      <c r="I38" s="127">
        <f>IS!I39*Allocation!$E$12</f>
        <v>11270.724168021539</v>
      </c>
      <c r="J38" s="127">
        <f>IS!J39*Allocation!$E$12</f>
        <v>10556.42908014077</v>
      </c>
      <c r="K38" s="127">
        <f>IS!K39*Allocation!$E$12</f>
        <v>9764.9369113055454</v>
      </c>
      <c r="L38" s="127">
        <f>IS!L39*Allocation!$E$12</f>
        <v>8932.1063208931118</v>
      </c>
      <c r="M38" s="127">
        <f>IS!M39*Allocation!$E$12</f>
        <v>8024.0439027996035</v>
      </c>
      <c r="N38" s="127">
        <f>IS!N39*Allocation!$E$12</f>
        <v>7070.8524525560042</v>
      </c>
      <c r="O38" s="127">
        <f>IS!O39*Allocation!$E$12</f>
        <v>6140.2255183874504</v>
      </c>
      <c r="P38" s="127">
        <f>IS!P39*Allocation!$E$12</f>
        <v>5197.8701351855407</v>
      </c>
      <c r="Q38" s="127">
        <f>IS!Q39*Allocation!$E$12</f>
        <v>4221.2217868752259</v>
      </c>
      <c r="R38" s="127">
        <f>IS!R39*Allocation!$E$12</f>
        <v>3185.2937776897925</v>
      </c>
      <c r="S38" s="127">
        <f>IS!S39*Allocation!$E$12</f>
        <v>2208.5179462378119</v>
      </c>
      <c r="T38" s="127">
        <f>IS!T39*Allocation!$E$12</f>
        <v>1370.9537054861132</v>
      </c>
      <c r="U38" s="127">
        <f>IS!U39*Allocation!$E$12</f>
        <v>535.42919500108565</v>
      </c>
      <c r="W38" s="91">
        <f>SUM(B38:U38)</f>
        <v>170297.43005773419</v>
      </c>
    </row>
    <row r="39" spans="1:23" ht="6" customHeight="1">
      <c r="B39" s="67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W39" s="91"/>
    </row>
    <row r="40" spans="1:23" s="57" customFormat="1">
      <c r="A40" s="1" t="s">
        <v>67</v>
      </c>
      <c r="B40" s="132">
        <f t="shared" ref="B40:U40" si="10">B36-B38</f>
        <v>11050.799750623204</v>
      </c>
      <c r="C40" s="132">
        <f t="shared" si="10"/>
        <v>11054.554103926086</v>
      </c>
      <c r="D40" s="132">
        <f t="shared" si="10"/>
        <v>11231.633811736587</v>
      </c>
      <c r="E40" s="132">
        <f t="shared" si="10"/>
        <v>17130.632214469799</v>
      </c>
      <c r="F40" s="132">
        <f t="shared" si="10"/>
        <v>19473.336483806939</v>
      </c>
      <c r="G40" s="132">
        <f t="shared" si="10"/>
        <v>20365.20783182032</v>
      </c>
      <c r="H40" s="132">
        <f t="shared" si="10"/>
        <v>21410.954977850375</v>
      </c>
      <c r="I40" s="132">
        <f t="shared" si="10"/>
        <v>22487.094135392923</v>
      </c>
      <c r="J40" s="132">
        <f t="shared" si="10"/>
        <v>23707.521319342442</v>
      </c>
      <c r="K40" s="132">
        <f t="shared" si="10"/>
        <v>25010.213251614245</v>
      </c>
      <c r="L40" s="132">
        <f t="shared" si="10"/>
        <v>26630.716424216847</v>
      </c>
      <c r="M40" s="132">
        <f t="shared" si="10"/>
        <v>28340.192460635059</v>
      </c>
      <c r="N40" s="132">
        <f t="shared" si="10"/>
        <v>29755.492795099286</v>
      </c>
      <c r="O40" s="132">
        <f t="shared" si="10"/>
        <v>31515.726341253197</v>
      </c>
      <c r="P40" s="132">
        <f t="shared" si="10"/>
        <v>32860.545931948778</v>
      </c>
      <c r="Q40" s="132">
        <f t="shared" si="10"/>
        <v>35040.05780580188</v>
      </c>
      <c r="R40" s="132">
        <f t="shared" si="10"/>
        <v>36699.616675596117</v>
      </c>
      <c r="S40" s="132">
        <f t="shared" si="10"/>
        <v>38307.195165822181</v>
      </c>
      <c r="T40" s="132">
        <f t="shared" si="10"/>
        <v>39782.793285513137</v>
      </c>
      <c r="U40" s="132">
        <f t="shared" si="10"/>
        <v>41263.641895142027</v>
      </c>
      <c r="W40" s="91">
        <f>SUM(B40:U40)</f>
        <v>523117.92666161136</v>
      </c>
    </row>
    <row r="41" spans="1:23" s="57" customFormat="1">
      <c r="A41" s="1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W41" s="91"/>
    </row>
    <row r="42" spans="1:23">
      <c r="A42" s="3" t="s">
        <v>68</v>
      </c>
      <c r="B42" s="127">
        <f>B40*-Assumptions!$G$39</f>
        <v>-663.04798503739221</v>
      </c>
      <c r="C42" s="127">
        <f>C40*-Assumptions!$G$39</f>
        <v>-663.27324623556513</v>
      </c>
      <c r="D42" s="127">
        <f>D40*-Assumptions!$G$39</f>
        <v>-673.89802870419521</v>
      </c>
      <c r="E42" s="127">
        <f>E40*-Assumptions!$G$39</f>
        <v>-1027.8379328681879</v>
      </c>
      <c r="F42" s="127">
        <f>F40*-Assumptions!$G$39</f>
        <v>-1168.4001890284162</v>
      </c>
      <c r="G42" s="127">
        <f>G40*-Assumptions!$G$39</f>
        <v>-1221.9124699092192</v>
      </c>
      <c r="H42" s="127">
        <f>H40*-Assumptions!$G$39</f>
        <v>-1284.6572986710225</v>
      </c>
      <c r="I42" s="127">
        <f>I40*-Assumptions!$G$39</f>
        <v>-1349.2256481235754</v>
      </c>
      <c r="J42" s="127">
        <f>J40*-Assumptions!$G$39</f>
        <v>-1422.4512791605464</v>
      </c>
      <c r="K42" s="127">
        <f>K40*-Assumptions!$G$39</f>
        <v>-1500.6127950968546</v>
      </c>
      <c r="L42" s="127">
        <f>L40*-Assumptions!$G$39</f>
        <v>-1597.8429854530109</v>
      </c>
      <c r="M42" s="127">
        <f>M40*-Assumptions!$G$39</f>
        <v>-1700.4115476381035</v>
      </c>
      <c r="N42" s="127">
        <f>N40*-Assumptions!$G$39</f>
        <v>-1785.3295677059571</v>
      </c>
      <c r="O42" s="127">
        <f>O40*-Assumptions!$G$39</f>
        <v>-1890.9435804751918</v>
      </c>
      <c r="P42" s="127">
        <f>P40*-Assumptions!$G$39</f>
        <v>-1971.6327559169267</v>
      </c>
      <c r="Q42" s="127">
        <f>Q40*-Assumptions!$G$39</f>
        <v>-2102.4034683481127</v>
      </c>
      <c r="R42" s="127">
        <f>R40*-Assumptions!$G$39</f>
        <v>-2201.9770005357668</v>
      </c>
      <c r="S42" s="127">
        <f>S40*-Assumptions!$G$39</f>
        <v>-2298.4317099493305</v>
      </c>
      <c r="T42" s="127">
        <f>T40*-Assumptions!$G$39</f>
        <v>-2386.9675971307879</v>
      </c>
      <c r="U42" s="127">
        <f>U40*-Assumptions!$G$39</f>
        <v>-2475.8185137085216</v>
      </c>
      <c r="W42" s="91">
        <f>SUM(B42:U42)</f>
        <v>-31387.075599696684</v>
      </c>
    </row>
    <row r="43" spans="1:23">
      <c r="A43" s="3" t="s">
        <v>69</v>
      </c>
      <c r="B43" s="121">
        <f>(B40+B42)*-Assumptions!$G$38</f>
        <v>-3635.7131179550338</v>
      </c>
      <c r="C43" s="121">
        <f>(C40+C42)*-Assumptions!$G$38</f>
        <v>-3636.9483001916819</v>
      </c>
      <c r="D43" s="121">
        <f>(D40+D42)*-Assumptions!$G$38</f>
        <v>-3695.2075240613367</v>
      </c>
      <c r="E43" s="121">
        <f>(E40+E42)*-Assumptions!$G$38</f>
        <v>-5635.9779985605637</v>
      </c>
      <c r="F43" s="121">
        <f>(F40+F42)*-Assumptions!$G$38</f>
        <v>-6406.7277031724825</v>
      </c>
      <c r="G43" s="121">
        <f>(G40+G42)*-Assumptions!$G$38</f>
        <v>-6700.1533766688844</v>
      </c>
      <c r="H43" s="121">
        <f>(H40+H42)*-Assumptions!$G$38</f>
        <v>-7044.2041877127731</v>
      </c>
      <c r="I43" s="121">
        <f>(I40+I42)*-Assumptions!$G$38</f>
        <v>-7398.2539705442714</v>
      </c>
      <c r="J43" s="121">
        <f>(J40+J42)*-Assumptions!$G$38</f>
        <v>-7799.7745140636634</v>
      </c>
      <c r="K43" s="121">
        <f>(K40+K42)*-Assumptions!$G$38</f>
        <v>-8228.3601597810866</v>
      </c>
      <c r="L43" s="121">
        <f>(L40+L42)*-Assumptions!$G$38</f>
        <v>-8761.5057035673417</v>
      </c>
      <c r="M43" s="121">
        <f>(M40+M42)*-Assumptions!$G$38</f>
        <v>-9323.9233195489323</v>
      </c>
      <c r="N43" s="121">
        <f>(N40+N42)*-Assumptions!$G$38</f>
        <v>-9789.5571295876634</v>
      </c>
      <c r="O43" s="121">
        <f>(O40+O42)*-Assumptions!$G$38</f>
        <v>-10368.673966272301</v>
      </c>
      <c r="P43" s="121">
        <f>(P40+P42)*-Assumptions!$G$38</f>
        <v>-10811.119611611148</v>
      </c>
      <c r="Q43" s="121">
        <f>(Q40+Q42)*-Assumptions!$G$38</f>
        <v>-11528.179018108816</v>
      </c>
      <c r="R43" s="121">
        <f>(R40+R42)*-Assumptions!$G$38</f>
        <v>-12074.173886271123</v>
      </c>
      <c r="S43" s="121">
        <f>(S40+S42)*-Assumptions!$G$38</f>
        <v>-12603.067209555498</v>
      </c>
      <c r="T43" s="121">
        <f>(T40+T42)*-Assumptions!$G$38</f>
        <v>-13088.538990933821</v>
      </c>
      <c r="U43" s="121">
        <f>(U40+U42)*-Assumptions!$G$38</f>
        <v>-13575.738183501726</v>
      </c>
      <c r="W43" s="91">
        <f>SUM(B43:U43)</f>
        <v>-172105.79787167016</v>
      </c>
    </row>
    <row r="44" spans="1:23" ht="6" customHeight="1"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W44" s="91"/>
    </row>
    <row r="45" spans="1:23" s="64" customFormat="1" ht="15.75">
      <c r="A45" s="45" t="s">
        <v>220</v>
      </c>
      <c r="B45" s="134">
        <f t="shared" ref="B45:U45" si="11">SUM(B40:B43)</f>
        <v>6752.0386476307776</v>
      </c>
      <c r="C45" s="134">
        <f t="shared" si="11"/>
        <v>6754.3325574988394</v>
      </c>
      <c r="D45" s="134">
        <f t="shared" si="11"/>
        <v>6862.5282589710541</v>
      </c>
      <c r="E45" s="134">
        <f t="shared" si="11"/>
        <v>10466.816283041047</v>
      </c>
      <c r="F45" s="134">
        <f t="shared" si="11"/>
        <v>11898.20859160604</v>
      </c>
      <c r="G45" s="134">
        <f t="shared" si="11"/>
        <v>12443.141985242215</v>
      </c>
      <c r="H45" s="134">
        <f t="shared" si="11"/>
        <v>13082.093491466578</v>
      </c>
      <c r="I45" s="134">
        <f t="shared" si="11"/>
        <v>13739.614516725076</v>
      </c>
      <c r="J45" s="134">
        <f t="shared" si="11"/>
        <v>14485.295526118234</v>
      </c>
      <c r="K45" s="134">
        <f t="shared" si="11"/>
        <v>15281.240296736303</v>
      </c>
      <c r="L45" s="134">
        <f t="shared" si="11"/>
        <v>16271.367735196494</v>
      </c>
      <c r="M45" s="134">
        <f t="shared" si="11"/>
        <v>17315.857593448021</v>
      </c>
      <c r="N45" s="134">
        <f t="shared" si="11"/>
        <v>18180.606097805663</v>
      </c>
      <c r="O45" s="134">
        <f t="shared" si="11"/>
        <v>19256.108794505704</v>
      </c>
      <c r="P45" s="134">
        <f t="shared" si="11"/>
        <v>20077.793564420703</v>
      </c>
      <c r="Q45" s="134">
        <f t="shared" si="11"/>
        <v>21409.475319344951</v>
      </c>
      <c r="R45" s="134">
        <f t="shared" si="11"/>
        <v>22423.465788789232</v>
      </c>
      <c r="S45" s="134">
        <f t="shared" si="11"/>
        <v>23405.696246317355</v>
      </c>
      <c r="T45" s="134">
        <f t="shared" si="11"/>
        <v>24307.28669744853</v>
      </c>
      <c r="U45" s="134">
        <f t="shared" si="11"/>
        <v>25212.085197931778</v>
      </c>
      <c r="W45" s="91">
        <f>SUM(B45:U45)</f>
        <v>319625.05319024459</v>
      </c>
    </row>
    <row r="46" spans="1:23" s="62" customFormat="1" ht="9" outlineLevel="1">
      <c r="A46" s="4"/>
      <c r="B46" s="60"/>
      <c r="C46" s="61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</row>
    <row r="47" spans="1:23">
      <c r="A47" s="1"/>
      <c r="B47" s="56"/>
      <c r="C47" s="59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</row>
    <row r="48" spans="1:23" outlineLevel="1">
      <c r="A48" s="13"/>
      <c r="B48" s="56"/>
      <c r="C48" s="59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</row>
    <row r="49" spans="1:55" ht="18.75" outlineLevel="1">
      <c r="A49" s="55" t="s">
        <v>215</v>
      </c>
      <c r="B49" s="56"/>
      <c r="C49" s="59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</row>
    <row r="50" spans="1:55" outlineLevel="1">
      <c r="A50" s="1"/>
      <c r="B50" s="56"/>
      <c r="C50" s="59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</row>
    <row r="51" spans="1:55" ht="12.75" customHeight="1" outlineLevel="1">
      <c r="A51" s="1"/>
      <c r="B51" s="56"/>
      <c r="C51" s="59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</row>
    <row r="52" spans="1:55" ht="12.75" customHeight="1" outlineLevel="1">
      <c r="A52" s="1"/>
      <c r="B52" s="56"/>
      <c r="C52" s="59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</row>
    <row r="53" spans="1:55" ht="13.5" outlineLevel="1" thickBot="1">
      <c r="A53" s="194" t="s">
        <v>56</v>
      </c>
      <c r="B53" s="8">
        <v>2001</v>
      </c>
      <c r="C53" s="8">
        <f t="shared" ref="C53:U53" si="12">B53+1</f>
        <v>2002</v>
      </c>
      <c r="D53" s="8">
        <f t="shared" si="12"/>
        <v>2003</v>
      </c>
      <c r="E53" s="8">
        <f t="shared" si="12"/>
        <v>2004</v>
      </c>
      <c r="F53" s="8">
        <f t="shared" si="12"/>
        <v>2005</v>
      </c>
      <c r="G53" s="8">
        <f t="shared" si="12"/>
        <v>2006</v>
      </c>
      <c r="H53" s="8">
        <f t="shared" si="12"/>
        <v>2007</v>
      </c>
      <c r="I53" s="8">
        <f t="shared" si="12"/>
        <v>2008</v>
      </c>
      <c r="J53" s="8">
        <f t="shared" si="12"/>
        <v>2009</v>
      </c>
      <c r="K53" s="8">
        <f t="shared" si="12"/>
        <v>2010</v>
      </c>
      <c r="L53" s="8">
        <f t="shared" si="12"/>
        <v>2011</v>
      </c>
      <c r="M53" s="8">
        <f t="shared" si="12"/>
        <v>2012</v>
      </c>
      <c r="N53" s="8">
        <f t="shared" si="12"/>
        <v>2013</v>
      </c>
      <c r="O53" s="8">
        <f t="shared" si="12"/>
        <v>2014</v>
      </c>
      <c r="P53" s="8">
        <f t="shared" si="12"/>
        <v>2015</v>
      </c>
      <c r="Q53" s="8">
        <f t="shared" si="12"/>
        <v>2016</v>
      </c>
      <c r="R53" s="8">
        <f t="shared" si="12"/>
        <v>2017</v>
      </c>
      <c r="S53" s="8">
        <f t="shared" si="12"/>
        <v>2018</v>
      </c>
      <c r="T53" s="8">
        <f t="shared" si="12"/>
        <v>2019</v>
      </c>
      <c r="U53" s="8">
        <f t="shared" si="12"/>
        <v>2020</v>
      </c>
      <c r="W53" s="403" t="s">
        <v>161</v>
      </c>
    </row>
    <row r="54" spans="1:55" outlineLevel="1">
      <c r="A54" s="12"/>
      <c r="B54" s="56"/>
      <c r="C54" s="59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W54" s="44"/>
    </row>
    <row r="55" spans="1:55" outlineLevel="1">
      <c r="A55" s="13" t="s">
        <v>276</v>
      </c>
      <c r="B55" s="67">
        <f>B32-B12</f>
        <v>22372.494166703858</v>
      </c>
      <c r="C55" s="67">
        <f>C32-C12</f>
        <v>22165.611503812994</v>
      </c>
      <c r="D55" s="67">
        <f>D32-D12</f>
        <v>22045.580577221583</v>
      </c>
      <c r="E55" s="56">
        <f t="shared" ref="E55:U55" si="13">E32</f>
        <v>36749.882090181774</v>
      </c>
      <c r="F55" s="56">
        <f t="shared" si="13"/>
        <v>38679.951274945073</v>
      </c>
      <c r="G55" s="56">
        <f t="shared" si="13"/>
        <v>39082.743278929898</v>
      </c>
      <c r="H55" s="56">
        <f t="shared" si="13"/>
        <v>39578.831092011271</v>
      </c>
      <c r="I55" s="56">
        <f t="shared" si="13"/>
        <v>40079.925668279735</v>
      </c>
      <c r="J55" s="56">
        <f t="shared" si="13"/>
        <v>40586.057764348487</v>
      </c>
      <c r="K55" s="56">
        <f t="shared" si="13"/>
        <v>41097.257527785063</v>
      </c>
      <c r="L55" s="56">
        <f t="shared" si="13"/>
        <v>41884.930109975234</v>
      </c>
      <c r="M55" s="56">
        <f t="shared" si="13"/>
        <v>42686.343728299937</v>
      </c>
      <c r="N55" s="56">
        <f t="shared" si="13"/>
        <v>43148.452612520567</v>
      </c>
      <c r="O55" s="56">
        <f t="shared" si="13"/>
        <v>43978.059224505923</v>
      </c>
      <c r="P55" s="56">
        <f t="shared" si="13"/>
        <v>44380.523431999594</v>
      </c>
      <c r="Q55" s="56">
        <f t="shared" si="13"/>
        <v>45583.386957542381</v>
      </c>
      <c r="R55" s="56">
        <f t="shared" si="13"/>
        <v>46207.017818151187</v>
      </c>
      <c r="S55" s="56">
        <f t="shared" si="13"/>
        <v>46837.82047692527</v>
      </c>
      <c r="T55" s="56">
        <f t="shared" si="13"/>
        <v>47475.854355864525</v>
      </c>
      <c r="U55" s="56">
        <f t="shared" si="13"/>
        <v>48121.17845500839</v>
      </c>
      <c r="W55" s="404">
        <f>SUM(B55:U55)</f>
        <v>792741.90211501275</v>
      </c>
    </row>
    <row r="56" spans="1:55">
      <c r="A56" s="13" t="s">
        <v>169</v>
      </c>
      <c r="B56" s="67">
        <f>B27</f>
        <v>174.46</v>
      </c>
      <c r="C56" s="67">
        <f t="shared" ref="C56:U56" si="14">C27</f>
        <v>348.92</v>
      </c>
      <c r="D56" s="67">
        <f t="shared" si="14"/>
        <v>436.15</v>
      </c>
      <c r="E56" s="67">
        <f t="shared" si="14"/>
        <v>436.15</v>
      </c>
      <c r="F56" s="67">
        <f t="shared" si="14"/>
        <v>436.15</v>
      </c>
      <c r="G56" s="67">
        <f t="shared" si="14"/>
        <v>523.38</v>
      </c>
      <c r="H56" s="67">
        <f t="shared" si="14"/>
        <v>523.38</v>
      </c>
      <c r="I56" s="67">
        <f t="shared" si="14"/>
        <v>523.38</v>
      </c>
      <c r="J56" s="67">
        <f t="shared" si="14"/>
        <v>523.38</v>
      </c>
      <c r="K56" s="67">
        <f t="shared" si="14"/>
        <v>523.38</v>
      </c>
      <c r="L56" s="67">
        <f t="shared" si="14"/>
        <v>523.38</v>
      </c>
      <c r="M56" s="67">
        <f t="shared" si="14"/>
        <v>523.38</v>
      </c>
      <c r="N56" s="67">
        <f t="shared" si="14"/>
        <v>872.3</v>
      </c>
      <c r="O56" s="67">
        <f t="shared" si="14"/>
        <v>872.3</v>
      </c>
      <c r="P56" s="67">
        <f t="shared" si="14"/>
        <v>1308.45</v>
      </c>
      <c r="Q56" s="67">
        <f t="shared" si="14"/>
        <v>743.93104499999993</v>
      </c>
      <c r="R56" s="67">
        <f t="shared" si="14"/>
        <v>758.80966589999991</v>
      </c>
      <c r="S56" s="67">
        <f t="shared" si="14"/>
        <v>773.98585921799997</v>
      </c>
      <c r="T56" s="67">
        <f t="shared" si="14"/>
        <v>789.46557640235994</v>
      </c>
      <c r="U56" s="67">
        <f t="shared" si="14"/>
        <v>805.25488793040722</v>
      </c>
      <c r="W56" s="404">
        <f>SUM(B56:U56)</f>
        <v>12419.987034450767</v>
      </c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</row>
    <row r="57" spans="1:55">
      <c r="A57" s="13" t="s">
        <v>170</v>
      </c>
      <c r="B57" s="466">
        <v>-92.2251014</v>
      </c>
      <c r="C57" s="67">
        <f>-B56</f>
        <v>-174.46</v>
      </c>
      <c r="D57" s="67">
        <f t="shared" ref="D57:U57" si="15">-C56</f>
        <v>-348.92</v>
      </c>
      <c r="E57" s="67">
        <f t="shared" si="15"/>
        <v>-436.15</v>
      </c>
      <c r="F57" s="67">
        <f t="shared" si="15"/>
        <v>-436.15</v>
      </c>
      <c r="G57" s="67">
        <f t="shared" si="15"/>
        <v>-436.15</v>
      </c>
      <c r="H57" s="67">
        <f t="shared" si="15"/>
        <v>-523.38</v>
      </c>
      <c r="I57" s="67">
        <f t="shared" si="15"/>
        <v>-523.38</v>
      </c>
      <c r="J57" s="67">
        <f t="shared" si="15"/>
        <v>-523.38</v>
      </c>
      <c r="K57" s="67">
        <f t="shared" si="15"/>
        <v>-523.38</v>
      </c>
      <c r="L57" s="67">
        <f t="shared" si="15"/>
        <v>-523.38</v>
      </c>
      <c r="M57" s="67">
        <f t="shared" si="15"/>
        <v>-523.38</v>
      </c>
      <c r="N57" s="67">
        <f t="shared" si="15"/>
        <v>-523.38</v>
      </c>
      <c r="O57" s="67">
        <f t="shared" si="15"/>
        <v>-872.3</v>
      </c>
      <c r="P57" s="67">
        <f t="shared" si="15"/>
        <v>-872.3</v>
      </c>
      <c r="Q57" s="67">
        <f t="shared" si="15"/>
        <v>-1308.45</v>
      </c>
      <c r="R57" s="67">
        <f t="shared" si="15"/>
        <v>-743.93104499999993</v>
      </c>
      <c r="S57" s="67">
        <f t="shared" si="15"/>
        <v>-758.80966589999991</v>
      </c>
      <c r="T57" s="67">
        <f t="shared" si="15"/>
        <v>-773.98585921799997</v>
      </c>
      <c r="U57" s="67">
        <f t="shared" si="15"/>
        <v>-789.46557640235994</v>
      </c>
      <c r="W57" s="404">
        <f>SUM(B57:U57)</f>
        <v>-11706.957247920362</v>
      </c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</row>
    <row r="58" spans="1:55" outlineLevel="1">
      <c r="A58" s="13" t="s">
        <v>71</v>
      </c>
      <c r="B58" s="402">
        <f>-Debt!B77*Allocation!$E$12</f>
        <v>-16751.391210738668</v>
      </c>
      <c r="C58" s="402">
        <f>-Debt!C77*Allocation!$E$12</f>
        <v>-16737.685095599714</v>
      </c>
      <c r="D58" s="402">
        <f>-Debt!D77*Allocation!$E$12</f>
        <v>-16659.386573480904</v>
      </c>
      <c r="E58" s="402">
        <f>-Debt!E77*Allocation!$E$12</f>
        <v>-16421.779474249419</v>
      </c>
      <c r="F58" s="402">
        <f>-Debt!F77*Allocation!$E$12</f>
        <v>-17185.478305309542</v>
      </c>
      <c r="G58" s="402">
        <f>-Debt!G77*Allocation!$E$12</f>
        <v>-17284.565919097964</v>
      </c>
      <c r="H58" s="402">
        <f>-Debt!H77*Allocation!$E$12</f>
        <v>-17176.031804512022</v>
      </c>
      <c r="I58" s="402">
        <f>-Debt!I77*Allocation!$E$12</f>
        <v>-17336.195920509166</v>
      </c>
      <c r="J58" s="402">
        <f>-Debt!J77*Allocation!$E$12</f>
        <v>-17210.067790445381</v>
      </c>
      <c r="K58" s="402">
        <f>-Debt!K77*Allocation!$E$12</f>
        <v>-17408.481617578913</v>
      </c>
      <c r="L58" s="402">
        <f>-Debt!L77*Allocation!$E$12</f>
        <v>-17246.966587651044</v>
      </c>
      <c r="M58" s="402">
        <f>-Debt!M77*Allocation!$E$12</f>
        <v>-16338.904169557536</v>
      </c>
      <c r="N58" s="402">
        <f>-Debt!N77*Allocation!$E$12</f>
        <v>-15385.712719313937</v>
      </c>
      <c r="O58" s="402">
        <f>-Debt!O77*Allocation!$E$12</f>
        <v>-14455.085785145382</v>
      </c>
      <c r="P58" s="402">
        <f>-Debt!P77*Allocation!$E$12</f>
        <v>-13928.473415281369</v>
      </c>
      <c r="Q58" s="402">
        <f>-Debt!Q77*Allocation!$E$12</f>
        <v>-13367.568080308951</v>
      </c>
      <c r="R58" s="402">
        <f>-Debt!R77*Allocation!$E$12</f>
        <v>-12331.640071123518</v>
      </c>
      <c r="S58" s="402">
        <f>-Debt!S77*Allocation!$E$12</f>
        <v>-9691.8921863199503</v>
      </c>
      <c r="T58" s="402">
        <f>-Debt!T77*Allocation!$E$12</f>
        <v>-8854.3279455682514</v>
      </c>
      <c r="U58" s="402">
        <f>-Debt!U77*Allocation!$E$12</f>
        <v>-7187.317408407439</v>
      </c>
      <c r="W58" s="404">
        <f>SUM(B58:U58)</f>
        <v>-298958.95208019903</v>
      </c>
    </row>
    <row r="59" spans="1:55" outlineLevel="1">
      <c r="A59" s="13"/>
      <c r="B59" s="135"/>
      <c r="C59" s="135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  <c r="S59" s="135"/>
      <c r="T59" s="135"/>
      <c r="U59" s="135"/>
      <c r="W59" s="405"/>
    </row>
    <row r="60" spans="1:55" s="57" customFormat="1" outlineLevel="1">
      <c r="A60" s="12" t="s">
        <v>72</v>
      </c>
      <c r="B60" s="136">
        <f t="shared" ref="B60:U60" si="16">SUM(B55:B58)</f>
        <v>5703.3378545651904</v>
      </c>
      <c r="C60" s="136">
        <f t="shared" si="16"/>
        <v>5602.3864082132786</v>
      </c>
      <c r="D60" s="136">
        <f t="shared" si="16"/>
        <v>5473.4240037406817</v>
      </c>
      <c r="E60" s="136">
        <f t="shared" si="16"/>
        <v>20328.102615932356</v>
      </c>
      <c r="F60" s="136">
        <f t="shared" si="16"/>
        <v>21494.472969635532</v>
      </c>
      <c r="G60" s="136">
        <f t="shared" si="16"/>
        <v>21885.40735983193</v>
      </c>
      <c r="H60" s="136">
        <f t="shared" si="16"/>
        <v>22402.799287499249</v>
      </c>
      <c r="I60" s="136">
        <f t="shared" si="16"/>
        <v>22743.729747770569</v>
      </c>
      <c r="J60" s="136">
        <f t="shared" si="16"/>
        <v>23375.989973903106</v>
      </c>
      <c r="K60" s="136">
        <f t="shared" si="16"/>
        <v>23688.77591020615</v>
      </c>
      <c r="L60" s="136">
        <f t="shared" si="16"/>
        <v>24637.963522324189</v>
      </c>
      <c r="M60" s="136">
        <f t="shared" si="16"/>
        <v>26347.439558742401</v>
      </c>
      <c r="N60" s="136">
        <f t="shared" si="16"/>
        <v>28111.659893206634</v>
      </c>
      <c r="O60" s="136">
        <f t="shared" si="16"/>
        <v>29522.973439360539</v>
      </c>
      <c r="P60" s="136">
        <f t="shared" si="16"/>
        <v>30888.20001671822</v>
      </c>
      <c r="Q60" s="136">
        <f t="shared" si="16"/>
        <v>31651.299922233433</v>
      </c>
      <c r="R60" s="136">
        <f t="shared" si="16"/>
        <v>33890.256367927672</v>
      </c>
      <c r="S60" s="136">
        <f t="shared" si="16"/>
        <v>37161.104483923322</v>
      </c>
      <c r="T60" s="136">
        <f t="shared" si="16"/>
        <v>38637.006127480636</v>
      </c>
      <c r="U60" s="136">
        <f t="shared" si="16"/>
        <v>40949.650358128994</v>
      </c>
      <c r="W60" s="404">
        <f>SUM(B60:U60)</f>
        <v>494495.97982134408</v>
      </c>
    </row>
    <row r="61" spans="1:55" outlineLevel="1">
      <c r="A61" s="12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W61" s="405"/>
    </row>
    <row r="62" spans="1:55" ht="15" outlineLevel="1">
      <c r="A62" s="13" t="s">
        <v>99</v>
      </c>
      <c r="B62" s="225">
        <f>-B104</f>
        <v>0</v>
      </c>
      <c r="C62" s="225">
        <f t="shared" ref="C62:U62" si="17">-C104</f>
        <v>0</v>
      </c>
      <c r="D62" s="225">
        <f t="shared" si="17"/>
        <v>0</v>
      </c>
      <c r="E62" s="225">
        <f t="shared" si="17"/>
        <v>0</v>
      </c>
      <c r="F62" s="225">
        <f t="shared" si="17"/>
        <v>-314.84289486480293</v>
      </c>
      <c r="G62" s="225">
        <f t="shared" si="17"/>
        <v>-914.86245404724662</v>
      </c>
      <c r="H62" s="225">
        <f t="shared" si="17"/>
        <v>-1013.9643022406367</v>
      </c>
      <c r="I62" s="225">
        <f t="shared" si="17"/>
        <v>-1077.4309238316259</v>
      </c>
      <c r="J62" s="225">
        <f t="shared" si="17"/>
        <v>-1151.7582827301605</v>
      </c>
      <c r="K62" s="225">
        <f t="shared" si="17"/>
        <v>-1228.8180708049053</v>
      </c>
      <c r="L62" s="225">
        <f t="shared" si="17"/>
        <v>-1327.149989022625</v>
      </c>
      <c r="M62" s="225">
        <f t="shared" si="17"/>
        <v>-1428.616823346154</v>
      </c>
      <c r="N62" s="225">
        <f t="shared" si="17"/>
        <v>-1514.6365712755712</v>
      </c>
      <c r="O62" s="225">
        <f t="shared" si="17"/>
        <v>-1619.1488561832423</v>
      </c>
      <c r="P62" s="225">
        <f t="shared" si="17"/>
        <v>-1700.9397594865407</v>
      </c>
      <c r="Q62" s="225">
        <f t="shared" si="17"/>
        <v>-2156.7201910788776</v>
      </c>
      <c r="R62" s="225">
        <f t="shared" si="17"/>
        <v>-2581.3034424276834</v>
      </c>
      <c r="S62" s="225">
        <f t="shared" si="17"/>
        <v>-2677.7581518412471</v>
      </c>
      <c r="T62" s="225">
        <f t="shared" si="17"/>
        <v>-2766.2940390227045</v>
      </c>
      <c r="U62" s="225">
        <f t="shared" si="17"/>
        <v>-2855.1449556004382</v>
      </c>
      <c r="W62" s="404">
        <f>SUM(B62:U62)</f>
        <v>-26329.389707804461</v>
      </c>
    </row>
    <row r="63" spans="1:55" outlineLevel="1">
      <c r="A63" s="13" t="s">
        <v>100</v>
      </c>
      <c r="B63" s="128">
        <f>-Allocation!$E$12*Tax!B24</f>
        <v>0</v>
      </c>
      <c r="C63" s="128">
        <f>-Allocation!$E$12*Tax!C24</f>
        <v>0</v>
      </c>
      <c r="D63" s="128">
        <f>-Allocation!$E$12*Tax!D24</f>
        <v>0</v>
      </c>
      <c r="E63" s="128">
        <f>-Allocation!$E$12*Tax!E24</f>
        <v>0</v>
      </c>
      <c r="F63" s="128">
        <f>-Allocation!$E$12*Tax!F24</f>
        <v>-190.57804049474373</v>
      </c>
      <c r="G63" s="128">
        <f>-Allocation!$E$12*Tax!G24</f>
        <v>-4967.28629529304</v>
      </c>
      <c r="H63" s="128">
        <f>-Allocation!$E$12*Tax!H24</f>
        <v>-5457.6775760420524</v>
      </c>
      <c r="I63" s="128">
        <f>-Allocation!$E$12*Tax!I24</f>
        <v>-5832.812751616405</v>
      </c>
      <c r="J63" s="128">
        <f>-Allocation!$E$12*Tax!J24</f>
        <v>-6277.5191964853648</v>
      </c>
      <c r="K63" s="128">
        <f>-Allocation!$E$12*Tax!K24</f>
        <v>-6685.5460787129323</v>
      </c>
      <c r="L63" s="128">
        <f>-Allocation!$E$12*Tax!L24</f>
        <v>-7219.2443161560586</v>
      </c>
      <c r="M63" s="128">
        <f>-Allocation!$E$12*Tax!M24</f>
        <v>-7780.2135619846813</v>
      </c>
      <c r="N63" s="128">
        <f>-Allocation!$E$12*Tax!N24</f>
        <v>-8343.5226625900723</v>
      </c>
      <c r="O63" s="128">
        <f>-Allocation!$E$12*Tax!O24</f>
        <v>-8896.4326593189289</v>
      </c>
      <c r="P63" s="128">
        <f>-Allocation!$E$12*Tax!P24</f>
        <v>-9441.2982650761423</v>
      </c>
      <c r="Q63" s="128">
        <f>-Allocation!$E$12*Tax!Q24</f>
        <v>-11831.69405017693</v>
      </c>
      <c r="R63" s="128">
        <f>-Allocation!$E$12*Tax!R24</f>
        <v>-14209.553076958711</v>
      </c>
      <c r="S63" s="128">
        <f>-Allocation!$E$12*Tax!S24</f>
        <v>-14738.768980100147</v>
      </c>
      <c r="T63" s="128">
        <f>-Allocation!$E$12*Tax!T24</f>
        <v>-15224.756638318722</v>
      </c>
      <c r="U63" s="128">
        <f>-Allocation!$E$12*Tax!U24</f>
        <v>-15713.052026703595</v>
      </c>
      <c r="W63" s="404">
        <f>SUM(B63:U63)</f>
        <v>-142809.95617602853</v>
      </c>
    </row>
    <row r="64" spans="1:55" outlineLevel="1">
      <c r="A64" s="13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/>
      <c r="T64" s="121"/>
      <c r="U64" s="121"/>
      <c r="W64" s="405"/>
    </row>
    <row r="65" spans="1:23" s="64" customFormat="1" ht="15.75" outlineLevel="1">
      <c r="A65" s="46" t="s">
        <v>73</v>
      </c>
      <c r="B65" s="137">
        <f t="shared" ref="B65:U65" si="18">B60+B63+B62</f>
        <v>5703.3378545651904</v>
      </c>
      <c r="C65" s="137">
        <f t="shared" si="18"/>
        <v>5602.3864082132786</v>
      </c>
      <c r="D65" s="137">
        <f t="shared" si="18"/>
        <v>5473.4240037406817</v>
      </c>
      <c r="E65" s="137">
        <f t="shared" si="18"/>
        <v>20328.102615932356</v>
      </c>
      <c r="F65" s="137">
        <f t="shared" si="18"/>
        <v>20989.052034275985</v>
      </c>
      <c r="G65" s="137">
        <f t="shared" si="18"/>
        <v>16003.258610491643</v>
      </c>
      <c r="H65" s="137">
        <f t="shared" si="18"/>
        <v>15931.157409216559</v>
      </c>
      <c r="I65" s="137">
        <f t="shared" si="18"/>
        <v>15833.486072322537</v>
      </c>
      <c r="J65" s="137">
        <f t="shared" si="18"/>
        <v>15946.712494687579</v>
      </c>
      <c r="K65" s="137">
        <f t="shared" si="18"/>
        <v>15774.411760688314</v>
      </c>
      <c r="L65" s="137">
        <f t="shared" si="18"/>
        <v>16091.569217145505</v>
      </c>
      <c r="M65" s="137">
        <f t="shared" si="18"/>
        <v>17138.609173411565</v>
      </c>
      <c r="N65" s="137">
        <f t="shared" si="18"/>
        <v>18253.500659340989</v>
      </c>
      <c r="O65" s="137">
        <f t="shared" si="18"/>
        <v>19007.391923858369</v>
      </c>
      <c r="P65" s="137">
        <f t="shared" si="18"/>
        <v>19745.961992155539</v>
      </c>
      <c r="Q65" s="137">
        <f t="shared" si="18"/>
        <v>17662.885680977626</v>
      </c>
      <c r="R65" s="137">
        <f t="shared" si="18"/>
        <v>17099.399848541274</v>
      </c>
      <c r="S65" s="137">
        <f t="shared" si="18"/>
        <v>19744.577351981927</v>
      </c>
      <c r="T65" s="137">
        <f t="shared" si="18"/>
        <v>20645.955450139209</v>
      </c>
      <c r="U65" s="137">
        <f t="shared" si="18"/>
        <v>22381.45337582496</v>
      </c>
      <c r="W65" s="404">
        <f>SUM(B65:U65)</f>
        <v>325356.63393751113</v>
      </c>
    </row>
    <row r="66" spans="1:23" outlineLevel="1">
      <c r="A66" s="68"/>
      <c r="B66" s="56"/>
      <c r="C66" s="59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</row>
    <row r="67" spans="1:23" outlineLevel="1">
      <c r="A67" s="68"/>
      <c r="B67" s="56"/>
      <c r="C67" s="59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</row>
    <row r="68" spans="1:23" outlineLevel="1">
      <c r="A68" s="6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</row>
    <row r="69" spans="1:23" ht="18.75" outlineLevel="1">
      <c r="A69" s="55" t="s">
        <v>192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r="70" spans="1:23" outlineLevel="1">
      <c r="A70" s="57"/>
      <c r="B70" s="18"/>
      <c r="C70" s="18"/>
      <c r="D70" s="18"/>
      <c r="E70" s="18"/>
      <c r="F70" s="18"/>
      <c r="G70" s="138"/>
      <c r="H70" s="18"/>
      <c r="I70" s="18"/>
      <c r="J70" s="18"/>
      <c r="K70" s="18"/>
      <c r="L70" s="18"/>
      <c r="M70" s="138"/>
      <c r="N70" s="18"/>
      <c r="O70" s="18"/>
      <c r="P70" s="18"/>
      <c r="Q70" s="18"/>
      <c r="R70" s="18"/>
      <c r="S70" s="138"/>
      <c r="T70" s="18"/>
      <c r="U70" s="18"/>
    </row>
    <row r="71" spans="1:23" outlineLevel="1">
      <c r="A71" s="226"/>
      <c r="B71" s="242">
        <v>3</v>
      </c>
      <c r="C71" s="242">
        <v>4</v>
      </c>
      <c r="D71" s="242">
        <v>5</v>
      </c>
      <c r="E71" s="243">
        <v>6</v>
      </c>
      <c r="F71" s="242">
        <v>7</v>
      </c>
      <c r="G71" s="242">
        <v>8</v>
      </c>
      <c r="H71" s="242">
        <v>9</v>
      </c>
      <c r="I71" s="242">
        <v>10</v>
      </c>
      <c r="J71" s="242">
        <v>11</v>
      </c>
      <c r="K71" s="243">
        <v>12</v>
      </c>
      <c r="L71" s="242">
        <v>13</v>
      </c>
      <c r="M71" s="242">
        <v>14</v>
      </c>
      <c r="N71" s="242">
        <v>15</v>
      </c>
      <c r="O71" s="242">
        <v>16</v>
      </c>
      <c r="P71" s="242">
        <v>17</v>
      </c>
      <c r="Q71" s="243">
        <v>18</v>
      </c>
      <c r="R71" s="242">
        <v>19</v>
      </c>
      <c r="S71" s="242">
        <v>20</v>
      </c>
      <c r="T71" s="242">
        <v>21</v>
      </c>
      <c r="U71" s="242">
        <v>22</v>
      </c>
    </row>
    <row r="72" spans="1:23" ht="13.5" outlineLevel="1" thickBot="1">
      <c r="A72" s="194" t="s">
        <v>56</v>
      </c>
      <c r="B72" s="8">
        <v>2001</v>
      </c>
      <c r="C72" s="8">
        <v>2002</v>
      </c>
      <c r="D72" s="8">
        <v>2003</v>
      </c>
      <c r="E72" s="8">
        <v>2004</v>
      </c>
      <c r="F72" s="8">
        <v>2005</v>
      </c>
      <c r="G72" s="8">
        <v>2006</v>
      </c>
      <c r="H72" s="8">
        <v>2007</v>
      </c>
      <c r="I72" s="8">
        <v>2008</v>
      </c>
      <c r="J72" s="8">
        <v>2009</v>
      </c>
      <c r="K72" s="8">
        <v>2010</v>
      </c>
      <c r="L72" s="8">
        <v>2011</v>
      </c>
      <c r="M72" s="8">
        <v>2012</v>
      </c>
      <c r="N72" s="8">
        <v>2013</v>
      </c>
      <c r="O72" s="8">
        <v>2014</v>
      </c>
      <c r="P72" s="8">
        <v>2015</v>
      </c>
      <c r="Q72" s="8">
        <v>2016</v>
      </c>
      <c r="R72" s="8">
        <v>2017</v>
      </c>
      <c r="S72" s="8">
        <v>2018</v>
      </c>
      <c r="T72" s="8">
        <v>2019</v>
      </c>
      <c r="U72" s="8">
        <v>2020</v>
      </c>
    </row>
    <row r="73" spans="1:23" outlineLevel="1">
      <c r="A73" s="226"/>
      <c r="B73" s="24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23" outlineLevel="1">
      <c r="A74" s="226"/>
      <c r="B74" s="24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spans="1:23">
      <c r="A75" s="227" t="s">
        <v>183</v>
      </c>
      <c r="B75" s="24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23" outlineLevel="1">
      <c r="A76" s="226"/>
      <c r="B76" s="24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spans="1:23" outlineLevel="1">
      <c r="A77" s="57" t="s">
        <v>193</v>
      </c>
      <c r="B77" s="443">
        <f>Depreciation!C38</f>
        <v>204414.80479731059</v>
      </c>
      <c r="C77" s="443">
        <f>Depreciation!D38</f>
        <v>198092.6974324453</v>
      </c>
      <c r="D77" s="443">
        <f>Depreciation!E38</f>
        <v>191770.59006758002</v>
      </c>
      <c r="E77" s="443">
        <f>Depreciation!F38</f>
        <v>185448.48270271474</v>
      </c>
      <c r="F77" s="443">
        <f>Depreciation!G38</f>
        <v>179126.37533784946</v>
      </c>
      <c r="G77" s="443">
        <f>Depreciation!H38</f>
        <v>172804.26797298418</v>
      </c>
      <c r="H77" s="443">
        <f>Depreciation!I38</f>
        <v>166482.16060811889</v>
      </c>
      <c r="I77" s="443">
        <f>Depreciation!J38</f>
        <v>160160.05324325361</v>
      </c>
      <c r="J77" s="443">
        <f>Depreciation!K38</f>
        <v>153837.94587838833</v>
      </c>
      <c r="K77" s="443">
        <f>Depreciation!L38</f>
        <v>147515.83851352305</v>
      </c>
      <c r="L77" s="443">
        <f>Depreciation!M38</f>
        <v>141193.73114865777</v>
      </c>
      <c r="M77" s="443">
        <f>Depreciation!N38</f>
        <v>134871.62378379249</v>
      </c>
      <c r="N77" s="443">
        <f>Depreciation!O38</f>
        <v>128549.5164189272</v>
      </c>
      <c r="O77" s="443">
        <f>Depreciation!P38</f>
        <v>122227.40905406192</v>
      </c>
      <c r="P77" s="443">
        <f>Depreciation!Q38</f>
        <v>115905.30168919664</v>
      </c>
      <c r="Q77" s="443">
        <f>Depreciation!R38</f>
        <v>109583.19432433136</v>
      </c>
      <c r="R77" s="443">
        <f>Depreciation!S38</f>
        <v>103261.08695946608</v>
      </c>
      <c r="S77" s="443">
        <f>Depreciation!T38</f>
        <v>96938.979594600794</v>
      </c>
      <c r="T77" s="443">
        <f>Depreciation!U38</f>
        <v>90616.872229735513</v>
      </c>
      <c r="U77" s="443">
        <f>Depreciation!V38</f>
        <v>84294.764864870231</v>
      </c>
      <c r="W77" s="424">
        <f t="shared" ref="W77:W85" si="19">SUM(B77:U77)</f>
        <v>2887095.6966218082</v>
      </c>
    </row>
    <row r="78" spans="1:23" outlineLevel="1">
      <c r="A78" s="7" t="s">
        <v>181</v>
      </c>
      <c r="B78" s="443">
        <f>Allocation!$C$12*'Summary Output'!$C$8</f>
        <v>98688.91386857054</v>
      </c>
      <c r="C78" s="443">
        <f>Allocation!$C$12*'Summary Output'!$C$8</f>
        <v>98688.91386857054</v>
      </c>
      <c r="D78" s="443">
        <f>Allocation!$C$12*'Summary Output'!$C$8</f>
        <v>98688.91386857054</v>
      </c>
      <c r="E78" s="443">
        <f>Allocation!$C$12*'Summary Output'!$C$8</f>
        <v>98688.91386857054</v>
      </c>
      <c r="F78" s="443">
        <f>Allocation!$C$12*'Summary Output'!$C$8</f>
        <v>98688.91386857054</v>
      </c>
      <c r="G78" s="443">
        <f>Allocation!$C$12*'Summary Output'!$C$8</f>
        <v>98688.91386857054</v>
      </c>
      <c r="H78" s="443">
        <f>Allocation!$C$12*'Summary Output'!$C$8</f>
        <v>98688.91386857054</v>
      </c>
      <c r="I78" s="443">
        <f>Allocation!$C$12*'Summary Output'!$C$8</f>
        <v>98688.91386857054</v>
      </c>
      <c r="J78" s="443">
        <f>Allocation!$C$12*'Summary Output'!$C$8</f>
        <v>98688.91386857054</v>
      </c>
      <c r="K78" s="443">
        <f>Allocation!$C$12*'Summary Output'!$C$8</f>
        <v>98688.91386857054</v>
      </c>
      <c r="L78" s="443">
        <f>Allocation!$C$12*'Summary Output'!$C$8</f>
        <v>98688.91386857054</v>
      </c>
      <c r="M78" s="443">
        <f>Allocation!$C$12*'Summary Output'!$C$8</f>
        <v>98688.91386857054</v>
      </c>
      <c r="N78" s="443">
        <f>Allocation!$C$12*'Summary Output'!$C$8</f>
        <v>98688.91386857054</v>
      </c>
      <c r="O78" s="443">
        <f>Allocation!$C$12*'Summary Output'!$C$8</f>
        <v>98688.91386857054</v>
      </c>
      <c r="P78" s="443">
        <f>Allocation!$C$12*'Summary Output'!$C$8</f>
        <v>98688.91386857054</v>
      </c>
      <c r="Q78" s="443">
        <f>Allocation!$C$12*'Summary Output'!$C$8</f>
        <v>98688.91386857054</v>
      </c>
      <c r="R78" s="443">
        <f>Allocation!$C$12*'Summary Output'!$C$8</f>
        <v>98688.91386857054</v>
      </c>
      <c r="S78" s="443">
        <f>Allocation!$C$12*'Summary Output'!$C$8</f>
        <v>98688.91386857054</v>
      </c>
      <c r="T78" s="443">
        <f>Allocation!$C$12*'Summary Output'!$C$8</f>
        <v>98688.91386857054</v>
      </c>
      <c r="U78" s="443">
        <f>Allocation!$C$12*'Summary Output'!$C$8</f>
        <v>98688.91386857054</v>
      </c>
      <c r="W78" s="424">
        <f t="shared" si="19"/>
        <v>1973778.2773714103</v>
      </c>
    </row>
    <row r="79" spans="1:23" outlineLevel="1">
      <c r="A79" s="447" t="s">
        <v>279</v>
      </c>
      <c r="B79" s="444">
        <f>B45-B65-B12*(Assumptions!$G$39+(1-Assumptions!$G$39)*Assumptions!$G$38)</f>
        <v>-2467.288920180195</v>
      </c>
      <c r="C79" s="444">
        <f>C45-C65-C12*(Assumptions!$G$39+(1-Assumptions!$G$39)*Assumptions!$G$38)+B79</f>
        <v>-4831.3324841404165</v>
      </c>
      <c r="D79" s="444">
        <f>D45-D65-D12*(Assumptions!$G$39+(1-Assumptions!$G$39)*Assumptions!$G$38)+C79</f>
        <v>-6958.2179421558267</v>
      </c>
      <c r="E79" s="444">
        <f t="shared" ref="E79:U79" si="20">E45-E65+D79</f>
        <v>-16819.504275047133</v>
      </c>
      <c r="F79" s="444">
        <f t="shared" si="20"/>
        <v>-25910.347717717079</v>
      </c>
      <c r="G79" s="444">
        <f t="shared" si="20"/>
        <v>-29470.464342966508</v>
      </c>
      <c r="H79" s="444">
        <f t="shared" si="20"/>
        <v>-32319.528260716492</v>
      </c>
      <c r="I79" s="444">
        <f t="shared" si="20"/>
        <v>-34413.399816313955</v>
      </c>
      <c r="J79" s="444">
        <f t="shared" si="20"/>
        <v>-35874.816784883296</v>
      </c>
      <c r="K79" s="444">
        <f t="shared" si="20"/>
        <v>-36367.988248835303</v>
      </c>
      <c r="L79" s="444">
        <f t="shared" si="20"/>
        <v>-36188.189730784317</v>
      </c>
      <c r="M79" s="444">
        <f t="shared" si="20"/>
        <v>-36010.941310747861</v>
      </c>
      <c r="N79" s="444">
        <f t="shared" si="20"/>
        <v>-36083.835872283191</v>
      </c>
      <c r="O79" s="444">
        <f t="shared" si="20"/>
        <v>-35835.11900163586</v>
      </c>
      <c r="P79" s="444">
        <f t="shared" si="20"/>
        <v>-35503.287429370699</v>
      </c>
      <c r="Q79" s="444">
        <f t="shared" si="20"/>
        <v>-31756.697791003375</v>
      </c>
      <c r="R79" s="444">
        <f t="shared" si="20"/>
        <v>-26432.631850755417</v>
      </c>
      <c r="S79" s="444">
        <f t="shared" si="20"/>
        <v>-22771.512956419989</v>
      </c>
      <c r="T79" s="444">
        <f t="shared" si="20"/>
        <v>-19110.181709110668</v>
      </c>
      <c r="U79" s="444">
        <f t="shared" si="20"/>
        <v>-16279.54988700385</v>
      </c>
      <c r="W79" s="424">
        <f t="shared" si="19"/>
        <v>-521404.83633207151</v>
      </c>
    </row>
    <row r="80" spans="1:23" outlineLevel="1">
      <c r="A80" s="447" t="s">
        <v>188</v>
      </c>
      <c r="B80" s="445">
        <f>Debt!B73*Allocation!$E$12</f>
        <v>125948.25183015436</v>
      </c>
      <c r="C80" s="445">
        <f>Debt!C73*Allocation!$E$12</f>
        <v>123038.05073678908</v>
      </c>
      <c r="D80" s="445">
        <f>Debt!D73*Allocation!$E$12</f>
        <v>119909.0375311407</v>
      </c>
      <c r="E80" s="445">
        <f>Debt!E73*Allocation!$E$12</f>
        <v>116784.40056773799</v>
      </c>
      <c r="F80" s="445">
        <f>Debt!F73*Allocation!$E$12</f>
        <v>112483.4296887013</v>
      </c>
      <c r="G80" s="445">
        <f>Debt!G73*Allocation!$E$12</f>
        <v>107594.29185184764</v>
      </c>
      <c r="H80" s="445">
        <f>Debt!H73*Allocation!$E$12</f>
        <v>102264.02879663125</v>
      </c>
      <c r="I80" s="445">
        <f>Debt!I73*Allocation!$E$12</f>
        <v>96198.557044143614</v>
      </c>
      <c r="J80" s="445">
        <f>Debt!J73*Allocation!$E$12</f>
        <v>89544.918333838999</v>
      </c>
      <c r="K80" s="445">
        <f>Debt!K73*Allocation!$E$12</f>
        <v>81901.373627565627</v>
      </c>
      <c r="L80" s="445">
        <f>Debt!L73*Allocation!$E$12</f>
        <v>73586.513360807701</v>
      </c>
      <c r="M80" s="445">
        <f>Debt!M73*Allocation!$E$12</f>
        <v>65271.653094049769</v>
      </c>
      <c r="N80" s="445">
        <f>Debt!N73*Allocation!$E$12</f>
        <v>56956.792827291836</v>
      </c>
      <c r="O80" s="445">
        <f>Debt!O73*Allocation!$E$12</f>
        <v>48641.932560533904</v>
      </c>
      <c r="P80" s="445">
        <f>Debt!P73*Allocation!$E$12</f>
        <v>39911.329280438076</v>
      </c>
      <c r="Q80" s="445">
        <f>Debt!Q73*Allocation!$E$12</f>
        <v>30764.982987004347</v>
      </c>
      <c r="R80" s="445">
        <f>Debt!R73*Allocation!$E$12</f>
        <v>21618.636693570625</v>
      </c>
      <c r="S80" s="445">
        <f>Debt!S73*Allocation!$E$12</f>
        <v>14135.262453488485</v>
      </c>
      <c r="T80" s="445">
        <f>Debt!T73*Allocation!$E$12</f>
        <v>6651.888213406346</v>
      </c>
      <c r="U80" s="445">
        <f>Debt!U73*Allocation!$E$12</f>
        <v>-7.0050976795439438E-12</v>
      </c>
      <c r="W80" s="424">
        <f t="shared" si="19"/>
        <v>1433205.331479142</v>
      </c>
    </row>
    <row r="81" spans="1:44" outlineLevel="1">
      <c r="A81" s="57" t="s">
        <v>194</v>
      </c>
      <c r="B81" s="446">
        <f>SUM(B78:B80)</f>
        <v>222169.87677854471</v>
      </c>
      <c r="C81" s="446">
        <f t="shared" ref="C81:U81" si="21">SUM(C78:C80)</f>
        <v>216895.63212121921</v>
      </c>
      <c r="D81" s="446">
        <f t="shared" si="21"/>
        <v>211639.73345755541</v>
      </c>
      <c r="E81" s="446">
        <f t="shared" si="21"/>
        <v>198653.81016126141</v>
      </c>
      <c r="F81" s="446">
        <f t="shared" si="21"/>
        <v>185261.99583955476</v>
      </c>
      <c r="G81" s="446">
        <f t="shared" si="21"/>
        <v>176812.74137745166</v>
      </c>
      <c r="H81" s="446">
        <f t="shared" si="21"/>
        <v>168633.41440448532</v>
      </c>
      <c r="I81" s="446">
        <f t="shared" si="21"/>
        <v>160474.07109640021</v>
      </c>
      <c r="J81" s="446">
        <f t="shared" si="21"/>
        <v>152359.01541752624</v>
      </c>
      <c r="K81" s="446">
        <f t="shared" si="21"/>
        <v>144222.29924730086</v>
      </c>
      <c r="L81" s="446">
        <f t="shared" si="21"/>
        <v>136087.23749859392</v>
      </c>
      <c r="M81" s="446">
        <f t="shared" si="21"/>
        <v>127949.62565187245</v>
      </c>
      <c r="N81" s="446">
        <f t="shared" si="21"/>
        <v>119561.87082357919</v>
      </c>
      <c r="O81" s="446">
        <f t="shared" si="21"/>
        <v>111495.72742746858</v>
      </c>
      <c r="P81" s="446">
        <f t="shared" si="21"/>
        <v>103096.95571963792</v>
      </c>
      <c r="Q81" s="446">
        <f t="shared" si="21"/>
        <v>97697.199064571512</v>
      </c>
      <c r="R81" s="446">
        <f t="shared" si="21"/>
        <v>93874.918711385748</v>
      </c>
      <c r="S81" s="446">
        <f t="shared" si="21"/>
        <v>90052.663365639033</v>
      </c>
      <c r="T81" s="446">
        <f t="shared" si="21"/>
        <v>86230.620372866222</v>
      </c>
      <c r="U81" s="446">
        <f t="shared" si="21"/>
        <v>82409.363981566683</v>
      </c>
      <c r="W81" s="424">
        <f t="shared" si="19"/>
        <v>2885578.7725184816</v>
      </c>
    </row>
    <row r="82" spans="1:44" outlineLevel="1">
      <c r="A82" s="226"/>
      <c r="B82" s="446"/>
      <c r="C82" s="446"/>
      <c r="D82" s="446"/>
      <c r="E82" s="446"/>
      <c r="F82" s="446"/>
      <c r="G82" s="446"/>
      <c r="H82" s="446"/>
      <c r="I82" s="446"/>
      <c r="J82" s="446"/>
      <c r="K82" s="446"/>
      <c r="L82" s="446"/>
      <c r="M82" s="446"/>
      <c r="N82" s="446"/>
      <c r="O82" s="446"/>
      <c r="P82" s="446"/>
      <c r="Q82" s="446"/>
      <c r="R82" s="446"/>
      <c r="S82" s="446"/>
      <c r="T82" s="446"/>
      <c r="U82" s="446"/>
      <c r="W82" s="424"/>
    </row>
    <row r="83" spans="1:44" outlineLevel="1">
      <c r="A83" s="57" t="s">
        <v>210</v>
      </c>
      <c r="B83" s="446">
        <f>MAX(B81,B77)</f>
        <v>222169.87677854471</v>
      </c>
      <c r="C83" s="446">
        <f t="shared" ref="C83:U83" si="22">MAX(C81,C77)</f>
        <v>216895.63212121921</v>
      </c>
      <c r="D83" s="446">
        <f t="shared" si="22"/>
        <v>211639.73345755541</v>
      </c>
      <c r="E83" s="446">
        <f t="shared" si="22"/>
        <v>198653.81016126141</v>
      </c>
      <c r="F83" s="446">
        <f t="shared" si="22"/>
        <v>185261.99583955476</v>
      </c>
      <c r="G83" s="446">
        <f t="shared" si="22"/>
        <v>176812.74137745166</v>
      </c>
      <c r="H83" s="446">
        <f t="shared" si="22"/>
        <v>168633.41440448532</v>
      </c>
      <c r="I83" s="446">
        <f t="shared" si="22"/>
        <v>160474.07109640021</v>
      </c>
      <c r="J83" s="446">
        <f t="shared" si="22"/>
        <v>153837.94587838833</v>
      </c>
      <c r="K83" s="446">
        <f t="shared" si="22"/>
        <v>147515.83851352305</v>
      </c>
      <c r="L83" s="446">
        <f t="shared" si="22"/>
        <v>141193.73114865777</v>
      </c>
      <c r="M83" s="446">
        <f t="shared" si="22"/>
        <v>134871.62378379249</v>
      </c>
      <c r="N83" s="446">
        <f t="shared" si="22"/>
        <v>128549.5164189272</v>
      </c>
      <c r="O83" s="446">
        <f t="shared" si="22"/>
        <v>122227.40905406192</v>
      </c>
      <c r="P83" s="446">
        <f t="shared" si="22"/>
        <v>115905.30168919664</v>
      </c>
      <c r="Q83" s="446">
        <f t="shared" si="22"/>
        <v>109583.19432433136</v>
      </c>
      <c r="R83" s="446">
        <f t="shared" si="22"/>
        <v>103261.08695946608</v>
      </c>
      <c r="S83" s="446">
        <f t="shared" si="22"/>
        <v>96938.979594600794</v>
      </c>
      <c r="T83" s="446">
        <f t="shared" si="22"/>
        <v>90616.872229735513</v>
      </c>
      <c r="U83" s="446">
        <f t="shared" si="22"/>
        <v>84294.764864870231</v>
      </c>
      <c r="W83" s="424">
        <f t="shared" si="19"/>
        <v>2969337.5396960247</v>
      </c>
    </row>
    <row r="84" spans="1:44" outlineLevel="1">
      <c r="A84" s="447" t="s">
        <v>184</v>
      </c>
      <c r="B84" s="449">
        <f>Assumptions!$G$42</f>
        <v>2.5000000000000001E-3</v>
      </c>
      <c r="C84" s="449">
        <f>Assumptions!$G$43</f>
        <v>2.5000000000000001E-3</v>
      </c>
      <c r="D84" s="449">
        <f>Assumptions!$G$43</f>
        <v>2.5000000000000001E-3</v>
      </c>
      <c r="E84" s="449">
        <f>Assumptions!$G$43</f>
        <v>2.5000000000000001E-3</v>
      </c>
      <c r="F84" s="449">
        <f>Assumptions!$G$43</f>
        <v>2.5000000000000001E-3</v>
      </c>
      <c r="G84" s="449">
        <f>Assumptions!$G$43</f>
        <v>2.5000000000000001E-3</v>
      </c>
      <c r="H84" s="449">
        <f>Assumptions!$G$43</f>
        <v>2.5000000000000001E-3</v>
      </c>
      <c r="I84" s="449">
        <f>Assumptions!$G$43</f>
        <v>2.5000000000000001E-3</v>
      </c>
      <c r="J84" s="449">
        <f>Assumptions!$G$43</f>
        <v>2.5000000000000001E-3</v>
      </c>
      <c r="K84" s="449">
        <f>Assumptions!$G$43</f>
        <v>2.5000000000000001E-3</v>
      </c>
      <c r="L84" s="449">
        <f>Assumptions!$G$43</f>
        <v>2.5000000000000001E-3</v>
      </c>
      <c r="M84" s="449">
        <f>Assumptions!$G$43</f>
        <v>2.5000000000000001E-3</v>
      </c>
      <c r="N84" s="449">
        <f>Assumptions!$G$43</f>
        <v>2.5000000000000001E-3</v>
      </c>
      <c r="O84" s="449">
        <f>Assumptions!$G$43</f>
        <v>2.5000000000000001E-3</v>
      </c>
      <c r="P84" s="449">
        <f>Assumptions!$G$43</f>
        <v>2.5000000000000001E-3</v>
      </c>
      <c r="Q84" s="449">
        <f>Assumptions!$G$43</f>
        <v>2.5000000000000001E-3</v>
      </c>
      <c r="R84" s="449">
        <f>Assumptions!$G$43</f>
        <v>2.5000000000000001E-3</v>
      </c>
      <c r="S84" s="449">
        <f>Assumptions!$G$43</f>
        <v>2.5000000000000001E-3</v>
      </c>
      <c r="T84" s="449">
        <f>Assumptions!$G$43</f>
        <v>2.5000000000000001E-3</v>
      </c>
      <c r="U84" s="449">
        <f>Assumptions!$G$43</f>
        <v>2.5000000000000001E-3</v>
      </c>
      <c r="W84" s="424"/>
    </row>
    <row r="85" spans="1:44" outlineLevel="1">
      <c r="A85" s="226" t="s">
        <v>185</v>
      </c>
      <c r="B85" s="465">
        <v>597.57462212670225</v>
      </c>
      <c r="C85" s="465">
        <v>579.09293278257746</v>
      </c>
      <c r="D85" s="465">
        <v>560.61124343845256</v>
      </c>
      <c r="E85" s="465">
        <v>542.12955409432777</v>
      </c>
      <c r="F85" s="465">
        <v>523.64786475020298</v>
      </c>
      <c r="G85" s="465">
        <v>505.16617540607814</v>
      </c>
      <c r="H85" s="465">
        <v>486.68448606195329</v>
      </c>
      <c r="I85" s="465">
        <v>468.20279671782845</v>
      </c>
      <c r="J85" s="465">
        <v>449.72110737370366</v>
      </c>
      <c r="K85" s="465">
        <v>431.23941802957881</v>
      </c>
      <c r="L85" s="465">
        <v>412.75772868545397</v>
      </c>
      <c r="M85" s="465">
        <v>394.27603934132918</v>
      </c>
      <c r="N85" s="465">
        <v>375.79434999720434</v>
      </c>
      <c r="O85" s="465">
        <v>357.31266065307949</v>
      </c>
      <c r="P85" s="465">
        <v>338.8309713089547</v>
      </c>
      <c r="Q85" s="465">
        <v>320.34928196482986</v>
      </c>
      <c r="R85" s="465">
        <v>301.86759262070507</v>
      </c>
      <c r="S85" s="465">
        <v>283.38590327658022</v>
      </c>
      <c r="T85" s="465">
        <v>264.90421393245538</v>
      </c>
      <c r="U85" s="465">
        <v>246.42252458833056</v>
      </c>
      <c r="W85" s="424">
        <f t="shared" si="19"/>
        <v>8439.971467150328</v>
      </c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 outlineLevel="1">
      <c r="A86" s="447"/>
      <c r="B86" s="448"/>
      <c r="C86" s="448"/>
      <c r="D86" s="448"/>
      <c r="E86" s="448"/>
      <c r="F86" s="448"/>
      <c r="G86" s="448"/>
      <c r="H86" s="448"/>
      <c r="I86" s="448"/>
      <c r="J86" s="448"/>
      <c r="K86" s="448"/>
      <c r="L86" s="448"/>
      <c r="M86" s="448"/>
      <c r="N86" s="448"/>
      <c r="O86" s="448"/>
      <c r="P86" s="448"/>
      <c r="Q86" s="448"/>
      <c r="R86" s="448"/>
      <c r="S86" s="448"/>
      <c r="T86" s="448"/>
      <c r="U86" s="448"/>
    </row>
    <row r="87" spans="1:44" outlineLevel="1">
      <c r="A87" s="226"/>
      <c r="B87" s="24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spans="1:44" outlineLevel="1">
      <c r="A88" s="227" t="s">
        <v>83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</row>
    <row r="89" spans="1:44" outlineLevel="1">
      <c r="A89" s="22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</row>
    <row r="90" spans="1:44" outlineLevel="1">
      <c r="A90" s="21" t="s">
        <v>277</v>
      </c>
      <c r="B90" s="20">
        <f>B40-B12</f>
        <v>2012.2657834103957</v>
      </c>
      <c r="C90" s="20">
        <f>C40-C12</f>
        <v>2016.0201367132777</v>
      </c>
      <c r="D90" s="20">
        <f>D40-D12</f>
        <v>2193.0998445237783</v>
      </c>
      <c r="E90" s="20">
        <f t="shared" ref="E90:U90" si="23">E40</f>
        <v>17130.632214469799</v>
      </c>
      <c r="F90" s="20">
        <f t="shared" si="23"/>
        <v>19473.336483806939</v>
      </c>
      <c r="G90" s="20">
        <f t="shared" si="23"/>
        <v>20365.20783182032</v>
      </c>
      <c r="H90" s="20">
        <f t="shared" si="23"/>
        <v>21410.954977850375</v>
      </c>
      <c r="I90" s="20">
        <f t="shared" si="23"/>
        <v>22487.094135392923</v>
      </c>
      <c r="J90" s="20">
        <f t="shared" si="23"/>
        <v>23707.521319342442</v>
      </c>
      <c r="K90" s="20">
        <f t="shared" si="23"/>
        <v>25010.213251614245</v>
      </c>
      <c r="L90" s="20">
        <f t="shared" si="23"/>
        <v>26630.716424216847</v>
      </c>
      <c r="M90" s="20">
        <f t="shared" si="23"/>
        <v>28340.192460635059</v>
      </c>
      <c r="N90" s="20">
        <f t="shared" si="23"/>
        <v>29755.492795099286</v>
      </c>
      <c r="O90" s="20">
        <f t="shared" si="23"/>
        <v>31515.726341253197</v>
      </c>
      <c r="P90" s="20">
        <f t="shared" si="23"/>
        <v>32860.545931948778</v>
      </c>
      <c r="Q90" s="20">
        <f t="shared" si="23"/>
        <v>35040.05780580188</v>
      </c>
      <c r="R90" s="20">
        <f t="shared" si="23"/>
        <v>36699.616675596117</v>
      </c>
      <c r="S90" s="20">
        <f t="shared" si="23"/>
        <v>38307.195165822181</v>
      </c>
      <c r="T90" s="20">
        <f t="shared" si="23"/>
        <v>39782.793285513137</v>
      </c>
      <c r="U90" s="20">
        <f t="shared" si="23"/>
        <v>41263.641895142027</v>
      </c>
      <c r="W90" s="424">
        <f>SUM(B90:U90)</f>
        <v>496002.32475997292</v>
      </c>
    </row>
    <row r="91" spans="1:44" outlineLevel="1">
      <c r="A91" s="21" t="s">
        <v>133</v>
      </c>
      <c r="B91" s="20">
        <f>B34</f>
        <v>6322.1073648652764</v>
      </c>
      <c r="C91" s="20">
        <f t="shared" ref="C91:U91" si="24">C34</f>
        <v>6322.1073648652764</v>
      </c>
      <c r="D91" s="20">
        <f t="shared" si="24"/>
        <v>6322.1073648652764</v>
      </c>
      <c r="E91" s="20">
        <f t="shared" si="24"/>
        <v>6322.1073648652764</v>
      </c>
      <c r="F91" s="20">
        <f t="shared" si="24"/>
        <v>6322.1073648652764</v>
      </c>
      <c r="G91" s="20">
        <f t="shared" si="24"/>
        <v>6322.1073648652764</v>
      </c>
      <c r="H91" s="20">
        <f t="shared" si="24"/>
        <v>6322.1073648652764</v>
      </c>
      <c r="I91" s="20">
        <f t="shared" si="24"/>
        <v>6322.1073648652764</v>
      </c>
      <c r="J91" s="20">
        <f t="shared" si="24"/>
        <v>6322.1073648652764</v>
      </c>
      <c r="K91" s="20">
        <f t="shared" si="24"/>
        <v>6322.1073648652764</v>
      </c>
      <c r="L91" s="20">
        <f t="shared" si="24"/>
        <v>6322.1073648652764</v>
      </c>
      <c r="M91" s="20">
        <f t="shared" si="24"/>
        <v>6322.1073648652764</v>
      </c>
      <c r="N91" s="20">
        <f t="shared" si="24"/>
        <v>6322.1073648652764</v>
      </c>
      <c r="O91" s="20">
        <f t="shared" si="24"/>
        <v>6322.1073648652764</v>
      </c>
      <c r="P91" s="20">
        <f t="shared" si="24"/>
        <v>6322.1073648652764</v>
      </c>
      <c r="Q91" s="20">
        <f t="shared" si="24"/>
        <v>6322.1073648652764</v>
      </c>
      <c r="R91" s="20">
        <f t="shared" si="24"/>
        <v>6322.1073648652764</v>
      </c>
      <c r="S91" s="20">
        <f t="shared" si="24"/>
        <v>6322.1073648652764</v>
      </c>
      <c r="T91" s="20">
        <f t="shared" si="24"/>
        <v>6322.1073648652764</v>
      </c>
      <c r="U91" s="20">
        <f t="shared" si="24"/>
        <v>6322.1073648652764</v>
      </c>
      <c r="W91" s="424">
        <f>SUM(B91:U91)</f>
        <v>126442.14729730556</v>
      </c>
    </row>
    <row r="92" spans="1:44" ht="15" outlineLevel="1">
      <c r="A92" s="21" t="s">
        <v>203</v>
      </c>
      <c r="B92" s="230">
        <f>-Depreciation!C87</f>
        <v>-9181.0655130268733</v>
      </c>
      <c r="C92" s="230">
        <f>-Depreciation!D87</f>
        <v>-17444.024474751059</v>
      </c>
      <c r="D92" s="230">
        <f>-Depreciation!E87</f>
        <v>-15699.622027275955</v>
      </c>
      <c r="E92" s="230">
        <f>-Depreciation!F87</f>
        <v>-14138.840890061385</v>
      </c>
      <c r="F92" s="230">
        <f>-Depreciation!G87</f>
        <v>-12724.956801055247</v>
      </c>
      <c r="G92" s="230">
        <f>-Depreciation!H87</f>
        <v>-11439.607629231485</v>
      </c>
      <c r="H92" s="230">
        <f>-Depreciation!I87</f>
        <v>-10833.657305371709</v>
      </c>
      <c r="I92" s="230">
        <f>-Depreciation!J87</f>
        <v>-10852.019436397764</v>
      </c>
      <c r="J92" s="230">
        <f>-Depreciation!K87</f>
        <v>-10833.657305371709</v>
      </c>
      <c r="K92" s="230">
        <f>-Depreciation!L87</f>
        <v>-10852.019436397764</v>
      </c>
      <c r="L92" s="230">
        <f>-Depreciation!M87</f>
        <v>-10833.657305371709</v>
      </c>
      <c r="M92" s="230">
        <f>-Depreciation!N87</f>
        <v>-10852.019436397764</v>
      </c>
      <c r="N92" s="230">
        <f>-Depreciation!O87</f>
        <v>-10833.657305371709</v>
      </c>
      <c r="O92" s="230">
        <f>-Depreciation!P87</f>
        <v>-10852.019436397764</v>
      </c>
      <c r="P92" s="230">
        <f>-Depreciation!Q87</f>
        <v>-10833.657305371709</v>
      </c>
      <c r="Q92" s="230">
        <f>-Depreciation!R87</f>
        <v>-5416.8286526858546</v>
      </c>
      <c r="R92" s="230">
        <f>-Depreciation!S87</f>
        <v>0</v>
      </c>
      <c r="S92" s="230">
        <f>-Depreciation!T87</f>
        <v>0</v>
      </c>
      <c r="T92" s="230">
        <f>-Depreciation!U87</f>
        <v>0</v>
      </c>
      <c r="U92" s="230">
        <f>-Depreciation!V87</f>
        <v>0</v>
      </c>
      <c r="W92" s="425">
        <f>SUM(B92:U92)</f>
        <v>-183621.31026053749</v>
      </c>
    </row>
    <row r="93" spans="1:44" outlineLevel="1">
      <c r="A93" s="229" t="s">
        <v>132</v>
      </c>
      <c r="B93" s="22">
        <f t="shared" ref="B93:U93" si="25">SUM(B90:B92)</f>
        <v>-846.69236475120124</v>
      </c>
      <c r="C93" s="22">
        <f t="shared" si="25"/>
        <v>-9105.8969731725047</v>
      </c>
      <c r="D93" s="22">
        <f t="shared" si="25"/>
        <v>-7184.4148178869</v>
      </c>
      <c r="E93" s="22">
        <f t="shared" si="25"/>
        <v>9313.8986892736884</v>
      </c>
      <c r="F93" s="22">
        <f t="shared" si="25"/>
        <v>13070.487047616967</v>
      </c>
      <c r="G93" s="22">
        <f t="shared" si="25"/>
        <v>15247.70756745411</v>
      </c>
      <c r="H93" s="22">
        <f t="shared" si="25"/>
        <v>16899.405037343946</v>
      </c>
      <c r="I93" s="22">
        <f t="shared" si="25"/>
        <v>17957.182063860433</v>
      </c>
      <c r="J93" s="22">
        <f t="shared" si="25"/>
        <v>19195.97137883601</v>
      </c>
      <c r="K93" s="22">
        <f t="shared" si="25"/>
        <v>20480.301180081755</v>
      </c>
      <c r="L93" s="22">
        <f t="shared" si="25"/>
        <v>22119.166483710418</v>
      </c>
      <c r="M93" s="22">
        <f t="shared" si="25"/>
        <v>23810.280389102569</v>
      </c>
      <c r="N93" s="22">
        <f t="shared" si="25"/>
        <v>25243.942854592853</v>
      </c>
      <c r="O93" s="22">
        <f t="shared" si="25"/>
        <v>26985.814269720708</v>
      </c>
      <c r="P93" s="22">
        <f t="shared" si="25"/>
        <v>28348.995991442345</v>
      </c>
      <c r="Q93" s="22">
        <f t="shared" si="25"/>
        <v>35945.336517981297</v>
      </c>
      <c r="R93" s="22">
        <f t="shared" si="25"/>
        <v>43021.724040461391</v>
      </c>
      <c r="S93" s="22">
        <f t="shared" si="25"/>
        <v>44629.302530687455</v>
      </c>
      <c r="T93" s="22">
        <f t="shared" si="25"/>
        <v>46104.900650378411</v>
      </c>
      <c r="U93" s="22">
        <f t="shared" si="25"/>
        <v>47585.749260007302</v>
      </c>
      <c r="W93" s="424">
        <f>SUM(B93:U93)</f>
        <v>438823.16179674113</v>
      </c>
    </row>
    <row r="94" spans="1:44" outlineLevel="1">
      <c r="A94" s="21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44" outlineLevel="1">
      <c r="A95" s="21" t="s">
        <v>39</v>
      </c>
      <c r="B95" s="422">
        <f>Assumptions!$G$39</f>
        <v>0.06</v>
      </c>
      <c r="C95" s="422">
        <f>Assumptions!$G$39</f>
        <v>0.06</v>
      </c>
      <c r="D95" s="422">
        <f>Assumptions!$G$39</f>
        <v>0.06</v>
      </c>
      <c r="E95" s="422">
        <f>Assumptions!$G$39</f>
        <v>0.06</v>
      </c>
      <c r="F95" s="422">
        <f>Assumptions!$G$39</f>
        <v>0.06</v>
      </c>
      <c r="G95" s="422">
        <f>Assumptions!$G$39</f>
        <v>0.06</v>
      </c>
      <c r="H95" s="422">
        <f>Assumptions!$G$39</f>
        <v>0.06</v>
      </c>
      <c r="I95" s="422">
        <f>Assumptions!$G$39</f>
        <v>0.06</v>
      </c>
      <c r="J95" s="422">
        <f>Assumptions!$G$39</f>
        <v>0.06</v>
      </c>
      <c r="K95" s="422">
        <f>Assumptions!$G$39</f>
        <v>0.06</v>
      </c>
      <c r="L95" s="422">
        <f>Assumptions!$G$39</f>
        <v>0.06</v>
      </c>
      <c r="M95" s="422">
        <f>Assumptions!$G$39</f>
        <v>0.06</v>
      </c>
      <c r="N95" s="422">
        <f>Assumptions!$G$39</f>
        <v>0.06</v>
      </c>
      <c r="O95" s="422">
        <f>Assumptions!$G$39</f>
        <v>0.06</v>
      </c>
      <c r="P95" s="422">
        <f>Assumptions!$G$39</f>
        <v>0.06</v>
      </c>
      <c r="Q95" s="422">
        <f>Assumptions!$G$39</f>
        <v>0.06</v>
      </c>
      <c r="R95" s="422">
        <f>Assumptions!$G$39</f>
        <v>0.06</v>
      </c>
      <c r="S95" s="422">
        <f>Assumptions!$G$39</f>
        <v>0.06</v>
      </c>
      <c r="T95" s="422">
        <f>Assumptions!$G$39</f>
        <v>0.06</v>
      </c>
      <c r="U95" s="422">
        <f>Assumptions!$G$39</f>
        <v>0.06</v>
      </c>
    </row>
    <row r="96" spans="1:44" outlineLevel="1">
      <c r="A96" s="21" t="s">
        <v>134</v>
      </c>
      <c r="B96" s="20">
        <f>B93*B95</f>
        <v>-50.801541885072069</v>
      </c>
      <c r="C96" s="20">
        <f t="shared" ref="C96:U96" si="26">C93*C95</f>
        <v>-546.35381839035028</v>
      </c>
      <c r="D96" s="20">
        <f t="shared" si="26"/>
        <v>-431.06488907321398</v>
      </c>
      <c r="E96" s="20">
        <f t="shared" si="26"/>
        <v>558.83392135642123</v>
      </c>
      <c r="F96" s="20">
        <f t="shared" si="26"/>
        <v>784.22922285701804</v>
      </c>
      <c r="G96" s="20">
        <f t="shared" si="26"/>
        <v>914.86245404724662</v>
      </c>
      <c r="H96" s="20">
        <f t="shared" si="26"/>
        <v>1013.9643022406367</v>
      </c>
      <c r="I96" s="20">
        <f t="shared" si="26"/>
        <v>1077.4309238316259</v>
      </c>
      <c r="J96" s="20">
        <f t="shared" si="26"/>
        <v>1151.7582827301605</v>
      </c>
      <c r="K96" s="20">
        <f t="shared" si="26"/>
        <v>1228.8180708049053</v>
      </c>
      <c r="L96" s="20">
        <f t="shared" si="26"/>
        <v>1327.149989022625</v>
      </c>
      <c r="M96" s="20">
        <f t="shared" si="26"/>
        <v>1428.616823346154</v>
      </c>
      <c r="N96" s="20">
        <f t="shared" si="26"/>
        <v>1514.6365712755712</v>
      </c>
      <c r="O96" s="20">
        <f t="shared" si="26"/>
        <v>1619.1488561832423</v>
      </c>
      <c r="P96" s="20">
        <f t="shared" si="26"/>
        <v>1700.9397594865407</v>
      </c>
      <c r="Q96" s="20">
        <f t="shared" si="26"/>
        <v>2156.7201910788776</v>
      </c>
      <c r="R96" s="20">
        <f t="shared" si="26"/>
        <v>2581.3034424276834</v>
      </c>
      <c r="S96" s="20">
        <f t="shared" si="26"/>
        <v>2677.7581518412471</v>
      </c>
      <c r="T96" s="20">
        <f t="shared" si="26"/>
        <v>2766.2940390227045</v>
      </c>
      <c r="U96" s="20">
        <f t="shared" si="26"/>
        <v>2855.1449556004382</v>
      </c>
    </row>
    <row r="97" spans="1:23" outlineLevel="1">
      <c r="A97" s="21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</row>
    <row r="98" spans="1:23" outlineLevel="1">
      <c r="A98" s="21" t="s">
        <v>135</v>
      </c>
      <c r="B98" s="20">
        <v>0</v>
      </c>
      <c r="C98" s="20">
        <f t="shared" ref="C98:U98" si="27">B102</f>
        <v>50.801541885072069</v>
      </c>
      <c r="D98" s="20">
        <f t="shared" si="27"/>
        <v>597.15536027542237</v>
      </c>
      <c r="E98" s="20">
        <f t="shared" si="27"/>
        <v>1028.2202493486363</v>
      </c>
      <c r="F98" s="20">
        <f t="shared" si="27"/>
        <v>469.38632799221512</v>
      </c>
      <c r="G98" s="20">
        <f t="shared" si="27"/>
        <v>0</v>
      </c>
      <c r="H98" s="20">
        <f t="shared" si="27"/>
        <v>0</v>
      </c>
      <c r="I98" s="20">
        <f t="shared" si="27"/>
        <v>0</v>
      </c>
      <c r="J98" s="20">
        <f t="shared" si="27"/>
        <v>0</v>
      </c>
      <c r="K98" s="20">
        <f t="shared" si="27"/>
        <v>0</v>
      </c>
      <c r="L98" s="20">
        <f t="shared" si="27"/>
        <v>0</v>
      </c>
      <c r="M98" s="20">
        <f t="shared" si="27"/>
        <v>0</v>
      </c>
      <c r="N98" s="20">
        <f>M102</f>
        <v>0</v>
      </c>
      <c r="O98" s="20">
        <f t="shared" si="27"/>
        <v>0</v>
      </c>
      <c r="P98" s="20">
        <f t="shared" si="27"/>
        <v>0</v>
      </c>
      <c r="Q98" s="20">
        <f t="shared" si="27"/>
        <v>0</v>
      </c>
      <c r="R98" s="20">
        <v>0</v>
      </c>
      <c r="S98" s="20">
        <f t="shared" si="27"/>
        <v>0</v>
      </c>
      <c r="T98" s="20">
        <f t="shared" si="27"/>
        <v>0</v>
      </c>
      <c r="U98" s="20">
        <f t="shared" si="27"/>
        <v>0</v>
      </c>
    </row>
    <row r="99" spans="1:23" outlineLevel="1">
      <c r="A99" s="21" t="s">
        <v>136</v>
      </c>
      <c r="B99" s="241">
        <f t="shared" ref="B99:U99" si="28">IF(B69&gt;2020,0,IF(B96&lt;0,-B96,0))</f>
        <v>50.801541885072069</v>
      </c>
      <c r="C99" s="241">
        <f t="shared" si="28"/>
        <v>546.35381839035028</v>
      </c>
      <c r="D99" s="241">
        <f t="shared" si="28"/>
        <v>431.06488907321398</v>
      </c>
      <c r="E99" s="241">
        <f t="shared" si="28"/>
        <v>0</v>
      </c>
      <c r="F99" s="241">
        <f t="shared" si="28"/>
        <v>0</v>
      </c>
      <c r="G99" s="241">
        <f t="shared" si="28"/>
        <v>0</v>
      </c>
      <c r="H99" s="241">
        <f t="shared" si="28"/>
        <v>0</v>
      </c>
      <c r="I99" s="241">
        <f t="shared" si="28"/>
        <v>0</v>
      </c>
      <c r="J99" s="241">
        <f t="shared" si="28"/>
        <v>0</v>
      </c>
      <c r="K99" s="241">
        <f t="shared" si="28"/>
        <v>0</v>
      </c>
      <c r="L99" s="241">
        <f t="shared" si="28"/>
        <v>0</v>
      </c>
      <c r="M99" s="241">
        <f t="shared" si="28"/>
        <v>0</v>
      </c>
      <c r="N99" s="241">
        <f t="shared" si="28"/>
        <v>0</v>
      </c>
      <c r="O99" s="241">
        <f t="shared" si="28"/>
        <v>0</v>
      </c>
      <c r="P99" s="241">
        <f t="shared" si="28"/>
        <v>0</v>
      </c>
      <c r="Q99" s="241">
        <f t="shared" si="28"/>
        <v>0</v>
      </c>
      <c r="R99" s="241">
        <f t="shared" si="28"/>
        <v>0</v>
      </c>
      <c r="S99" s="241">
        <f t="shared" si="28"/>
        <v>0</v>
      </c>
      <c r="T99" s="241">
        <f t="shared" si="28"/>
        <v>0</v>
      </c>
      <c r="U99" s="241">
        <f t="shared" si="28"/>
        <v>0</v>
      </c>
    </row>
    <row r="100" spans="1:23" outlineLevel="1">
      <c r="A100" s="21" t="s">
        <v>137</v>
      </c>
      <c r="B100" s="231">
        <v>0</v>
      </c>
      <c r="C100" s="231">
        <v>0</v>
      </c>
      <c r="D100" s="231">
        <v>0</v>
      </c>
      <c r="E100" s="231">
        <v>0</v>
      </c>
      <c r="F100" s="231">
        <v>0</v>
      </c>
      <c r="G100" s="231">
        <v>0</v>
      </c>
      <c r="H100" s="231">
        <v>0</v>
      </c>
      <c r="I100" s="231">
        <v>0</v>
      </c>
      <c r="J100" s="231">
        <v>0</v>
      </c>
      <c r="K100" s="231">
        <v>0</v>
      </c>
      <c r="L100" s="231">
        <v>0</v>
      </c>
      <c r="M100" s="231">
        <v>0</v>
      </c>
      <c r="N100" s="231">
        <v>0</v>
      </c>
      <c r="O100" s="231">
        <v>0</v>
      </c>
      <c r="P100" s="231">
        <v>0</v>
      </c>
      <c r="Q100" s="231">
        <v>0</v>
      </c>
      <c r="R100" s="231">
        <v>0</v>
      </c>
      <c r="S100" s="231">
        <v>0</v>
      </c>
      <c r="T100" s="20">
        <f>IF(L99&gt;(SUM(M101:S101)+SUM(L100:S100))*-1,L99-(SUM(L101:S101)+SUM(L100:S100))*-1,0)</f>
        <v>0</v>
      </c>
      <c r="U100" s="20">
        <f>IF(M99&gt;(SUM(N101:T101)+SUM(M100:T100))*-1,M99-(SUM(M101:T101)+SUM(M100:T100))*-1,0)</f>
        <v>0</v>
      </c>
    </row>
    <row r="101" spans="1:23" outlineLevel="1">
      <c r="A101" s="17" t="s">
        <v>138</v>
      </c>
      <c r="B101" s="232">
        <f t="shared" ref="B101:T101" si="29">IF(B96&lt;0,0,IF(B98&gt;B96,-B96,-B98))</f>
        <v>0</v>
      </c>
      <c r="C101" s="232">
        <f t="shared" si="29"/>
        <v>0</v>
      </c>
      <c r="D101" s="232">
        <f t="shared" si="29"/>
        <v>0</v>
      </c>
      <c r="E101" s="232">
        <f t="shared" si="29"/>
        <v>-558.83392135642123</v>
      </c>
      <c r="F101" s="232">
        <f t="shared" si="29"/>
        <v>-469.38632799221512</v>
      </c>
      <c r="G101" s="232">
        <f t="shared" si="29"/>
        <v>0</v>
      </c>
      <c r="H101" s="232">
        <f t="shared" si="29"/>
        <v>0</v>
      </c>
      <c r="I101" s="232">
        <f t="shared" si="29"/>
        <v>0</v>
      </c>
      <c r="J101" s="232">
        <f t="shared" si="29"/>
        <v>0</v>
      </c>
      <c r="K101" s="232">
        <f t="shared" si="29"/>
        <v>0</v>
      </c>
      <c r="L101" s="232">
        <f t="shared" si="29"/>
        <v>0</v>
      </c>
      <c r="M101" s="232">
        <f t="shared" si="29"/>
        <v>0</v>
      </c>
      <c r="N101" s="232">
        <f t="shared" si="29"/>
        <v>0</v>
      </c>
      <c r="O101" s="232">
        <f t="shared" si="29"/>
        <v>0</v>
      </c>
      <c r="P101" s="232">
        <f t="shared" si="29"/>
        <v>0</v>
      </c>
      <c r="Q101" s="232">
        <f t="shared" si="29"/>
        <v>0</v>
      </c>
      <c r="R101" s="232">
        <f t="shared" si="29"/>
        <v>0</v>
      </c>
      <c r="S101" s="232">
        <f t="shared" si="29"/>
        <v>0</v>
      </c>
      <c r="T101" s="232">
        <f t="shared" si="29"/>
        <v>0</v>
      </c>
      <c r="U101" s="232">
        <f>IF(U96&lt;0,0,IF(U98&gt;U96,-U96,-U98))</f>
        <v>0</v>
      </c>
    </row>
    <row r="102" spans="1:23" outlineLevel="1">
      <c r="A102" s="17" t="s">
        <v>139</v>
      </c>
      <c r="B102" s="232">
        <f t="shared" ref="B102:U102" si="30">SUM(B98:B101)</f>
        <v>50.801541885072069</v>
      </c>
      <c r="C102" s="232">
        <f t="shared" si="30"/>
        <v>597.15536027542237</v>
      </c>
      <c r="D102" s="232">
        <f t="shared" si="30"/>
        <v>1028.2202493486363</v>
      </c>
      <c r="E102" s="232">
        <f t="shared" si="30"/>
        <v>469.38632799221512</v>
      </c>
      <c r="F102" s="232">
        <f t="shared" si="30"/>
        <v>0</v>
      </c>
      <c r="G102" s="232">
        <f t="shared" si="30"/>
        <v>0</v>
      </c>
      <c r="H102" s="232">
        <f t="shared" si="30"/>
        <v>0</v>
      </c>
      <c r="I102" s="232">
        <f t="shared" si="30"/>
        <v>0</v>
      </c>
      <c r="J102" s="232">
        <f t="shared" si="30"/>
        <v>0</v>
      </c>
      <c r="K102" s="232">
        <f t="shared" si="30"/>
        <v>0</v>
      </c>
      <c r="L102" s="232">
        <f t="shared" si="30"/>
        <v>0</v>
      </c>
      <c r="M102" s="232">
        <f t="shared" si="30"/>
        <v>0</v>
      </c>
      <c r="N102" s="232">
        <f t="shared" si="30"/>
        <v>0</v>
      </c>
      <c r="O102" s="232">
        <f t="shared" si="30"/>
        <v>0</v>
      </c>
      <c r="P102" s="232">
        <f t="shared" si="30"/>
        <v>0</v>
      </c>
      <c r="Q102" s="232">
        <f t="shared" si="30"/>
        <v>0</v>
      </c>
      <c r="R102" s="232">
        <f t="shared" si="30"/>
        <v>0</v>
      </c>
      <c r="S102" s="232">
        <f t="shared" si="30"/>
        <v>0</v>
      </c>
      <c r="T102" s="232">
        <f t="shared" si="30"/>
        <v>0</v>
      </c>
      <c r="U102" s="232">
        <f t="shared" si="30"/>
        <v>0</v>
      </c>
    </row>
    <row r="103" spans="1:23" outlineLevel="1">
      <c r="A103" s="17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</row>
    <row r="104" spans="1:23" ht="13.5" outlineLevel="1" thickBot="1">
      <c r="A104" s="32" t="s">
        <v>131</v>
      </c>
      <c r="B104" s="330">
        <f t="shared" ref="B104:U104" si="31">IF(B96&lt;0,0,B96+B101)</f>
        <v>0</v>
      </c>
      <c r="C104" s="330">
        <f t="shared" si="31"/>
        <v>0</v>
      </c>
      <c r="D104" s="330">
        <f t="shared" si="31"/>
        <v>0</v>
      </c>
      <c r="E104" s="330">
        <f t="shared" si="31"/>
        <v>0</v>
      </c>
      <c r="F104" s="330">
        <f t="shared" si="31"/>
        <v>314.84289486480293</v>
      </c>
      <c r="G104" s="330">
        <f t="shared" si="31"/>
        <v>914.86245404724662</v>
      </c>
      <c r="H104" s="330">
        <f t="shared" si="31"/>
        <v>1013.9643022406367</v>
      </c>
      <c r="I104" s="330">
        <f t="shared" si="31"/>
        <v>1077.4309238316259</v>
      </c>
      <c r="J104" s="330">
        <f t="shared" si="31"/>
        <v>1151.7582827301605</v>
      </c>
      <c r="K104" s="330">
        <f t="shared" si="31"/>
        <v>1228.8180708049053</v>
      </c>
      <c r="L104" s="330">
        <f t="shared" si="31"/>
        <v>1327.149989022625</v>
      </c>
      <c r="M104" s="330">
        <f t="shared" si="31"/>
        <v>1428.616823346154</v>
      </c>
      <c r="N104" s="330">
        <f t="shared" si="31"/>
        <v>1514.6365712755712</v>
      </c>
      <c r="O104" s="330">
        <f t="shared" si="31"/>
        <v>1619.1488561832423</v>
      </c>
      <c r="P104" s="330">
        <f t="shared" si="31"/>
        <v>1700.9397594865407</v>
      </c>
      <c r="Q104" s="330">
        <f t="shared" si="31"/>
        <v>2156.7201910788776</v>
      </c>
      <c r="R104" s="330">
        <f t="shared" si="31"/>
        <v>2581.3034424276834</v>
      </c>
      <c r="S104" s="330">
        <f t="shared" si="31"/>
        <v>2677.7581518412471</v>
      </c>
      <c r="T104" s="330">
        <f t="shared" si="31"/>
        <v>2766.2940390227045</v>
      </c>
      <c r="U104" s="330">
        <f t="shared" si="31"/>
        <v>2855.1449556004382</v>
      </c>
      <c r="W104" s="424">
        <f>SUM(B104:U104)</f>
        <v>26329.389707804461</v>
      </c>
    </row>
    <row r="105" spans="1:23" outlineLevel="1">
      <c r="A105" s="7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59"/>
      <c r="M105" s="59"/>
      <c r="N105" s="59"/>
      <c r="O105" s="59"/>
      <c r="P105" s="59"/>
      <c r="Q105" s="59"/>
      <c r="R105" s="59"/>
      <c r="S105" s="59"/>
      <c r="T105" s="59"/>
      <c r="U105" s="59"/>
    </row>
    <row r="106" spans="1:23" outlineLevel="1">
      <c r="A106" s="7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59"/>
      <c r="M106" s="59"/>
      <c r="N106" s="59"/>
      <c r="O106" s="59"/>
      <c r="P106" s="59"/>
      <c r="Q106" s="59"/>
      <c r="R106" s="59"/>
      <c r="S106" s="59"/>
      <c r="T106" s="59"/>
      <c r="U106" s="59"/>
    </row>
    <row r="107" spans="1:23" ht="14.25" outlineLevel="1">
      <c r="A107" s="75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59"/>
      <c r="M107" s="59"/>
      <c r="N107" s="59"/>
      <c r="O107" s="59"/>
      <c r="P107" s="59"/>
      <c r="Q107" s="59"/>
      <c r="R107" s="59"/>
      <c r="S107" s="59"/>
      <c r="T107" s="59"/>
      <c r="U107" s="59"/>
    </row>
    <row r="108" spans="1:23" outlineLevel="1">
      <c r="A108" s="524"/>
      <c r="B108" s="524"/>
      <c r="C108" s="524"/>
      <c r="D108" s="524"/>
      <c r="E108" s="524"/>
      <c r="F108" s="524"/>
      <c r="G108" s="524"/>
      <c r="H108" s="524"/>
      <c r="I108" s="524"/>
      <c r="J108" s="524"/>
      <c r="K108" s="524"/>
      <c r="L108" s="524"/>
      <c r="M108" s="524"/>
      <c r="N108" s="524"/>
      <c r="O108" s="524"/>
      <c r="P108" s="524"/>
      <c r="Q108" s="524"/>
      <c r="R108" s="524"/>
      <c r="S108" s="524"/>
      <c r="T108" s="524"/>
      <c r="U108" s="524"/>
    </row>
    <row r="109" spans="1:23" outlineLevel="1">
      <c r="A109" s="78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</row>
    <row r="110" spans="1:23" outlineLevel="1">
      <c r="A110" s="527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</row>
    <row r="111" spans="1:23" outlineLevel="1">
      <c r="A111" s="528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</row>
    <row r="112" spans="1:23" outlineLevel="1">
      <c r="A112" s="7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</row>
    <row r="113" spans="1:21" outlineLevel="1">
      <c r="A113" s="7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</row>
    <row r="114" spans="1:21" outlineLevel="1">
      <c r="A114" s="7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</row>
    <row r="115" spans="1:21" outlineLevel="1">
      <c r="A115" s="7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</row>
    <row r="116" spans="1:21" outlineLevel="1">
      <c r="A116" s="80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</row>
    <row r="117" spans="1:21" outlineLevel="1">
      <c r="A117" s="82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</row>
    <row r="118" spans="1:21" outlineLevel="1">
      <c r="A118" s="7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</row>
    <row r="119" spans="1:21" outlineLevel="1">
      <c r="A119" s="82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</row>
    <row r="120" spans="1:21" outlineLevel="1">
      <c r="A120" s="7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</row>
    <row r="121" spans="1:21" outlineLevel="1">
      <c r="A121" s="7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</row>
    <row r="122" spans="1:21" outlineLevel="1">
      <c r="A122" s="7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</row>
    <row r="123" spans="1:21" outlineLevel="1">
      <c r="A123" s="82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</row>
    <row r="124" spans="1:21" outlineLevel="1">
      <c r="A124" s="78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</row>
    <row r="125" spans="1:21" outlineLevel="1">
      <c r="A125" s="80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</row>
    <row r="126" spans="1:21" outlineLevel="1">
      <c r="A126" s="80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</row>
    <row r="127" spans="1:21" ht="15" customHeight="1" outlineLevel="1">
      <c r="A127" s="80"/>
      <c r="B127" s="69"/>
      <c r="C127" s="6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</row>
    <row r="128" spans="1:21" outlineLevel="1">
      <c r="A128" s="80"/>
      <c r="B128" s="69"/>
      <c r="C128" s="6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</row>
    <row r="129" spans="1:21" ht="14.25" customHeight="1" outlineLevel="1">
      <c r="A129" s="80"/>
      <c r="B129" s="69"/>
      <c r="C129" s="6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</row>
    <row r="130" spans="1:21" outlineLevel="1">
      <c r="A130" s="80"/>
      <c r="B130" s="69"/>
      <c r="C130" s="6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</row>
    <row r="131" spans="1:21" outlineLevel="1">
      <c r="A131" s="80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</row>
    <row r="132" spans="1:21" outlineLevel="1">
      <c r="A132" s="83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</row>
    <row r="133" spans="1:21" outlineLevel="1">
      <c r="A133" s="83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</row>
    <row r="134" spans="1:21" outlineLevel="1">
      <c r="A134" s="83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</row>
    <row r="135" spans="1:21" outlineLevel="1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</row>
    <row r="136" spans="1:21" outlineLevel="1">
      <c r="A136" s="7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</row>
    <row r="137" spans="1:21" outlineLevel="1">
      <c r="A137" s="7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</row>
    <row r="138" spans="1:21" outlineLevel="1">
      <c r="A138" s="7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</row>
    <row r="139" spans="1:21" ht="18.75" outlineLevel="1">
      <c r="A139" s="84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</row>
    <row r="140" spans="1:21" outlineLevel="1">
      <c r="A140" s="57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</row>
    <row r="141" spans="1:21" outlineLevel="1">
      <c r="A141" s="57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</row>
    <row r="142" spans="1:21" outlineLevel="1">
      <c r="A142" s="7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</row>
    <row r="143" spans="1:21" outlineLevel="1">
      <c r="A143" s="7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</row>
    <row r="144" spans="1:21" outlineLevel="1">
      <c r="A144" s="2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</row>
    <row r="145" spans="1:21" outlineLevel="1">
      <c r="A145" s="80"/>
      <c r="B145" s="69"/>
      <c r="C145" s="6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</row>
    <row r="146" spans="1:21" outlineLevel="1">
      <c r="A146" s="79"/>
      <c r="B146" s="69"/>
      <c r="C146" s="6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</row>
    <row r="147" spans="1:21" outlineLevel="1">
      <c r="A147" s="79"/>
      <c r="B147" s="69"/>
      <c r="C147" s="6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</row>
    <row r="148" spans="1:21" outlineLevel="1">
      <c r="A148" s="78"/>
      <c r="B148" s="69"/>
      <c r="C148" s="6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</row>
    <row r="149" spans="1:21" outlineLevel="1">
      <c r="A149" s="69"/>
      <c r="B149" s="69"/>
      <c r="C149" s="6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</row>
    <row r="150" spans="1:21" outlineLevel="1">
      <c r="A150" s="80"/>
      <c r="B150" s="69"/>
      <c r="C150" s="6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</row>
    <row r="151" spans="1:21" outlineLevel="1">
      <c r="A151" s="79"/>
      <c r="B151" s="69"/>
      <c r="C151" s="6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</row>
    <row r="152" spans="1:21" outlineLevel="1">
      <c r="A152" s="79"/>
      <c r="B152" s="69"/>
      <c r="C152" s="6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</row>
    <row r="153" spans="1:21" outlineLevel="1">
      <c r="A153" s="79"/>
      <c r="B153" s="69"/>
      <c r="C153" s="6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</row>
    <row r="154" spans="1:21" outlineLevel="1">
      <c r="A154" s="79"/>
      <c r="B154" s="69"/>
      <c r="C154" s="6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</row>
    <row r="155" spans="1:21" outlineLevel="1">
      <c r="A155" s="69"/>
      <c r="B155" s="69"/>
      <c r="C155" s="6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</row>
    <row r="156" spans="1:21" outlineLevel="1">
      <c r="A156" s="80"/>
      <c r="B156" s="69"/>
      <c r="C156" s="6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</row>
    <row r="157" spans="1:21" outlineLevel="1">
      <c r="A157" s="69"/>
      <c r="B157" s="69"/>
      <c r="C157" s="6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</row>
    <row r="158" spans="1:21" outlineLevel="1">
      <c r="A158" s="80"/>
      <c r="B158" s="69"/>
      <c r="C158" s="6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</row>
    <row r="159" spans="1:21" outlineLevel="1">
      <c r="A159" s="79"/>
      <c r="B159" s="69"/>
      <c r="C159" s="6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</row>
    <row r="160" spans="1:21" outlineLevel="1">
      <c r="A160" s="80"/>
      <c r="B160" s="69"/>
      <c r="C160" s="6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</row>
    <row r="161" spans="1:21" outlineLevel="1">
      <c r="A161" s="82"/>
      <c r="B161" s="69"/>
      <c r="C161" s="6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</row>
    <row r="162" spans="1:21" outlineLevel="1">
      <c r="A162" s="79"/>
      <c r="B162" s="69"/>
      <c r="C162" s="6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</row>
    <row r="163" spans="1:21" outlineLevel="1">
      <c r="A163" s="78"/>
      <c r="B163" s="69"/>
      <c r="C163" s="6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</row>
    <row r="164" spans="1:21" outlineLevel="1">
      <c r="A164" s="79"/>
      <c r="B164" s="69"/>
      <c r="C164" s="6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</row>
    <row r="165" spans="1:21" outlineLevel="1">
      <c r="A165" s="78"/>
      <c r="B165" s="69"/>
      <c r="C165" s="6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</row>
    <row r="166" spans="1:21" outlineLevel="1">
      <c r="A166" s="79"/>
      <c r="B166" s="69"/>
      <c r="C166" s="6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</row>
    <row r="167" spans="1:21" outlineLevel="1">
      <c r="A167" s="79"/>
      <c r="B167" s="69"/>
      <c r="C167" s="6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</row>
    <row r="168" spans="1:21" outlineLevel="1">
      <c r="A168" s="79"/>
      <c r="B168" s="69"/>
      <c r="C168" s="6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</row>
    <row r="169" spans="1:21" outlineLevel="1">
      <c r="A169" s="79"/>
      <c r="B169" s="69"/>
      <c r="C169" s="6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</row>
    <row r="170" spans="1:21" outlineLevel="1">
      <c r="A170" s="79"/>
      <c r="B170" s="69"/>
      <c r="C170" s="6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</row>
    <row r="171" spans="1:21" outlineLevel="1">
      <c r="A171" s="79"/>
      <c r="B171" s="69"/>
      <c r="C171" s="6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</row>
    <row r="172" spans="1:21" outlineLevel="1">
      <c r="A172" s="80"/>
      <c r="B172" s="69"/>
      <c r="C172" s="6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</row>
    <row r="173" spans="1:21" outlineLevel="1">
      <c r="A173" s="81"/>
      <c r="B173" s="69"/>
      <c r="C173" s="6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</row>
    <row r="174" spans="1:21" outlineLevel="1">
      <c r="A174" s="79"/>
      <c r="B174" s="69"/>
      <c r="C174" s="6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</row>
    <row r="175" spans="1:21" outlineLevel="1">
      <c r="A175" s="82"/>
      <c r="B175" s="69"/>
      <c r="C175" s="6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</row>
    <row r="176" spans="1:21" outlineLevel="1">
      <c r="A176" s="82"/>
      <c r="B176" s="69"/>
      <c r="C176" s="6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</row>
    <row r="177" spans="1:21" outlineLevel="1">
      <c r="A177" s="79"/>
      <c r="B177" s="69"/>
      <c r="C177" s="6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</row>
    <row r="178" spans="1:21" outlineLevel="1">
      <c r="A178" s="79"/>
      <c r="B178" s="69"/>
      <c r="C178" s="6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</row>
    <row r="179" spans="1:21" outlineLevel="1">
      <c r="A179" s="78"/>
      <c r="B179" s="69"/>
      <c r="C179" s="6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</row>
    <row r="180" spans="1:21" outlineLevel="1">
      <c r="A180" s="80"/>
      <c r="B180" s="69"/>
      <c r="C180" s="6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</row>
    <row r="181" spans="1:21" outlineLevel="1">
      <c r="A181" s="80"/>
      <c r="B181" s="69"/>
      <c r="C181" s="6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</row>
    <row r="182" spans="1:21" outlineLevel="1">
      <c r="A182" s="80"/>
      <c r="B182" s="69"/>
      <c r="C182" s="6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</row>
    <row r="183" spans="1:21" outlineLevel="1">
      <c r="A183" s="80"/>
      <c r="B183" s="69"/>
      <c r="C183" s="6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</row>
    <row r="184" spans="1:21" outlineLevel="1">
      <c r="A184" s="80"/>
      <c r="B184" s="69"/>
      <c r="C184" s="6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</row>
    <row r="185" spans="1:21" outlineLevel="1">
      <c r="A185" s="80"/>
      <c r="B185" s="69"/>
      <c r="C185" s="6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</row>
    <row r="186" spans="1:21" outlineLevel="1">
      <c r="A186" s="80"/>
      <c r="B186" s="69"/>
      <c r="C186" s="6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</row>
    <row r="187" spans="1:21" outlineLevel="1">
      <c r="A187" s="7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</row>
    <row r="188" spans="1:21" outlineLevel="1">
      <c r="A188" s="7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</row>
    <row r="189" spans="1:21" outlineLevel="1">
      <c r="A189" s="7"/>
      <c r="B189" s="7"/>
      <c r="C189" s="7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</row>
    <row r="190" spans="1:21" ht="18.75" outlineLevel="1">
      <c r="A190" s="8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</row>
    <row r="191" spans="1:21" outlineLevel="1">
      <c r="A191" s="5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</row>
    <row r="192" spans="1:21" outlineLevel="1">
      <c r="A192" s="5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</row>
    <row r="193" spans="1:21" outlineLevel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</row>
    <row r="194" spans="1:21" outlineLevel="1">
      <c r="A194" s="2"/>
      <c r="B194" s="9"/>
      <c r="C194" s="9"/>
      <c r="D194" s="9"/>
      <c r="E194" s="9"/>
      <c r="F194" s="9"/>
      <c r="G194" s="9"/>
      <c r="H194" s="9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</row>
    <row r="195" spans="1:21" outlineLevel="1">
      <c r="A195" s="5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</row>
    <row r="196" spans="1:21" outlineLevel="1">
      <c r="A196" s="86"/>
      <c r="B196" s="87"/>
      <c r="C196" s="87"/>
      <c r="D196" s="87"/>
      <c r="E196" s="87"/>
      <c r="F196" s="87"/>
      <c r="G196" s="87"/>
      <c r="H196" s="87"/>
      <c r="I196" s="7"/>
      <c r="J196" s="8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</row>
    <row r="197" spans="1:21" outlineLevel="1">
      <c r="A197" s="86"/>
      <c r="B197" s="87"/>
      <c r="C197" s="87"/>
      <c r="D197" s="87"/>
      <c r="E197" s="87"/>
      <c r="F197" s="87"/>
      <c r="G197" s="87"/>
      <c r="H197" s="87"/>
      <c r="I197" s="7"/>
      <c r="J197" s="8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</row>
    <row r="198" spans="1:21" outlineLevel="1">
      <c r="A198" s="86"/>
      <c r="B198" s="87"/>
      <c r="C198" s="87"/>
      <c r="D198" s="87"/>
      <c r="E198" s="87"/>
      <c r="F198" s="87"/>
      <c r="G198" s="87"/>
      <c r="H198" s="87"/>
      <c r="I198" s="7"/>
      <c r="J198" s="8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</row>
    <row r="199" spans="1:21" outlineLevel="1">
      <c r="A199" s="86"/>
      <c r="B199" s="87"/>
      <c r="C199" s="87"/>
      <c r="D199" s="87"/>
      <c r="E199" s="87"/>
      <c r="F199" s="87"/>
      <c r="G199" s="87"/>
      <c r="H199" s="87"/>
      <c r="I199" s="7"/>
      <c r="J199" s="8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</row>
    <row r="200" spans="1:21" outlineLevel="1">
      <c r="A200" s="86"/>
      <c r="B200" s="87"/>
      <c r="C200" s="87"/>
      <c r="D200" s="87"/>
      <c r="E200" s="87"/>
      <c r="F200" s="87"/>
      <c r="G200" s="87"/>
      <c r="H200" s="87"/>
      <c r="I200" s="7"/>
      <c r="J200" s="8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</row>
    <row r="201" spans="1:21" outlineLevel="1">
      <c r="A201" s="7"/>
      <c r="B201" s="87"/>
      <c r="C201" s="87"/>
      <c r="D201" s="87"/>
      <c r="E201" s="87"/>
      <c r="F201" s="87"/>
      <c r="G201" s="87"/>
      <c r="H201" s="87"/>
      <c r="I201" s="7"/>
      <c r="J201" s="8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</row>
    <row r="202" spans="1:21" outlineLevel="1">
      <c r="A202" s="57"/>
      <c r="B202" s="87"/>
      <c r="C202" s="87"/>
      <c r="D202" s="87"/>
      <c r="E202" s="87"/>
      <c r="F202" s="87"/>
      <c r="G202" s="87"/>
      <c r="H202" s="87"/>
      <c r="I202" s="7"/>
      <c r="J202" s="8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spans="1:21" outlineLevel="1">
      <c r="A203" s="86"/>
      <c r="B203" s="87"/>
      <c r="C203" s="87"/>
      <c r="D203" s="87"/>
      <c r="E203" s="87"/>
      <c r="F203" s="87"/>
      <c r="G203" s="87"/>
      <c r="H203" s="87"/>
      <c r="I203" s="7"/>
      <c r="J203" s="8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 spans="1:21" outlineLevel="1">
      <c r="A204" s="86"/>
      <c r="B204" s="87"/>
      <c r="C204" s="87"/>
      <c r="D204" s="87"/>
      <c r="E204" s="87"/>
      <c r="F204" s="87"/>
      <c r="G204" s="87"/>
      <c r="H204" s="87"/>
      <c r="I204" s="7"/>
      <c r="J204" s="8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 spans="1:21" outlineLevel="1">
      <c r="A205" s="86"/>
      <c r="B205" s="87"/>
      <c r="C205" s="87"/>
      <c r="D205" s="87"/>
      <c r="E205" s="87"/>
      <c r="F205" s="87"/>
      <c r="G205" s="87"/>
      <c r="H205" s="87"/>
      <c r="I205" s="7"/>
      <c r="J205" s="8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</row>
    <row r="206" spans="1:21" outlineLevel="1">
      <c r="A206" s="86"/>
      <c r="B206" s="87"/>
      <c r="C206" s="87"/>
      <c r="D206" s="87"/>
      <c r="E206" s="87"/>
      <c r="F206" s="87"/>
      <c r="G206" s="87"/>
      <c r="H206" s="87"/>
      <c r="I206" s="7"/>
      <c r="J206" s="8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spans="1:21" outlineLevel="1">
      <c r="A207" s="86"/>
      <c r="B207" s="87"/>
      <c r="C207" s="87"/>
      <c r="D207" s="87"/>
      <c r="E207" s="87"/>
      <c r="F207" s="87"/>
      <c r="G207" s="87"/>
      <c r="H207" s="87"/>
      <c r="I207" s="7"/>
      <c r="J207" s="8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</row>
    <row r="208" spans="1:21" outlineLevel="1">
      <c r="A208" s="86"/>
      <c r="B208" s="87"/>
      <c r="C208" s="87"/>
      <c r="D208" s="87"/>
      <c r="E208" s="87"/>
      <c r="F208" s="87"/>
      <c r="G208" s="87"/>
      <c r="H208" s="87"/>
      <c r="I208" s="7"/>
      <c r="J208" s="8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spans="1:21" outlineLevel="1">
      <c r="A209" s="86"/>
      <c r="B209" s="87"/>
      <c r="C209" s="87"/>
      <c r="D209" s="87"/>
      <c r="E209" s="87"/>
      <c r="F209" s="87"/>
      <c r="G209" s="87"/>
      <c r="H209" s="87"/>
      <c r="I209" s="7"/>
      <c r="J209" s="8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 spans="1:21" outlineLevel="1">
      <c r="A210" s="86"/>
      <c r="B210" s="87"/>
      <c r="C210" s="87"/>
      <c r="D210" s="87"/>
      <c r="E210" s="87"/>
      <c r="F210" s="87"/>
      <c r="G210" s="87"/>
      <c r="H210" s="87"/>
      <c r="I210" s="7"/>
      <c r="J210" s="8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spans="1:21" outlineLevel="1">
      <c r="A211" s="86"/>
      <c r="B211" s="87"/>
      <c r="C211" s="87"/>
      <c r="D211" s="87"/>
      <c r="E211" s="87"/>
      <c r="F211" s="87"/>
      <c r="G211" s="87"/>
      <c r="H211" s="87"/>
      <c r="I211" s="7"/>
      <c r="J211" s="8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 spans="1:21" outlineLevel="1">
      <c r="A212" s="86"/>
      <c r="B212" s="87"/>
      <c r="C212" s="87"/>
      <c r="D212" s="87"/>
      <c r="E212" s="87"/>
      <c r="F212" s="87"/>
      <c r="G212" s="87"/>
      <c r="H212" s="87"/>
      <c r="I212" s="7"/>
      <c r="J212" s="8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spans="1:21" outlineLevel="1">
      <c r="A213" s="86"/>
      <c r="B213" s="87"/>
      <c r="C213" s="87"/>
      <c r="D213" s="87"/>
      <c r="E213" s="87"/>
      <c r="F213" s="87"/>
      <c r="G213" s="87"/>
      <c r="H213" s="87"/>
      <c r="I213" s="7"/>
      <c r="J213" s="8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spans="1:21" outlineLevel="1">
      <c r="A214" s="57"/>
      <c r="B214" s="87"/>
      <c r="C214" s="87"/>
      <c r="D214" s="87"/>
      <c r="E214" s="87"/>
      <c r="F214" s="87"/>
      <c r="G214" s="87"/>
      <c r="H214" s="87"/>
      <c r="I214" s="7"/>
      <c r="J214" s="8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21" outlineLevel="1">
      <c r="A215" s="86"/>
      <c r="B215" s="87"/>
      <c r="C215" s="87"/>
      <c r="D215" s="87"/>
      <c r="E215" s="87"/>
      <c r="F215" s="87"/>
      <c r="G215" s="87"/>
      <c r="H215" s="87"/>
      <c r="I215" s="7"/>
      <c r="J215" s="8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spans="1:21" outlineLevel="1">
      <c r="A216" s="86"/>
      <c r="B216" s="87"/>
      <c r="C216" s="87"/>
      <c r="D216" s="87"/>
      <c r="E216" s="87"/>
      <c r="F216" s="87"/>
      <c r="G216" s="87"/>
      <c r="H216" s="87"/>
      <c r="I216" s="7"/>
      <c r="J216" s="8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spans="1:21" outlineLevel="1">
      <c r="A217" s="57"/>
      <c r="B217" s="87"/>
      <c r="C217" s="87"/>
      <c r="D217" s="87"/>
      <c r="E217" s="87"/>
      <c r="F217" s="87"/>
      <c r="G217" s="87"/>
      <c r="H217" s="87"/>
      <c r="I217" s="7"/>
      <c r="J217" s="8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</row>
    <row r="218" spans="1:21" outlineLevel="1">
      <c r="A218" s="57"/>
      <c r="B218" s="87"/>
      <c r="C218" s="87"/>
      <c r="D218" s="87"/>
      <c r="E218" s="87"/>
      <c r="F218" s="87"/>
      <c r="G218" s="87"/>
      <c r="H218" s="87"/>
      <c r="I218" s="7"/>
      <c r="J218" s="8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 outlineLevel="1">
      <c r="A219" s="7"/>
      <c r="B219" s="87"/>
      <c r="C219" s="87"/>
      <c r="D219" s="87"/>
      <c r="E219" s="87"/>
      <c r="F219" s="87"/>
      <c r="G219" s="87"/>
      <c r="H219" s="87"/>
      <c r="I219" s="7"/>
      <c r="J219" s="8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</row>
    <row r="220" spans="1:21" outlineLevel="1">
      <c r="A220" s="7"/>
      <c r="B220" s="87"/>
      <c r="C220" s="87"/>
      <c r="D220" s="87"/>
      <c r="E220" s="87"/>
      <c r="F220" s="87"/>
      <c r="G220" s="87"/>
      <c r="H220" s="87"/>
      <c r="I220" s="7"/>
      <c r="J220" s="8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 spans="1:21" outlineLevel="1">
      <c r="A221" s="57"/>
      <c r="B221" s="87"/>
      <c r="C221" s="87"/>
      <c r="D221" s="87"/>
      <c r="E221" s="87"/>
      <c r="F221" s="87"/>
      <c r="G221" s="87"/>
      <c r="H221" s="87"/>
      <c r="I221" s="7"/>
      <c r="J221" s="8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</row>
    <row r="222" spans="1:21" outlineLevel="1">
      <c r="A222" s="86"/>
      <c r="B222" s="87"/>
      <c r="C222" s="87"/>
      <c r="D222" s="87"/>
      <c r="E222" s="87"/>
      <c r="F222" s="87"/>
      <c r="G222" s="87"/>
      <c r="H222" s="87"/>
      <c r="I222" s="7"/>
      <c r="J222" s="8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21" outlineLevel="1">
      <c r="A223" s="57"/>
      <c r="B223" s="87"/>
      <c r="C223" s="87"/>
      <c r="D223" s="87"/>
      <c r="E223" s="87"/>
      <c r="F223" s="87"/>
      <c r="G223" s="87"/>
      <c r="H223" s="87"/>
      <c r="I223" s="7"/>
      <c r="J223" s="8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 spans="1:21" outlineLevel="1">
      <c r="A224" s="7"/>
      <c r="B224" s="87"/>
      <c r="C224" s="87"/>
      <c r="D224" s="87"/>
      <c r="E224" s="87"/>
      <c r="F224" s="87"/>
      <c r="G224" s="87"/>
      <c r="H224" s="87"/>
      <c r="I224" s="7"/>
      <c r="J224" s="8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</row>
    <row r="225" spans="1:21" outlineLevel="1">
      <c r="A225" s="57"/>
      <c r="B225" s="87"/>
      <c r="C225" s="87"/>
      <c r="D225" s="87"/>
      <c r="E225" s="87"/>
      <c r="F225" s="87"/>
      <c r="G225" s="87"/>
      <c r="H225" s="87"/>
      <c r="I225" s="7"/>
      <c r="J225" s="8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 spans="1:21" outlineLevel="1">
      <c r="A226" s="86"/>
      <c r="B226" s="87"/>
      <c r="C226" s="87"/>
      <c r="D226" s="87"/>
      <c r="E226" s="87"/>
      <c r="F226" s="87"/>
      <c r="G226" s="87"/>
      <c r="H226" s="87"/>
      <c r="I226" s="7"/>
      <c r="J226" s="8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 outlineLevel="1">
      <c r="A227" s="86"/>
      <c r="B227" s="87"/>
      <c r="C227" s="87"/>
      <c r="D227" s="87"/>
      <c r="E227" s="87"/>
      <c r="F227" s="87"/>
      <c r="G227" s="87"/>
      <c r="H227" s="87"/>
      <c r="I227" s="7"/>
      <c r="J227" s="8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 spans="1:21" outlineLevel="1">
      <c r="A228" s="86"/>
      <c r="B228" s="87"/>
      <c r="C228" s="87"/>
      <c r="D228" s="87"/>
      <c r="E228" s="87"/>
      <c r="F228" s="87"/>
      <c r="G228" s="87"/>
      <c r="H228" s="87"/>
      <c r="I228" s="7"/>
      <c r="J228" s="8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spans="1:21" outlineLevel="1">
      <c r="A229" s="86"/>
      <c r="B229" s="87"/>
      <c r="C229" s="87"/>
      <c r="D229" s="87"/>
      <c r="E229" s="87"/>
      <c r="F229" s="87"/>
      <c r="G229" s="87"/>
      <c r="H229" s="87"/>
      <c r="I229" s="7"/>
      <c r="J229" s="8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 spans="1:21" outlineLevel="1">
      <c r="A230" s="86"/>
      <c r="B230" s="87"/>
      <c r="C230" s="87"/>
      <c r="D230" s="87"/>
      <c r="E230" s="87"/>
      <c r="F230" s="87"/>
      <c r="G230" s="87"/>
      <c r="H230" s="87"/>
      <c r="I230" s="7"/>
      <c r="J230" s="8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 outlineLevel="1">
      <c r="A231" s="86"/>
      <c r="B231" s="87"/>
      <c r="C231" s="87"/>
      <c r="D231" s="87"/>
      <c r="E231" s="87"/>
      <c r="F231" s="87"/>
      <c r="G231" s="87"/>
      <c r="H231" s="87"/>
      <c r="I231" s="7"/>
      <c r="J231" s="8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 spans="1:21" outlineLevel="1">
      <c r="A232" s="57"/>
      <c r="B232" s="87"/>
      <c r="C232" s="87"/>
      <c r="D232" s="87"/>
      <c r="E232" s="87"/>
      <c r="F232" s="87"/>
      <c r="G232" s="87"/>
      <c r="H232" s="87"/>
      <c r="I232" s="7"/>
      <c r="J232" s="8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 outlineLevel="1">
      <c r="A233" s="57"/>
      <c r="B233" s="87"/>
      <c r="C233" s="87"/>
      <c r="D233" s="87"/>
      <c r="E233" s="87"/>
      <c r="F233" s="87"/>
      <c r="G233" s="87"/>
      <c r="H233" s="87"/>
      <c r="I233" s="7"/>
      <c r="J233" s="8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</row>
    <row r="234" spans="1:21" outlineLevel="1">
      <c r="A234" s="7"/>
      <c r="B234" s="87"/>
      <c r="C234" s="87"/>
      <c r="D234" s="87"/>
      <c r="E234" s="87"/>
      <c r="F234" s="87"/>
      <c r="G234" s="87"/>
      <c r="H234" s="87"/>
      <c r="I234" s="7"/>
      <c r="J234" s="8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 spans="1:21" outlineLevel="1">
      <c r="A235" s="57"/>
      <c r="B235" s="87"/>
      <c r="C235" s="87"/>
      <c r="D235" s="87"/>
      <c r="E235" s="87"/>
      <c r="F235" s="87"/>
      <c r="G235" s="87"/>
      <c r="H235" s="87"/>
      <c r="I235" s="7"/>
      <c r="J235" s="8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 spans="1:21" outlineLevel="1">
      <c r="A236" s="57"/>
      <c r="B236" s="87"/>
      <c r="C236" s="87"/>
      <c r="D236" s="87"/>
      <c r="E236" s="87"/>
      <c r="F236" s="87"/>
      <c r="G236" s="87"/>
      <c r="H236" s="87"/>
      <c r="I236" s="7"/>
      <c r="J236" s="8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 outlineLevel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 spans="1:21" outlineLevel="1">
      <c r="A238" s="57"/>
      <c r="B238" s="7"/>
      <c r="C238" s="59"/>
      <c r="D238" s="59"/>
      <c r="E238" s="59"/>
      <c r="F238" s="59"/>
      <c r="G238" s="59"/>
      <c r="H238" s="59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 spans="1:21" outlineLevel="1">
      <c r="A239" s="57"/>
      <c r="B239" s="7"/>
      <c r="C239" s="59"/>
      <c r="D239" s="59"/>
      <c r="E239" s="59"/>
      <c r="F239" s="59"/>
      <c r="G239" s="59"/>
      <c r="H239" s="59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</row>
    <row r="240" spans="1:21" outlineLevel="1">
      <c r="A240" s="57"/>
      <c r="B240" s="7"/>
      <c r="C240" s="59"/>
      <c r="D240" s="59"/>
      <c r="E240" s="59"/>
      <c r="F240" s="59"/>
      <c r="G240" s="59"/>
      <c r="H240" s="59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 outlineLevel="1">
      <c r="A241" s="57"/>
      <c r="B241" s="7"/>
      <c r="C241" s="59"/>
      <c r="D241" s="59"/>
      <c r="E241" s="59"/>
      <c r="F241" s="59"/>
      <c r="G241" s="59"/>
      <c r="H241" s="59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 spans="1:21" outlineLevel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 spans="1:21" ht="18.75" outlineLevel="1">
      <c r="A243" s="84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 spans="1:21" outlineLevel="1">
      <c r="A244" s="5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 outlineLevel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 spans="1:21" outlineLevel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spans="1:21" s="90" customFormat="1" outlineLevel="1">
      <c r="A247" s="89"/>
    </row>
    <row r="248" spans="1:21" outlineLevel="1">
      <c r="A248" s="5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 outlineLevel="1">
      <c r="A249" s="57"/>
      <c r="B249" s="7"/>
      <c r="C249" s="91"/>
      <c r="D249" s="91"/>
      <c r="E249" s="91"/>
      <c r="F249" s="91"/>
      <c r="G249" s="91"/>
      <c r="H249" s="91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 spans="1:21" outlineLevel="1">
      <c r="A250" s="57"/>
      <c r="B250" s="7"/>
      <c r="C250" s="91"/>
      <c r="D250" s="91"/>
      <c r="E250" s="91"/>
      <c r="F250" s="91"/>
      <c r="G250" s="91"/>
      <c r="H250" s="91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spans="1:21" outlineLevel="1">
      <c r="A251" s="7"/>
      <c r="B251" s="7"/>
      <c r="C251" s="93"/>
      <c r="D251" s="93"/>
      <c r="E251" s="93"/>
      <c r="F251" s="93"/>
      <c r="G251" s="93"/>
      <c r="H251" s="93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</row>
    <row r="252" spans="1:21" outlineLevel="1">
      <c r="A252" s="5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 outlineLevel="1">
      <c r="A253" s="89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 spans="1:21" outlineLevel="1">
      <c r="A254" s="94"/>
      <c r="B254" s="7"/>
      <c r="C254" s="59"/>
      <c r="D254" s="59"/>
      <c r="E254" s="59"/>
      <c r="F254" s="59"/>
      <c r="G254" s="59"/>
      <c r="H254" s="59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 outlineLevel="1">
      <c r="A255" s="94"/>
      <c r="B255" s="7"/>
      <c r="C255" s="59"/>
      <c r="D255" s="59"/>
      <c r="E255" s="59"/>
      <c r="F255" s="59"/>
      <c r="G255" s="59"/>
      <c r="H255" s="59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 spans="1:21" outlineLevel="1">
      <c r="A256" s="94"/>
      <c r="B256" s="7"/>
      <c r="C256" s="59"/>
      <c r="D256" s="59"/>
      <c r="E256" s="59"/>
      <c r="F256" s="59"/>
      <c r="G256" s="59"/>
      <c r="H256" s="59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 outlineLevel="1">
      <c r="A257" s="94"/>
      <c r="B257" s="7"/>
      <c r="C257" s="59"/>
      <c r="D257" s="59"/>
      <c r="E257" s="59"/>
      <c r="F257" s="59"/>
      <c r="G257" s="59"/>
      <c r="H257" s="59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 spans="1:21" outlineLevel="1">
      <c r="A258" s="94"/>
      <c r="B258" s="7"/>
      <c r="C258" s="91"/>
      <c r="D258" s="91"/>
      <c r="E258" s="91"/>
      <c r="F258" s="91"/>
      <c r="G258" s="91"/>
      <c r="H258" s="91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</row>
    <row r="259" spans="1:21" outlineLevel="1">
      <c r="A259" s="57"/>
      <c r="B259" s="7"/>
      <c r="C259" s="95"/>
      <c r="D259" s="95"/>
      <c r="E259" s="95"/>
      <c r="F259" s="95"/>
      <c r="G259" s="95"/>
      <c r="H259" s="95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</row>
    <row r="260" spans="1:21" outlineLevel="1">
      <c r="A260" s="94"/>
      <c r="B260" s="7"/>
      <c r="C260" s="96"/>
      <c r="D260" s="96"/>
      <c r="E260" s="96"/>
      <c r="F260" s="96"/>
      <c r="G260" s="96"/>
      <c r="H260" s="96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 outlineLevel="1">
      <c r="A261" s="94"/>
      <c r="B261" s="7"/>
      <c r="C261" s="96"/>
      <c r="D261" s="96"/>
      <c r="E261" s="96"/>
      <c r="F261" s="96"/>
      <c r="G261" s="96"/>
      <c r="H261" s="96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</row>
    <row r="262" spans="1:21" outlineLevel="1">
      <c r="A262" s="94"/>
      <c r="B262" s="7"/>
      <c r="C262" s="96"/>
      <c r="D262" s="96"/>
      <c r="E262" s="96"/>
      <c r="F262" s="96"/>
      <c r="G262" s="96"/>
      <c r="H262" s="96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 outlineLevel="1">
      <c r="A263" s="94"/>
      <c r="B263" s="7"/>
      <c r="C263" s="96"/>
      <c r="D263" s="96"/>
      <c r="E263" s="96"/>
      <c r="F263" s="96"/>
      <c r="G263" s="96"/>
      <c r="H263" s="96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 spans="1:21" outlineLevel="1">
      <c r="A264" s="94"/>
      <c r="B264" s="7"/>
      <c r="C264" s="95"/>
      <c r="D264" s="95"/>
      <c r="E264" s="95"/>
      <c r="F264" s="95"/>
      <c r="G264" s="95"/>
      <c r="H264" s="95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 outlineLevel="1">
      <c r="A265" s="5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 spans="1:21" outlineLevel="1">
      <c r="A266" s="7"/>
      <c r="B266" s="7"/>
      <c r="C266" s="59"/>
      <c r="D266" s="59"/>
      <c r="E266" s="59"/>
      <c r="F266" s="59"/>
      <c r="G266" s="59"/>
      <c r="H266" s="59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spans="1:21" outlineLevel="1">
      <c r="A267" s="7"/>
      <c r="B267" s="7"/>
      <c r="C267" s="59"/>
      <c r="D267" s="59"/>
      <c r="E267" s="59"/>
      <c r="F267" s="59"/>
      <c r="G267" s="59"/>
      <c r="H267" s="59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</row>
    <row r="268" spans="1:21" outlineLevel="1">
      <c r="A268" s="7"/>
      <c r="B268" s="7"/>
      <c r="C268" s="59"/>
      <c r="D268" s="59"/>
      <c r="E268" s="59"/>
      <c r="F268" s="59"/>
      <c r="G268" s="59"/>
      <c r="H268" s="59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 outlineLevel="1">
      <c r="A269" s="7"/>
      <c r="B269" s="97"/>
      <c r="C269" s="59"/>
      <c r="D269" s="59"/>
      <c r="E269" s="59"/>
      <c r="F269" s="59"/>
      <c r="G269" s="59"/>
      <c r="H269" s="59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 spans="1:21" outlineLevel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spans="1:21" outlineLevel="1">
      <c r="A271" s="5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</row>
    <row r="272" spans="1:21" outlineLevel="1">
      <c r="A272" s="7"/>
      <c r="B272" s="7"/>
      <c r="C272" s="91"/>
      <c r="D272" s="91"/>
      <c r="E272" s="91"/>
      <c r="F272" s="91"/>
      <c r="G272" s="91"/>
      <c r="H272" s="91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1" outlineLevel="1">
      <c r="A273" s="94"/>
      <c r="B273" s="7"/>
      <c r="C273" s="91"/>
      <c r="D273" s="91"/>
      <c r="E273" s="91"/>
      <c r="F273" s="91"/>
      <c r="G273" s="91"/>
      <c r="H273" s="91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 spans="1:21" outlineLevel="1">
      <c r="A274" s="94"/>
      <c r="B274" s="7"/>
      <c r="C274" s="91"/>
      <c r="D274" s="91"/>
      <c r="E274" s="91"/>
      <c r="F274" s="91"/>
      <c r="G274" s="91"/>
      <c r="H274" s="91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 spans="1:21" outlineLevel="1">
      <c r="A275" s="94"/>
      <c r="B275" s="97"/>
      <c r="C275" s="91"/>
      <c r="D275" s="91"/>
      <c r="E275" s="91"/>
      <c r="F275" s="91"/>
      <c r="G275" s="91"/>
      <c r="H275" s="91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 spans="1:21" outlineLevel="1">
      <c r="A276" s="7"/>
      <c r="B276" s="7"/>
      <c r="C276" s="91"/>
      <c r="D276" s="91"/>
      <c r="E276" s="91"/>
      <c r="F276" s="91"/>
      <c r="G276" s="91"/>
      <c r="H276" s="91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spans="1:21" outlineLevel="1">
      <c r="A277" s="7"/>
      <c r="B277" s="7"/>
      <c r="C277" s="91"/>
      <c r="D277" s="91"/>
      <c r="E277" s="91"/>
      <c r="F277" s="91"/>
      <c r="G277" s="91"/>
      <c r="H277" s="91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 spans="1:21" outlineLevel="1">
      <c r="A278" s="7"/>
      <c r="B278" s="7"/>
      <c r="C278" s="91"/>
      <c r="D278" s="91"/>
      <c r="E278" s="91"/>
      <c r="F278" s="91"/>
      <c r="G278" s="91"/>
      <c r="H278" s="91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 spans="1:21" outlineLevel="1">
      <c r="A279" s="7"/>
      <c r="B279" s="7"/>
      <c r="C279" s="91"/>
      <c r="D279" s="91"/>
      <c r="E279" s="91"/>
      <c r="F279" s="91"/>
      <c r="G279" s="91"/>
      <c r="H279" s="91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 spans="1:21" outlineLevel="1">
      <c r="A280" s="7"/>
      <c r="B280" s="7"/>
      <c r="C280" s="91"/>
      <c r="D280" s="91"/>
      <c r="E280" s="91"/>
      <c r="F280" s="91"/>
      <c r="G280" s="91"/>
      <c r="H280" s="91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spans="1:21" outlineLevel="1">
      <c r="A281" s="7"/>
      <c r="B281" s="7"/>
      <c r="C281" s="91"/>
      <c r="D281" s="91"/>
      <c r="E281" s="91"/>
      <c r="F281" s="91"/>
      <c r="G281" s="91"/>
      <c r="H281" s="91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</row>
    <row r="282" spans="1:21" outlineLevel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spans="1:21" outlineLevel="1">
      <c r="A283" s="57"/>
      <c r="B283" s="98"/>
      <c r="C283" s="98"/>
      <c r="D283" s="98"/>
      <c r="E283" s="98"/>
      <c r="F283" s="98"/>
      <c r="G283" s="98"/>
      <c r="H283" s="98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 spans="1:21" outlineLevel="1">
      <c r="A284" s="57"/>
      <c r="B284" s="97"/>
      <c r="C284" s="98"/>
      <c r="D284" s="98"/>
      <c r="E284" s="98"/>
      <c r="F284" s="98"/>
      <c r="G284" s="98"/>
      <c r="H284" s="98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spans="1:21" outlineLevel="1">
      <c r="A285" s="57"/>
      <c r="B285" s="98"/>
      <c r="C285" s="98"/>
      <c r="D285" s="98"/>
      <c r="E285" s="98"/>
      <c r="F285" s="98"/>
      <c r="G285" s="98"/>
      <c r="H285" s="98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 spans="1:21" outlineLevel="1">
      <c r="A286" s="57"/>
      <c r="B286" s="7"/>
      <c r="C286" s="98"/>
      <c r="D286" s="98"/>
      <c r="E286" s="98"/>
      <c r="F286" s="98"/>
      <c r="G286" s="98"/>
      <c r="H286" s="98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1" outlineLevel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 spans="1:21" outlineLevel="1">
      <c r="A288" s="5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 outlineLevel="1">
      <c r="A289" s="5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</row>
    <row r="290" spans="1:21" outlineLevel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 outlineLevel="1">
      <c r="A291" s="7"/>
      <c r="B291" s="7"/>
      <c r="C291" s="87"/>
      <c r="D291" s="87"/>
      <c r="E291" s="87"/>
      <c r="F291" s="87"/>
      <c r="G291" s="87"/>
      <c r="H291" s="8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</row>
    <row r="292" spans="1:21" outlineLevel="1">
      <c r="A292" s="7"/>
      <c r="B292" s="7"/>
      <c r="C292" s="98"/>
      <c r="D292" s="98"/>
      <c r="E292" s="98"/>
      <c r="F292" s="98"/>
      <c r="G292" s="98"/>
      <c r="H292" s="98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 outlineLevel="1">
      <c r="A293" s="7"/>
      <c r="B293" s="7"/>
      <c r="C293" s="99"/>
      <c r="D293" s="99"/>
      <c r="E293" s="99"/>
      <c r="F293" s="99"/>
      <c r="G293" s="99"/>
      <c r="H293" s="99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 spans="1:21" outlineLevel="1">
      <c r="A294" s="7"/>
      <c r="B294" s="7"/>
      <c r="C294" s="87"/>
      <c r="D294" s="87"/>
      <c r="E294" s="87"/>
      <c r="F294" s="87"/>
      <c r="G294" s="87"/>
      <c r="H294" s="8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 outlineLevel="1">
      <c r="A295" s="7"/>
      <c r="B295" s="7"/>
      <c r="C295" s="99"/>
      <c r="D295" s="99"/>
      <c r="E295" s="99"/>
      <c r="F295" s="99"/>
      <c r="G295" s="99"/>
      <c r="H295" s="99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</row>
    <row r="296" spans="1:21" outlineLevel="1">
      <c r="A296" s="7"/>
      <c r="B296" s="7"/>
      <c r="C296" s="100"/>
      <c r="D296" s="100"/>
      <c r="E296" s="100"/>
      <c r="F296" s="100"/>
      <c r="G296" s="100"/>
      <c r="H296" s="100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 spans="1:21" outlineLevel="1">
      <c r="A297" s="7"/>
      <c r="B297" s="7"/>
      <c r="C297" s="100"/>
      <c r="D297" s="100"/>
      <c r="E297" s="100"/>
      <c r="F297" s="100"/>
      <c r="G297" s="100"/>
      <c r="H297" s="100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</row>
    <row r="298" spans="1:21" ht="18.75" hidden="1" outlineLevel="2">
      <c r="A298" s="84"/>
      <c r="B298" s="7"/>
      <c r="C298" s="100"/>
      <c r="D298" s="100"/>
      <c r="E298" s="100"/>
      <c r="F298" s="100"/>
      <c r="G298" s="100"/>
      <c r="H298" s="100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 spans="1:21" hidden="1" outlineLevel="2">
      <c r="A299" s="57"/>
      <c r="B299" s="7"/>
      <c r="C299" s="100"/>
      <c r="D299" s="100"/>
      <c r="E299" s="100"/>
      <c r="F299" s="100"/>
      <c r="G299" s="100"/>
      <c r="H299" s="100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</row>
    <row r="300" spans="1:21" hidden="1" outlineLevel="2">
      <c r="A300" s="7"/>
      <c r="B300" s="7"/>
      <c r="C300" s="100"/>
      <c r="D300" s="100"/>
      <c r="E300" s="100"/>
      <c r="F300" s="100"/>
      <c r="G300" s="100"/>
      <c r="H300" s="100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</row>
    <row r="301" spans="1:21" hidden="1" outlineLevel="2">
      <c r="A301" s="57"/>
      <c r="B301" s="11"/>
      <c r="C301" s="11"/>
      <c r="D301" s="10"/>
      <c r="E301" s="10"/>
      <c r="F301" s="11"/>
      <c r="G301" s="11"/>
      <c r="H301" s="10"/>
      <c r="I301" s="11"/>
      <c r="J301" s="11"/>
      <c r="K301" s="11"/>
      <c r="L301" s="10"/>
      <c r="M301" s="11"/>
      <c r="N301" s="11"/>
      <c r="O301" s="7"/>
      <c r="P301" s="7"/>
      <c r="Q301" s="7"/>
      <c r="R301" s="7"/>
      <c r="S301" s="7"/>
      <c r="T301" s="11"/>
      <c r="U301" s="7"/>
    </row>
    <row r="302" spans="1:21" hidden="1" outlineLevel="2">
      <c r="A302" s="5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</row>
    <row r="303" spans="1:21" hidden="1" outlineLevel="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</row>
    <row r="304" spans="1:21" hidden="1" outlineLevel="2">
      <c r="A304" s="7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7"/>
      <c r="P304" s="7"/>
      <c r="Q304" s="7"/>
      <c r="R304" s="7"/>
      <c r="S304" s="7"/>
      <c r="T304" s="87"/>
      <c r="U304" s="7"/>
    </row>
    <row r="305" spans="1:26" hidden="1" outlineLevel="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</row>
    <row r="306" spans="1:26" hidden="1" outlineLevel="2">
      <c r="A306" s="7"/>
      <c r="B306" s="98"/>
      <c r="C306" s="98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7"/>
      <c r="P306" s="7"/>
      <c r="Q306" s="7"/>
      <c r="R306" s="7"/>
      <c r="S306" s="7"/>
      <c r="T306" s="87"/>
      <c r="U306" s="7"/>
    </row>
    <row r="307" spans="1:26" hidden="1" outlineLevel="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</row>
    <row r="308" spans="1:26" hidden="1" outlineLevel="2">
      <c r="A308" s="7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7"/>
      <c r="P308" s="7"/>
      <c r="Q308" s="7"/>
      <c r="R308" s="7"/>
      <c r="S308" s="7"/>
      <c r="T308" s="87"/>
      <c r="U308" s="87"/>
      <c r="V308" s="87"/>
      <c r="W308" s="87"/>
      <c r="X308" s="87"/>
      <c r="Y308" s="87"/>
      <c r="Z308" s="87"/>
    </row>
    <row r="309" spans="1:26" hidden="1" outlineLevel="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</row>
    <row r="310" spans="1:26" hidden="1" outlineLevel="2">
      <c r="A310" s="7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7"/>
      <c r="P310" s="7"/>
      <c r="Q310" s="7"/>
      <c r="R310" s="7"/>
      <c r="S310" s="7"/>
      <c r="T310" s="87"/>
      <c r="U310" s="7"/>
    </row>
    <row r="311" spans="1:26" hidden="1" outlineLevel="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</row>
    <row r="312" spans="1:26" hidden="1" outlineLevel="2">
      <c r="A312" s="7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7"/>
      <c r="P312" s="7"/>
      <c r="Q312" s="7"/>
      <c r="R312" s="7"/>
      <c r="S312" s="7"/>
      <c r="T312" s="87"/>
      <c r="U312" s="87"/>
    </row>
    <row r="313" spans="1:26" hidden="1" outlineLevel="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</row>
    <row r="314" spans="1:26" hidden="1" outlineLevel="2">
      <c r="A314" s="7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7"/>
      <c r="P314" s="7"/>
      <c r="Q314" s="7"/>
      <c r="R314" s="7"/>
      <c r="S314" s="7"/>
      <c r="T314" s="87"/>
      <c r="U314" s="87"/>
    </row>
    <row r="315" spans="1:26" hidden="1" outlineLevel="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</row>
    <row r="316" spans="1:26" outlineLevel="1" collapsed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</row>
    <row r="317" spans="1:26" outlineLevel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</row>
    <row r="318" spans="1:26" outlineLevel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</row>
    <row r="319" spans="1:26" ht="18.75" outlineLevel="1">
      <c r="A319" s="8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</row>
    <row r="320" spans="1:26" outlineLevel="1">
      <c r="A320" s="5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</row>
    <row r="321" spans="1:21" outlineLevel="1">
      <c r="A321" s="5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</row>
    <row r="322" spans="1:21" outlineLevel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</row>
    <row r="323" spans="1:21" outlineLevel="1">
      <c r="A323" s="2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</row>
    <row r="324" spans="1:21" outlineLevel="1">
      <c r="A324" s="5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</row>
    <row r="325" spans="1:21" outlineLevel="1">
      <c r="A325" s="86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</row>
    <row r="326" spans="1:21" outlineLevel="1">
      <c r="A326" s="86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</row>
    <row r="327" spans="1:21" outlineLevel="1">
      <c r="A327" s="86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</row>
    <row r="328" spans="1:21" outlineLevel="1">
      <c r="A328" s="86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</row>
    <row r="329" spans="1:21" outlineLevel="1">
      <c r="A329" s="86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</row>
    <row r="330" spans="1:21" outlineLevel="1">
      <c r="A330" s="7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</row>
    <row r="331" spans="1:21" outlineLevel="1">
      <c r="A331" s="57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</row>
    <row r="332" spans="1:21" outlineLevel="1">
      <c r="A332" s="86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</row>
    <row r="333" spans="1:21" outlineLevel="1">
      <c r="A333" s="86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</row>
    <row r="334" spans="1:21" outlineLevel="1">
      <c r="A334" s="86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</row>
    <row r="335" spans="1:21" outlineLevel="1">
      <c r="A335" s="86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</row>
    <row r="336" spans="1:21" outlineLevel="1">
      <c r="A336" s="86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</row>
    <row r="337" spans="1:21" outlineLevel="1">
      <c r="A337" s="86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</row>
    <row r="338" spans="1:21" outlineLevel="1">
      <c r="A338" s="86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</row>
    <row r="339" spans="1:21" outlineLevel="1">
      <c r="A339" s="86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</row>
    <row r="340" spans="1:21" outlineLevel="1">
      <c r="A340" s="86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</row>
    <row r="341" spans="1:21" outlineLevel="1">
      <c r="A341" s="86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</row>
    <row r="342" spans="1:21" outlineLevel="1">
      <c r="A342" s="86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</row>
    <row r="343" spans="1:21" outlineLevel="1">
      <c r="A343" s="57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</row>
    <row r="344" spans="1:21" outlineLevel="1">
      <c r="A344" s="86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</row>
    <row r="345" spans="1:21" outlineLevel="1">
      <c r="A345" s="57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</row>
    <row r="346" spans="1:21" outlineLevel="1">
      <c r="A346" s="86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</row>
    <row r="347" spans="1:21" outlineLevel="1">
      <c r="A347" s="57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</row>
    <row r="348" spans="1:21" outlineLevel="1">
      <c r="A348" s="7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</row>
    <row r="349" spans="1:21" outlineLevel="1">
      <c r="A349" s="57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</row>
    <row r="350" spans="1:21" outlineLevel="1">
      <c r="A350" s="86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</row>
    <row r="351" spans="1:21" outlineLevel="1">
      <c r="A351" s="86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</row>
    <row r="352" spans="1:21" outlineLevel="1">
      <c r="A352" s="86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</row>
    <row r="353" spans="1:21" outlineLevel="1">
      <c r="A353" s="86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</row>
    <row r="354" spans="1:21" outlineLevel="1">
      <c r="A354" s="57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</row>
    <row r="355" spans="1:21" outlineLevel="1">
      <c r="A355" s="57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</row>
    <row r="356" spans="1:21" outlineLevel="1">
      <c r="A356" s="86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</row>
    <row r="357" spans="1:21" outlineLevel="1">
      <c r="A357" s="86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</row>
    <row r="358" spans="1:21" outlineLevel="1">
      <c r="A358" s="86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</row>
    <row r="359" spans="1:21" outlineLevel="1">
      <c r="A359" s="86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</row>
    <row r="360" spans="1:21" outlineLevel="1">
      <c r="A360" s="86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</row>
    <row r="361" spans="1:21" outlineLevel="1">
      <c r="A361" s="2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</row>
    <row r="362" spans="1:21" outlineLevel="1">
      <c r="A362" s="57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</row>
    <row r="363" spans="1:21" outlineLevel="1">
      <c r="A363" s="7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</row>
    <row r="364" spans="1:21" outlineLevel="1">
      <c r="A364" s="57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</row>
    <row r="365" spans="1:21" outlineLevel="1">
      <c r="A365" s="57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</row>
    <row r="366" spans="1:21" outlineLevel="1">
      <c r="A366" s="57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</row>
    <row r="367" spans="1:21" outlineLevel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</row>
    <row r="368" spans="1:21" outlineLevel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</row>
    <row r="369" spans="1:21" ht="18.75" outlineLevel="1">
      <c r="A369" s="8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</row>
    <row r="370" spans="1:21" outlineLevel="1">
      <c r="A370" s="5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</row>
    <row r="371" spans="1:21" outlineLevel="1">
      <c r="A371" s="5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</row>
    <row r="372" spans="1:21" outlineLevel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</row>
    <row r="373" spans="1:21" outlineLevel="1">
      <c r="A373" s="2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7"/>
      <c r="P373" s="7"/>
      <c r="Q373" s="7"/>
      <c r="R373" s="7"/>
      <c r="S373" s="7"/>
      <c r="T373" s="7"/>
      <c r="U373" s="7"/>
    </row>
    <row r="374" spans="1:21" outlineLevel="1">
      <c r="A374" s="5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</row>
    <row r="375" spans="1:21" outlineLevel="1">
      <c r="A375" s="86"/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7"/>
      <c r="P375" s="7"/>
      <c r="Q375" s="7"/>
      <c r="R375" s="7"/>
      <c r="S375" s="7"/>
      <c r="T375" s="7"/>
      <c r="U375" s="7"/>
    </row>
    <row r="376" spans="1:21" outlineLevel="1">
      <c r="A376" s="86"/>
      <c r="B376" s="101"/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7"/>
      <c r="P376" s="7"/>
      <c r="Q376" s="7"/>
      <c r="R376" s="7"/>
      <c r="S376" s="7"/>
      <c r="T376" s="7"/>
      <c r="U376" s="7"/>
    </row>
    <row r="377" spans="1:21" outlineLevel="1">
      <c r="A377" s="86"/>
      <c r="B377" s="101"/>
      <c r="C377" s="101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7"/>
      <c r="P377" s="7"/>
      <c r="Q377" s="7"/>
      <c r="R377" s="7"/>
      <c r="S377" s="7"/>
      <c r="T377" s="7"/>
      <c r="U377" s="7"/>
    </row>
    <row r="378" spans="1:21" outlineLevel="1">
      <c r="A378" s="86"/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7"/>
      <c r="P378" s="7"/>
      <c r="Q378" s="7"/>
      <c r="R378" s="7"/>
      <c r="S378" s="7"/>
      <c r="T378" s="7"/>
      <c r="U378" s="7"/>
    </row>
    <row r="379" spans="1:21" outlineLevel="1">
      <c r="A379" s="86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7"/>
      <c r="P379" s="7"/>
      <c r="Q379" s="7"/>
      <c r="R379" s="7"/>
      <c r="S379" s="7"/>
      <c r="T379" s="7"/>
      <c r="U379" s="7"/>
    </row>
    <row r="380" spans="1:21" outlineLevel="1">
      <c r="A380" s="86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7"/>
      <c r="P380" s="7"/>
      <c r="Q380" s="7"/>
      <c r="R380" s="7"/>
      <c r="S380" s="7"/>
      <c r="T380" s="7"/>
      <c r="U380" s="7"/>
    </row>
    <row r="381" spans="1:21" outlineLevel="1">
      <c r="A381" s="57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7"/>
      <c r="P381" s="7"/>
      <c r="Q381" s="7"/>
      <c r="R381" s="7"/>
      <c r="S381" s="7"/>
      <c r="T381" s="7"/>
      <c r="U381" s="7"/>
    </row>
    <row r="382" spans="1:21" outlineLevel="1">
      <c r="A382" s="86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7"/>
      <c r="P382" s="7"/>
      <c r="Q382" s="7"/>
      <c r="R382" s="7"/>
      <c r="S382" s="7"/>
      <c r="T382" s="7"/>
      <c r="U382" s="7"/>
    </row>
    <row r="383" spans="1:21" outlineLevel="1">
      <c r="A383" s="86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7"/>
      <c r="P383" s="7"/>
      <c r="Q383" s="7"/>
      <c r="R383" s="7"/>
      <c r="S383" s="7"/>
      <c r="T383" s="7"/>
      <c r="U383" s="7"/>
    </row>
    <row r="384" spans="1:21" outlineLevel="1">
      <c r="A384" s="86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7"/>
      <c r="P384" s="7"/>
      <c r="Q384" s="7"/>
      <c r="R384" s="7"/>
      <c r="S384" s="7"/>
      <c r="T384" s="7"/>
      <c r="U384" s="7"/>
    </row>
    <row r="385" spans="1:21" outlineLevel="1">
      <c r="A385" s="86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7"/>
      <c r="P385" s="7"/>
      <c r="Q385" s="7"/>
      <c r="R385" s="7"/>
      <c r="S385" s="7"/>
      <c r="T385" s="7"/>
      <c r="U385" s="7"/>
    </row>
    <row r="386" spans="1:21" outlineLevel="1">
      <c r="A386" s="86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7"/>
      <c r="P386" s="7"/>
      <c r="Q386" s="7"/>
      <c r="R386" s="7"/>
      <c r="S386" s="7"/>
      <c r="T386" s="7"/>
      <c r="U386" s="7"/>
    </row>
    <row r="387" spans="1:21" outlineLevel="1">
      <c r="A387" s="86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7"/>
      <c r="P387" s="7"/>
      <c r="Q387" s="7"/>
      <c r="R387" s="7"/>
      <c r="S387" s="7"/>
      <c r="T387" s="7"/>
      <c r="U387" s="7"/>
    </row>
    <row r="388" spans="1:21" outlineLevel="1">
      <c r="A388" s="86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7"/>
      <c r="P388" s="7"/>
      <c r="Q388" s="7"/>
      <c r="R388" s="7"/>
      <c r="S388" s="7"/>
      <c r="T388" s="7"/>
      <c r="U388" s="7"/>
    </row>
    <row r="389" spans="1:21" outlineLevel="1">
      <c r="A389" s="86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7"/>
      <c r="P389" s="7"/>
      <c r="Q389" s="7"/>
      <c r="R389" s="7"/>
      <c r="S389" s="7"/>
      <c r="T389" s="7"/>
      <c r="U389" s="7"/>
    </row>
    <row r="390" spans="1:21" outlineLevel="1">
      <c r="A390" s="86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7"/>
      <c r="P390" s="7"/>
      <c r="Q390" s="7"/>
      <c r="R390" s="7"/>
      <c r="S390" s="7"/>
      <c r="T390" s="7"/>
      <c r="U390" s="7"/>
    </row>
    <row r="391" spans="1:21" outlineLevel="1">
      <c r="A391" s="86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7"/>
      <c r="P391" s="7"/>
      <c r="Q391" s="7"/>
      <c r="R391" s="7"/>
      <c r="S391" s="7"/>
      <c r="T391" s="7"/>
      <c r="U391" s="7"/>
    </row>
    <row r="392" spans="1:21" outlineLevel="1">
      <c r="A392" s="86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7"/>
      <c r="P392" s="7"/>
      <c r="Q392" s="7"/>
      <c r="R392" s="7"/>
      <c r="S392" s="7"/>
      <c r="T392" s="7"/>
      <c r="U392" s="7"/>
    </row>
    <row r="393" spans="1:21" outlineLevel="1">
      <c r="A393" s="86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7"/>
      <c r="P393" s="7"/>
      <c r="Q393" s="7"/>
      <c r="R393" s="7"/>
      <c r="S393" s="7"/>
      <c r="T393" s="7"/>
      <c r="U393" s="7"/>
    </row>
    <row r="394" spans="1:21" outlineLevel="1">
      <c r="A394" s="57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7"/>
      <c r="P394" s="7"/>
      <c r="Q394" s="7"/>
      <c r="R394" s="7"/>
      <c r="S394" s="7"/>
      <c r="T394" s="7"/>
      <c r="U394" s="7"/>
    </row>
    <row r="395" spans="1:21" outlineLevel="1">
      <c r="A395" s="7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7"/>
      <c r="P395" s="7"/>
      <c r="Q395" s="7"/>
      <c r="R395" s="7"/>
      <c r="S395" s="7"/>
      <c r="T395" s="7"/>
      <c r="U395" s="7"/>
    </row>
    <row r="396" spans="1:21" outlineLevel="1">
      <c r="A396" s="86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7"/>
      <c r="P396" s="7"/>
      <c r="Q396" s="7"/>
      <c r="R396" s="7"/>
      <c r="S396" s="7"/>
      <c r="T396" s="7"/>
      <c r="U396" s="7"/>
    </row>
    <row r="397" spans="1:21" outlineLevel="1">
      <c r="A397" s="57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7"/>
      <c r="P397" s="7"/>
      <c r="Q397" s="7"/>
      <c r="R397" s="7"/>
      <c r="S397" s="7"/>
      <c r="T397" s="7"/>
      <c r="U397" s="7"/>
    </row>
    <row r="398" spans="1:21" outlineLevel="1">
      <c r="A398" s="86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7"/>
      <c r="P398" s="7"/>
      <c r="Q398" s="7"/>
      <c r="R398" s="7"/>
      <c r="S398" s="7"/>
      <c r="T398" s="7"/>
      <c r="U398" s="7"/>
    </row>
    <row r="399" spans="1:21" outlineLevel="1">
      <c r="A399" s="57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7"/>
      <c r="P399" s="7"/>
      <c r="Q399" s="7"/>
      <c r="R399" s="7"/>
      <c r="S399" s="7"/>
      <c r="T399" s="7"/>
      <c r="U399" s="7"/>
    </row>
    <row r="400" spans="1:21" outlineLevel="1">
      <c r="A400" s="57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7"/>
      <c r="P400" s="7"/>
      <c r="Q400" s="7"/>
      <c r="R400" s="7"/>
      <c r="S400" s="7"/>
      <c r="T400" s="7"/>
      <c r="U400" s="7"/>
    </row>
    <row r="401" spans="1:21" outlineLevel="1">
      <c r="A401" s="57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7"/>
      <c r="P401" s="7"/>
      <c r="Q401" s="7"/>
      <c r="R401" s="7"/>
      <c r="S401" s="7"/>
      <c r="T401" s="7"/>
      <c r="U401" s="7"/>
    </row>
    <row r="402" spans="1:21" outlineLevel="1">
      <c r="A402" s="57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7"/>
      <c r="P402" s="7"/>
      <c r="Q402" s="7"/>
      <c r="R402" s="7"/>
      <c r="S402" s="7"/>
      <c r="T402" s="7"/>
      <c r="U402" s="7"/>
    </row>
    <row r="403" spans="1:21" outlineLevel="1">
      <c r="A403" s="57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7"/>
      <c r="P403" s="7"/>
      <c r="Q403" s="7"/>
      <c r="R403" s="7"/>
      <c r="S403" s="7"/>
      <c r="T403" s="7"/>
      <c r="U403" s="7"/>
    </row>
    <row r="404" spans="1:21" outlineLevel="1">
      <c r="A404" s="57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7"/>
      <c r="P404" s="7"/>
      <c r="Q404" s="7"/>
      <c r="R404" s="7"/>
      <c r="S404" s="7"/>
      <c r="T404" s="7"/>
      <c r="U404" s="7"/>
    </row>
    <row r="405" spans="1:21" outlineLevel="1">
      <c r="A405" s="57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7"/>
      <c r="P405" s="7"/>
      <c r="Q405" s="7"/>
      <c r="R405" s="7"/>
      <c r="S405" s="7"/>
      <c r="T405" s="7"/>
      <c r="U405" s="7"/>
    </row>
    <row r="406" spans="1:21" outlineLevel="1">
      <c r="A406" s="57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7"/>
      <c r="P406" s="7"/>
      <c r="Q406" s="7"/>
      <c r="R406" s="7"/>
      <c r="S406" s="7"/>
      <c r="T406" s="7"/>
      <c r="U406" s="7"/>
    </row>
    <row r="407" spans="1:21" outlineLevel="1">
      <c r="A407" s="7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</row>
    <row r="408" spans="1:21" outlineLevel="1">
      <c r="A408" s="7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</row>
    <row r="409" spans="1:21" outlineLevel="1">
      <c r="A409" s="7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</row>
    <row r="410" spans="1:21" outlineLevel="1">
      <c r="A410" s="7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</row>
    <row r="411" spans="1:21" outlineLevel="1">
      <c r="A411" s="7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</row>
    <row r="412" spans="1:21" outlineLevel="1">
      <c r="A412" s="7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</row>
    <row r="413" spans="1:21" outlineLevel="1">
      <c r="A413" s="57"/>
      <c r="B413" s="101"/>
      <c r="C413" s="101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</row>
    <row r="414" spans="1:21" outlineLevel="1">
      <c r="A414" s="7"/>
      <c r="B414" s="101"/>
      <c r="C414" s="101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</row>
    <row r="415" spans="1:21" outlineLevel="1">
      <c r="A415" s="7"/>
      <c r="B415" s="101"/>
      <c r="C415" s="101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</row>
    <row r="416" spans="1:21" outlineLevel="1">
      <c r="A416" s="57"/>
      <c r="B416" s="101"/>
      <c r="C416" s="101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</row>
    <row r="417" spans="1:21" outlineLevel="1">
      <c r="A417" s="57"/>
      <c r="B417" s="101"/>
      <c r="C417" s="101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</row>
    <row r="418" spans="1:21" outlineLevel="1">
      <c r="A418" s="7"/>
      <c r="B418" s="101"/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</row>
    <row r="419" spans="1:21" outlineLevel="1">
      <c r="A419" s="7"/>
      <c r="B419" s="101"/>
      <c r="C419" s="101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</row>
    <row r="420" spans="1:21" outlineLevel="1">
      <c r="A420" s="7"/>
      <c r="B420" s="101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</row>
    <row r="421" spans="1:21" outlineLevel="1">
      <c r="A421" s="7"/>
      <c r="B421" s="101"/>
      <c r="C421" s="101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</row>
    <row r="422" spans="1:21" outlineLevel="1">
      <c r="A422" s="7"/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</row>
    <row r="423" spans="1:21" outlineLevel="1">
      <c r="A423" s="7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</row>
    <row r="424" spans="1:21" outlineLevel="1">
      <c r="A424" s="7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</row>
    <row r="425" spans="1:21" outlineLevel="1">
      <c r="A425" s="7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7"/>
      <c r="P425" s="7"/>
      <c r="Q425" s="7"/>
      <c r="R425" s="7"/>
      <c r="S425" s="7"/>
      <c r="T425" s="7"/>
      <c r="U425" s="7"/>
    </row>
    <row r="426" spans="1:21" outlineLevel="1">
      <c r="A426" s="57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7"/>
      <c r="P426" s="7"/>
      <c r="Q426" s="7"/>
      <c r="R426" s="7"/>
      <c r="S426" s="7"/>
      <c r="T426" s="7"/>
      <c r="U426" s="7"/>
    </row>
    <row r="427" spans="1:21" outlineLevel="1">
      <c r="A427" s="57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7"/>
      <c r="P427" s="7"/>
      <c r="Q427" s="7"/>
      <c r="R427" s="7"/>
      <c r="S427" s="7"/>
      <c r="T427" s="7"/>
      <c r="U427" s="7"/>
    </row>
    <row r="428" spans="1:21" outlineLevel="1">
      <c r="A428" s="57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7"/>
      <c r="P428" s="7"/>
      <c r="Q428" s="7"/>
      <c r="R428" s="7"/>
      <c r="S428" s="7"/>
      <c r="T428" s="7"/>
      <c r="U428" s="7"/>
    </row>
    <row r="429" spans="1:21" outlineLevel="1">
      <c r="A429" s="57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7"/>
      <c r="P429" s="7"/>
      <c r="Q429" s="7"/>
      <c r="R429" s="7"/>
      <c r="S429" s="7"/>
      <c r="T429" s="7"/>
      <c r="U429" s="7"/>
    </row>
    <row r="430" spans="1:21" outlineLevel="1">
      <c r="A430" s="57"/>
      <c r="B430" s="102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7"/>
      <c r="P430" s="7"/>
      <c r="Q430" s="7"/>
      <c r="R430" s="7"/>
      <c r="S430" s="7"/>
      <c r="T430" s="7"/>
      <c r="U430" s="7"/>
    </row>
    <row r="431" spans="1:21" outlineLevel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</row>
    <row r="432" spans="1:21" ht="18.75" outlineLevel="1">
      <c r="A432" s="84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</row>
    <row r="433" spans="1:21" outlineLevel="1">
      <c r="A433" s="5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</row>
    <row r="434" spans="1:21" outlineLevel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</row>
    <row r="435" spans="1:21" outlineLevel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</row>
    <row r="436" spans="1:21" outlineLevel="1">
      <c r="A436" s="2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</row>
    <row r="437" spans="1:21" outlineLevel="1">
      <c r="A437" s="7"/>
      <c r="B437" s="7"/>
      <c r="C437" s="73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</row>
    <row r="438" spans="1:21" outlineLevel="1">
      <c r="A438" s="57"/>
      <c r="B438" s="7"/>
      <c r="C438" s="73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7"/>
      <c r="P438" s="7"/>
      <c r="Q438" s="7"/>
      <c r="R438" s="7"/>
      <c r="S438" s="7"/>
      <c r="T438" s="7"/>
      <c r="U438" s="7"/>
    </row>
    <row r="439" spans="1:21" outlineLevel="1">
      <c r="A439" s="7"/>
      <c r="B439" s="7"/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"/>
      <c r="P439" s="7"/>
      <c r="Q439" s="7"/>
      <c r="R439" s="7"/>
      <c r="S439" s="7"/>
      <c r="T439" s="7"/>
      <c r="U439" s="7"/>
    </row>
    <row r="440" spans="1:21" outlineLevel="1">
      <c r="A440" s="7"/>
      <c r="B440" s="7"/>
      <c r="C440" s="73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7"/>
      <c r="P440" s="7"/>
      <c r="Q440" s="7"/>
      <c r="R440" s="7"/>
      <c r="S440" s="7"/>
      <c r="T440" s="7"/>
      <c r="U440" s="7"/>
    </row>
    <row r="441" spans="1:21" outlineLevel="1">
      <c r="A441" s="7"/>
      <c r="B441" s="7"/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"/>
      <c r="P441" s="7"/>
      <c r="Q441" s="7"/>
      <c r="R441" s="7"/>
      <c r="S441" s="7"/>
      <c r="T441" s="7"/>
      <c r="U441" s="7"/>
    </row>
    <row r="442" spans="1:21" outlineLevel="1">
      <c r="A442" s="7"/>
      <c r="B442" s="7"/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"/>
      <c r="P442" s="7"/>
      <c r="Q442" s="7"/>
      <c r="R442" s="7"/>
      <c r="S442" s="7"/>
      <c r="T442" s="7"/>
      <c r="U442" s="7"/>
    </row>
    <row r="443" spans="1:21" outlineLevel="1">
      <c r="A443" s="94"/>
      <c r="B443" s="7"/>
      <c r="C443" s="73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7"/>
      <c r="P443" s="7"/>
      <c r="Q443" s="7"/>
      <c r="R443" s="7"/>
      <c r="S443" s="7"/>
      <c r="T443" s="7"/>
      <c r="U443" s="7"/>
    </row>
    <row r="444" spans="1:21" outlineLevel="1">
      <c r="A444" s="94"/>
      <c r="B444" s="7"/>
      <c r="C444" s="73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7"/>
      <c r="P444" s="7"/>
      <c r="Q444" s="7"/>
      <c r="R444" s="7"/>
      <c r="S444" s="7"/>
      <c r="T444" s="7"/>
      <c r="U444" s="7"/>
    </row>
    <row r="445" spans="1:21" outlineLevel="1">
      <c r="A445" s="57"/>
      <c r="B445" s="7"/>
      <c r="C445" s="73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</row>
    <row r="446" spans="1:21" outlineLevel="1">
      <c r="A446" s="7"/>
      <c r="B446" s="102"/>
      <c r="C446" s="103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7"/>
      <c r="P446" s="7"/>
      <c r="Q446" s="7"/>
      <c r="R446" s="7"/>
      <c r="S446" s="7"/>
      <c r="T446" s="7"/>
      <c r="U446" s="7"/>
    </row>
    <row r="447" spans="1:21" outlineLevel="1">
      <c r="A447" s="7"/>
      <c r="B447" s="7"/>
      <c r="C447" s="73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</row>
    <row r="448" spans="1:21" outlineLevel="1">
      <c r="A448" s="57"/>
      <c r="B448" s="7"/>
      <c r="C448" s="73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7"/>
      <c r="P448" s="7"/>
      <c r="Q448" s="7"/>
      <c r="R448" s="7"/>
      <c r="S448" s="7"/>
      <c r="T448" s="7"/>
      <c r="U448" s="7"/>
    </row>
    <row r="449" spans="1:21" outlineLevel="1">
      <c r="A449" s="7"/>
      <c r="B449" s="7"/>
      <c r="C449" s="73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7"/>
      <c r="P449" s="7"/>
      <c r="Q449" s="7"/>
      <c r="R449" s="7"/>
      <c r="S449" s="7"/>
      <c r="T449" s="7"/>
      <c r="U449" s="7"/>
    </row>
    <row r="450" spans="1:21" outlineLevel="1">
      <c r="A450" s="57"/>
      <c r="B450" s="7"/>
      <c r="C450" s="73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7"/>
      <c r="P450" s="7"/>
      <c r="Q450" s="7"/>
      <c r="R450" s="7"/>
      <c r="S450" s="7"/>
      <c r="T450" s="7"/>
      <c r="U450" s="7"/>
    </row>
    <row r="451" spans="1:21" outlineLevel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</row>
    <row r="452" spans="1:21" outlineLevel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</row>
    <row r="453" spans="1:21" s="106" customFormat="1" ht="18.75" outlineLevel="1">
      <c r="A453" s="104"/>
      <c r="B453" s="105"/>
      <c r="C453" s="105"/>
    </row>
    <row r="454" spans="1:21" s="106" customFormat="1" outlineLevel="1">
      <c r="A454" s="105"/>
      <c r="B454" s="107"/>
      <c r="C454" s="108"/>
      <c r="D454" s="105"/>
      <c r="E454" s="109"/>
    </row>
    <row r="455" spans="1:21" s="106" customFormat="1" outlineLevel="1">
      <c r="A455" s="105"/>
      <c r="B455" s="110"/>
      <c r="C455" s="88"/>
      <c r="D455" s="88"/>
      <c r="E455" s="109"/>
    </row>
    <row r="456" spans="1:21" s="106" customFormat="1" outlineLevel="1">
      <c r="A456" s="105"/>
      <c r="B456" s="88"/>
      <c r="C456" s="109"/>
      <c r="D456" s="88"/>
      <c r="E456" s="110"/>
    </row>
    <row r="457" spans="1:21" s="106" customFormat="1" outlineLevel="1">
      <c r="A457" s="111"/>
      <c r="B457" s="107"/>
      <c r="C457" s="107"/>
      <c r="D457" s="107"/>
      <c r="E457" s="107"/>
      <c r="F457" s="107"/>
      <c r="G457" s="107"/>
      <c r="H457" s="107"/>
      <c r="I457" s="107"/>
      <c r="J457" s="107"/>
      <c r="K457" s="107"/>
      <c r="L457" s="107"/>
      <c r="M457" s="107"/>
      <c r="N457" s="107"/>
      <c r="O457" s="107"/>
      <c r="P457" s="107"/>
      <c r="Q457" s="107"/>
      <c r="R457" s="107"/>
      <c r="S457" s="107"/>
      <c r="T457" s="107"/>
      <c r="U457" s="107"/>
    </row>
    <row r="458" spans="1:21" s="106" customFormat="1" outlineLevel="1">
      <c r="A458" s="80"/>
      <c r="B458" s="105"/>
      <c r="C458" s="112"/>
      <c r="D458" s="112"/>
      <c r="E458" s="112"/>
      <c r="F458" s="112"/>
      <c r="G458" s="112"/>
      <c r="H458" s="112"/>
      <c r="I458" s="112"/>
      <c r="J458" s="112"/>
      <c r="K458" s="112"/>
      <c r="L458" s="112"/>
      <c r="M458" s="112"/>
      <c r="N458" s="112"/>
      <c r="O458" s="112"/>
      <c r="P458" s="112"/>
      <c r="Q458" s="112"/>
      <c r="R458" s="112"/>
      <c r="S458" s="112"/>
      <c r="T458" s="112"/>
      <c r="U458" s="112"/>
    </row>
    <row r="459" spans="1:21" s="106" customFormat="1" outlineLevel="1">
      <c r="A459" s="79"/>
      <c r="B459" s="112"/>
      <c r="C459" s="112"/>
      <c r="D459" s="112"/>
      <c r="E459" s="112"/>
      <c r="F459" s="112"/>
      <c r="G459" s="112"/>
      <c r="H459" s="112"/>
      <c r="I459" s="112"/>
      <c r="J459" s="112"/>
      <c r="K459" s="112"/>
      <c r="L459" s="112"/>
      <c r="M459" s="112"/>
      <c r="N459" s="112"/>
      <c r="O459" s="112"/>
      <c r="P459" s="112"/>
      <c r="Q459" s="112"/>
      <c r="R459" s="112"/>
      <c r="S459" s="112"/>
      <c r="T459" s="112"/>
      <c r="U459" s="112"/>
    </row>
    <row r="460" spans="1:21" s="106" customFormat="1" outlineLevel="1">
      <c r="A460" s="79"/>
      <c r="B460" s="112"/>
      <c r="C460" s="112"/>
      <c r="D460" s="112"/>
      <c r="E460" s="112"/>
      <c r="F460" s="112"/>
      <c r="G460" s="112"/>
      <c r="H460" s="112"/>
      <c r="I460" s="112"/>
      <c r="J460" s="112"/>
      <c r="K460" s="112"/>
      <c r="L460" s="112"/>
      <c r="M460" s="112"/>
      <c r="N460" s="112"/>
      <c r="O460" s="112"/>
      <c r="P460" s="112"/>
      <c r="Q460" s="112"/>
      <c r="R460" s="112"/>
      <c r="S460" s="112"/>
      <c r="T460" s="112"/>
      <c r="U460" s="112"/>
    </row>
    <row r="461" spans="1:21" s="106" customFormat="1" outlineLevel="1">
      <c r="A461" s="79"/>
      <c r="B461" s="112"/>
      <c r="C461" s="112"/>
      <c r="D461" s="112"/>
      <c r="E461" s="112"/>
      <c r="F461" s="112"/>
      <c r="G461" s="112"/>
      <c r="H461" s="112"/>
      <c r="I461" s="112"/>
      <c r="J461" s="112"/>
      <c r="K461" s="112"/>
      <c r="L461" s="112"/>
      <c r="M461" s="112"/>
      <c r="N461" s="112"/>
      <c r="O461" s="112"/>
      <c r="P461" s="112"/>
      <c r="Q461" s="112"/>
      <c r="R461" s="112"/>
      <c r="S461" s="112"/>
      <c r="T461" s="112"/>
      <c r="U461" s="112"/>
    </row>
    <row r="462" spans="1:21" s="106" customFormat="1" outlineLevel="1">
      <c r="A462" s="78"/>
      <c r="B462" s="112"/>
      <c r="C462" s="112"/>
      <c r="D462" s="112"/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</row>
    <row r="463" spans="1:21" s="106" customFormat="1" outlineLevel="1">
      <c r="A463" s="69"/>
      <c r="B463" s="112"/>
      <c r="C463" s="112"/>
      <c r="D463" s="112"/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</row>
    <row r="464" spans="1:21" s="106" customFormat="1" outlineLevel="1">
      <c r="A464" s="80"/>
      <c r="B464" s="112"/>
      <c r="C464" s="112"/>
      <c r="D464" s="112"/>
      <c r="E464" s="112"/>
      <c r="F464" s="112"/>
      <c r="G464" s="112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</row>
    <row r="465" spans="1:21" s="106" customFormat="1" outlineLevel="1">
      <c r="A465" s="113"/>
      <c r="B465" s="112"/>
      <c r="C465" s="112"/>
      <c r="D465" s="112"/>
      <c r="E465" s="112"/>
      <c r="F465" s="112"/>
      <c r="G465" s="112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</row>
    <row r="466" spans="1:21" s="106" customFormat="1" outlineLevel="1">
      <c r="A466" s="113"/>
      <c r="B466" s="112"/>
      <c r="C466" s="112"/>
      <c r="D466" s="112"/>
      <c r="E466" s="112"/>
      <c r="F466" s="112"/>
      <c r="G466" s="112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</row>
    <row r="467" spans="1:21" s="106" customFormat="1" outlineLevel="1">
      <c r="A467" s="113"/>
      <c r="B467" s="112"/>
      <c r="C467" s="112"/>
      <c r="D467" s="112"/>
      <c r="E467" s="112"/>
      <c r="F467" s="112"/>
      <c r="G467" s="112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</row>
    <row r="468" spans="1:21" s="106" customFormat="1" outlineLevel="1">
      <c r="A468" s="113"/>
      <c r="B468" s="112"/>
      <c r="C468" s="112"/>
      <c r="D468" s="112"/>
      <c r="E468" s="112"/>
      <c r="F468" s="112"/>
      <c r="G468" s="112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</row>
    <row r="469" spans="1:21" s="106" customFormat="1" outlineLevel="1">
      <c r="A469" s="113"/>
      <c r="B469" s="112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</row>
    <row r="470" spans="1:21" s="106" customFormat="1" outlineLevel="1">
      <c r="A470" s="83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</row>
    <row r="471" spans="1:21" s="106" customFormat="1" outlineLevel="1">
      <c r="A471" s="113"/>
      <c r="B471" s="112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</row>
    <row r="472" spans="1:21" s="106" customFormat="1" outlineLevel="1">
      <c r="A472" s="113"/>
      <c r="B472" s="112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</row>
    <row r="473" spans="1:21" s="106" customFormat="1" outlineLevel="1">
      <c r="A473" s="113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</row>
    <row r="474" spans="1:21" s="106" customFormat="1" outlineLevel="1">
      <c r="A474" s="113"/>
      <c r="B474" s="112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</row>
    <row r="475" spans="1:21" s="106" customFormat="1" outlineLevel="1">
      <c r="A475" s="113"/>
      <c r="B475" s="112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</row>
    <row r="476" spans="1:21" s="106" customFormat="1" outlineLevel="1">
      <c r="A476" s="80"/>
      <c r="B476" s="112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</row>
    <row r="477" spans="1:21" s="106" customFormat="1" outlineLevel="1">
      <c r="A477" s="80"/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</row>
    <row r="478" spans="1:21" s="106" customFormat="1" outlineLevel="1">
      <c r="A478" s="80"/>
      <c r="B478" s="112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</row>
    <row r="479" spans="1:21" s="106" customFormat="1" outlineLevel="1">
      <c r="A479" s="80"/>
      <c r="B479" s="112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</row>
    <row r="480" spans="1:21" s="106" customFormat="1" outlineLevel="1">
      <c r="A480" s="79"/>
      <c r="B480" s="112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</row>
    <row r="481" spans="1:21" s="106" customFormat="1" outlineLevel="1">
      <c r="A481" s="79"/>
      <c r="B481" s="112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</row>
    <row r="482" spans="1:21" s="106" customFormat="1" outlineLevel="1">
      <c r="A482" s="80"/>
      <c r="B482" s="112"/>
      <c r="C482" s="112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</row>
    <row r="483" spans="1:21" s="106" customFormat="1" outlineLevel="1">
      <c r="A483" s="82"/>
      <c r="B483" s="114"/>
      <c r="C483" s="114"/>
      <c r="D483" s="114"/>
      <c r="E483" s="114"/>
      <c r="F483" s="114"/>
      <c r="G483" s="114"/>
      <c r="H483" s="114"/>
      <c r="I483" s="114"/>
      <c r="J483" s="114"/>
      <c r="K483" s="114"/>
      <c r="L483" s="114"/>
      <c r="M483" s="114"/>
      <c r="N483" s="114"/>
      <c r="O483" s="114"/>
      <c r="P483" s="114"/>
      <c r="Q483" s="114"/>
      <c r="R483" s="114"/>
      <c r="S483" s="114"/>
      <c r="T483" s="114"/>
      <c r="U483" s="114"/>
    </row>
    <row r="484" spans="1:21" s="106" customFormat="1" outlineLevel="1">
      <c r="A484" s="79"/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</row>
    <row r="485" spans="1:21" s="106" customFormat="1" ht="13.9" customHeight="1" outlineLevel="1">
      <c r="A485" s="78"/>
      <c r="B485" s="112"/>
      <c r="C485" s="112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</row>
    <row r="486" spans="1:21" s="116" customFormat="1" outlineLevel="1">
      <c r="A486" s="115"/>
      <c r="B486" s="112"/>
      <c r="C486" s="112"/>
      <c r="D486" s="112"/>
      <c r="E486" s="112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</row>
    <row r="487" spans="1:21" s="106" customFormat="1" outlineLevel="1">
      <c r="A487" s="78"/>
      <c r="B487" s="112"/>
      <c r="C487" s="112"/>
      <c r="D487" s="112"/>
      <c r="E487" s="112"/>
      <c r="F487" s="112"/>
      <c r="G487" s="112"/>
      <c r="H487" s="112"/>
      <c r="I487" s="112"/>
      <c r="J487" s="112"/>
      <c r="K487" s="112"/>
      <c r="L487" s="112"/>
      <c r="M487" s="112"/>
      <c r="N487" s="112"/>
      <c r="O487" s="112"/>
      <c r="P487" s="112"/>
      <c r="Q487" s="112"/>
      <c r="R487" s="112"/>
      <c r="S487" s="112"/>
      <c r="T487" s="112"/>
      <c r="U487" s="112"/>
    </row>
    <row r="488" spans="1:21" s="106" customFormat="1" outlineLevel="1">
      <c r="A488" s="79"/>
      <c r="B488" s="112"/>
      <c r="C488" s="112"/>
      <c r="D488" s="112"/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</row>
    <row r="489" spans="1:21" s="106" customFormat="1" outlineLevel="1">
      <c r="A489" s="79"/>
      <c r="B489" s="112"/>
      <c r="C489" s="112"/>
      <c r="D489" s="112"/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</row>
    <row r="490" spans="1:21" s="106" customFormat="1" outlineLevel="1">
      <c r="A490" s="79"/>
      <c r="B490" s="112"/>
      <c r="C490" s="112"/>
      <c r="D490" s="112"/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</row>
    <row r="491" spans="1:21" s="106" customFormat="1" outlineLevel="1">
      <c r="A491" s="79"/>
      <c r="B491" s="112"/>
      <c r="C491" s="112"/>
      <c r="D491" s="112"/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</row>
    <row r="492" spans="1:21" s="106" customFormat="1" outlineLevel="1">
      <c r="A492" s="80"/>
      <c r="B492" s="112"/>
      <c r="C492" s="112"/>
      <c r="D492" s="112"/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</row>
    <row r="493" spans="1:21" s="116" customFormat="1" outlineLevel="1">
      <c r="A493" s="117"/>
      <c r="B493" s="112"/>
      <c r="C493" s="112"/>
      <c r="D493" s="112"/>
      <c r="E493" s="112"/>
      <c r="F493" s="112"/>
      <c r="G493" s="112"/>
      <c r="H493" s="112"/>
      <c r="I493" s="112"/>
      <c r="J493" s="112"/>
      <c r="K493" s="112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</row>
    <row r="494" spans="1:21" s="106" customFormat="1" outlineLevel="1">
      <c r="A494" s="79"/>
      <c r="B494" s="112"/>
      <c r="C494" s="112"/>
      <c r="D494" s="112"/>
      <c r="E494" s="112"/>
      <c r="F494" s="112"/>
      <c r="G494" s="112"/>
      <c r="H494" s="112"/>
      <c r="I494" s="112"/>
      <c r="J494" s="112"/>
      <c r="K494" s="112"/>
      <c r="L494" s="112"/>
      <c r="M494" s="112"/>
      <c r="N494" s="112"/>
      <c r="O494" s="112"/>
      <c r="P494" s="112"/>
      <c r="Q494" s="112"/>
      <c r="R494" s="112"/>
      <c r="S494" s="112"/>
      <c r="T494" s="112"/>
      <c r="U494" s="112"/>
    </row>
    <row r="495" spans="1:21" s="106" customFormat="1" outlineLevel="1">
      <c r="A495" s="82"/>
      <c r="B495" s="112"/>
      <c r="C495" s="112"/>
      <c r="D495" s="112"/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</row>
    <row r="496" spans="1:21" s="106" customFormat="1" outlineLevel="1">
      <c r="A496" s="82"/>
      <c r="B496" s="112"/>
      <c r="C496" s="112"/>
      <c r="D496" s="112"/>
      <c r="E496" s="112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</row>
    <row r="497" spans="1:21" s="106" customFormat="1" outlineLevel="1">
      <c r="A497" s="82"/>
      <c r="B497" s="112"/>
      <c r="C497" s="112"/>
      <c r="D497" s="112"/>
      <c r="E497" s="112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</row>
    <row r="498" spans="1:21" s="106" customFormat="1" outlineLevel="1">
      <c r="A498" s="79"/>
      <c r="B498" s="112"/>
      <c r="C498" s="112"/>
      <c r="D498" s="112"/>
      <c r="E498" s="112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</row>
    <row r="499" spans="1:21" s="116" customFormat="1" outlineLevel="1">
      <c r="A499" s="115"/>
      <c r="B499" s="112"/>
      <c r="C499" s="112"/>
      <c r="D499" s="112"/>
      <c r="E499" s="112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</row>
    <row r="500" spans="1:21" s="106" customFormat="1" outlineLevel="1">
      <c r="A500" s="79"/>
      <c r="B500" s="112"/>
      <c r="C500" s="112"/>
      <c r="D500" s="112"/>
      <c r="E500" s="112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</row>
    <row r="501" spans="1:21" s="106" customFormat="1" outlineLevel="1">
      <c r="A501" s="82"/>
      <c r="B501" s="112"/>
      <c r="C501" s="112"/>
      <c r="D501" s="112"/>
      <c r="E501" s="112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</row>
    <row r="502" spans="1:21" s="106" customFormat="1" outlineLevel="1">
      <c r="A502" s="78"/>
      <c r="B502" s="112"/>
      <c r="C502" s="112"/>
      <c r="D502" s="112"/>
      <c r="E502" s="112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</row>
    <row r="503" spans="1:21" s="116" customFormat="1" outlineLevel="1">
      <c r="A503" s="117"/>
      <c r="B503" s="112"/>
      <c r="C503" s="112"/>
      <c r="D503" s="112"/>
      <c r="E503" s="112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</row>
    <row r="504" spans="1:21" s="106" customFormat="1" outlineLevel="1">
      <c r="A504" s="80"/>
      <c r="B504" s="112"/>
      <c r="C504" s="112"/>
      <c r="D504" s="112"/>
      <c r="E504" s="112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</row>
    <row r="505" spans="1:21" s="116" customFormat="1" outlineLevel="1">
      <c r="A505" s="117"/>
      <c r="B505" s="112"/>
      <c r="C505" s="112"/>
      <c r="D505" s="112"/>
      <c r="E505" s="112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</row>
    <row r="506" spans="1:21" s="106" customFormat="1" outlineLevel="1">
      <c r="A506" s="80"/>
      <c r="B506" s="112"/>
      <c r="C506" s="112"/>
      <c r="D506" s="112"/>
      <c r="E506" s="112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</row>
    <row r="507" spans="1:21" s="106" customFormat="1" outlineLevel="1">
      <c r="A507" s="80"/>
      <c r="B507" s="112"/>
      <c r="C507" s="112"/>
      <c r="D507" s="112"/>
      <c r="E507" s="112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</row>
    <row r="508" spans="1:21" s="106" customFormat="1" outlineLevel="1">
      <c r="A508" s="80"/>
      <c r="B508" s="112"/>
      <c r="C508" s="112"/>
      <c r="D508" s="112"/>
      <c r="E508" s="112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</row>
    <row r="509" spans="1:21" outlineLevel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</row>
    <row r="510" spans="1:21" outlineLevel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</row>
    <row r="511" spans="1:21" outlineLevel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</row>
    <row r="512" spans="1:21" ht="18.75" outlineLevel="1">
      <c r="A512" s="8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</row>
    <row r="513" spans="1:21" outlineLevel="1">
      <c r="A513" s="5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</row>
    <row r="514" spans="1:21" outlineLevel="1">
      <c r="A514" s="118"/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7"/>
      <c r="N514" s="7"/>
      <c r="O514" s="7"/>
      <c r="P514" s="7"/>
      <c r="Q514" s="7"/>
      <c r="R514" s="7"/>
      <c r="S514" s="7"/>
      <c r="T514" s="7"/>
      <c r="U514" s="7"/>
    </row>
    <row r="515" spans="1:21" outlineLevel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</row>
    <row r="516" spans="1:21" outlineLevel="1">
      <c r="A516" s="2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7"/>
      <c r="N516" s="7"/>
      <c r="O516" s="7"/>
      <c r="P516" s="7"/>
      <c r="Q516" s="7"/>
      <c r="R516" s="7"/>
      <c r="S516" s="7"/>
      <c r="T516" s="7"/>
      <c r="U516" s="7"/>
    </row>
    <row r="517" spans="1:21" hidden="1" outlineLevel="2">
      <c r="A517" s="5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</row>
    <row r="518" spans="1:21" hidden="1" outlineLevel="2">
      <c r="A518" s="86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7"/>
      <c r="N518" s="7"/>
      <c r="O518" s="7"/>
      <c r="P518" s="7"/>
      <c r="Q518" s="7"/>
      <c r="R518" s="7"/>
      <c r="S518" s="7"/>
      <c r="T518" s="7"/>
      <c r="U518" s="7"/>
    </row>
    <row r="519" spans="1:21" hidden="1" outlineLevel="2">
      <c r="A519" s="86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7"/>
      <c r="N519" s="7"/>
      <c r="O519" s="7"/>
      <c r="P519" s="7"/>
      <c r="Q519" s="7"/>
      <c r="R519" s="7"/>
      <c r="S519" s="7"/>
      <c r="T519" s="7"/>
      <c r="U519" s="7"/>
    </row>
    <row r="520" spans="1:21" hidden="1" outlineLevel="2">
      <c r="A520" s="119"/>
      <c r="B520" s="8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7"/>
      <c r="N520" s="7"/>
      <c r="O520" s="7"/>
      <c r="P520" s="7"/>
      <c r="Q520" s="7"/>
      <c r="R520" s="7"/>
      <c r="S520" s="7"/>
      <c r="T520" s="7"/>
      <c r="U520" s="7"/>
    </row>
    <row r="521" spans="1:21" hidden="1" outlineLevel="2">
      <c r="A521" s="86"/>
      <c r="B521" s="8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7"/>
      <c r="N521" s="7"/>
      <c r="O521" s="7"/>
      <c r="P521" s="7"/>
      <c r="Q521" s="7"/>
      <c r="R521" s="7"/>
      <c r="S521" s="7"/>
      <c r="T521" s="7"/>
      <c r="U521" s="7"/>
    </row>
    <row r="522" spans="1:21" hidden="1" outlineLevel="2">
      <c r="A522" s="7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7"/>
      <c r="N522" s="7"/>
      <c r="O522" s="7"/>
      <c r="P522" s="7"/>
      <c r="Q522" s="7"/>
      <c r="R522" s="7"/>
      <c r="S522" s="7"/>
      <c r="T522" s="7"/>
      <c r="U522" s="7"/>
    </row>
    <row r="523" spans="1:21" hidden="1" outlineLevel="2">
      <c r="A523" s="57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7"/>
      <c r="N523" s="7"/>
      <c r="O523" s="7"/>
      <c r="P523" s="7"/>
      <c r="Q523" s="7"/>
      <c r="R523" s="7"/>
      <c r="S523" s="7"/>
      <c r="T523" s="7"/>
      <c r="U523" s="7"/>
    </row>
    <row r="524" spans="1:21" hidden="1" outlineLevel="2">
      <c r="A524" s="86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7"/>
      <c r="N524" s="7"/>
      <c r="O524" s="7"/>
      <c r="P524" s="7"/>
      <c r="Q524" s="7"/>
      <c r="R524" s="7"/>
      <c r="S524" s="7"/>
      <c r="T524" s="7"/>
      <c r="U524" s="7"/>
    </row>
    <row r="525" spans="1:21" hidden="1" outlineLevel="2">
      <c r="A525" s="86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7"/>
      <c r="N525" s="7"/>
      <c r="O525" s="7"/>
      <c r="P525" s="7"/>
      <c r="Q525" s="7"/>
      <c r="R525" s="7"/>
      <c r="S525" s="7"/>
      <c r="T525" s="7"/>
      <c r="U525" s="7"/>
    </row>
    <row r="526" spans="1:21" hidden="1" outlineLevel="2">
      <c r="A526" s="86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7"/>
      <c r="N526" s="7"/>
      <c r="O526" s="7"/>
      <c r="P526" s="7"/>
      <c r="Q526" s="7"/>
      <c r="R526" s="7"/>
      <c r="S526" s="7"/>
      <c r="T526" s="7"/>
      <c r="U526" s="7"/>
    </row>
    <row r="527" spans="1:21" hidden="1" outlineLevel="2">
      <c r="A527" s="86"/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7"/>
      <c r="N527" s="7"/>
      <c r="O527" s="7"/>
      <c r="P527" s="7"/>
      <c r="Q527" s="7"/>
      <c r="R527" s="7"/>
      <c r="S527" s="7"/>
      <c r="T527" s="7"/>
      <c r="U527" s="7"/>
    </row>
    <row r="528" spans="1:21" hidden="1" outlineLevel="2">
      <c r="A528" s="86"/>
      <c r="B528" s="8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7"/>
      <c r="N528" s="7"/>
      <c r="O528" s="7"/>
      <c r="P528" s="7"/>
      <c r="Q528" s="7"/>
      <c r="R528" s="7"/>
      <c r="S528" s="7"/>
      <c r="T528" s="7"/>
      <c r="U528" s="7"/>
    </row>
    <row r="529" spans="1:21" hidden="1" outlineLevel="2">
      <c r="A529" s="86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7"/>
      <c r="N529" s="7"/>
      <c r="O529" s="7"/>
      <c r="P529" s="7"/>
      <c r="Q529" s="7"/>
      <c r="R529" s="7"/>
      <c r="S529" s="7"/>
      <c r="T529" s="7"/>
      <c r="U529" s="7"/>
    </row>
    <row r="530" spans="1:21" hidden="1" outlineLevel="2">
      <c r="A530" s="86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7"/>
      <c r="N530" s="7"/>
      <c r="O530" s="7"/>
      <c r="P530" s="7"/>
      <c r="Q530" s="7"/>
      <c r="R530" s="7"/>
      <c r="S530" s="7"/>
      <c r="T530" s="7"/>
      <c r="U530" s="7"/>
    </row>
    <row r="531" spans="1:21" hidden="1" outlineLevel="2">
      <c r="A531" s="86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7"/>
      <c r="N531" s="7"/>
      <c r="O531" s="7"/>
      <c r="P531" s="7"/>
      <c r="Q531" s="7"/>
      <c r="R531" s="7"/>
      <c r="S531" s="7"/>
      <c r="T531" s="7"/>
      <c r="U531" s="7"/>
    </row>
    <row r="532" spans="1:21" hidden="1" outlineLevel="2">
      <c r="A532" s="86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7"/>
      <c r="N532" s="7"/>
      <c r="O532" s="7"/>
      <c r="P532" s="7"/>
      <c r="Q532" s="7"/>
      <c r="R532" s="7"/>
      <c r="S532" s="7"/>
      <c r="T532" s="7"/>
      <c r="U532" s="7"/>
    </row>
    <row r="533" spans="1:21" hidden="1" outlineLevel="2">
      <c r="A533" s="86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7"/>
      <c r="N533" s="7"/>
      <c r="O533" s="7"/>
      <c r="P533" s="7"/>
      <c r="Q533" s="7"/>
      <c r="R533" s="7"/>
      <c r="S533" s="7"/>
      <c r="T533" s="7"/>
      <c r="U533" s="7"/>
    </row>
    <row r="534" spans="1:21" hidden="1" outlineLevel="2">
      <c r="A534" s="7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7"/>
      <c r="N534" s="7"/>
      <c r="O534" s="7"/>
      <c r="P534" s="7"/>
      <c r="Q534" s="7"/>
      <c r="R534" s="7"/>
      <c r="S534" s="7"/>
      <c r="T534" s="7"/>
      <c r="U534" s="7"/>
    </row>
    <row r="535" spans="1:21" hidden="1" outlineLevel="2">
      <c r="A535" s="7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7"/>
      <c r="N535" s="7"/>
      <c r="O535" s="7"/>
      <c r="P535" s="7"/>
      <c r="Q535" s="7"/>
      <c r="R535" s="7"/>
      <c r="S535" s="7"/>
      <c r="T535" s="7"/>
      <c r="U535" s="7"/>
    </row>
    <row r="536" spans="1:21" hidden="1" outlineLevel="2">
      <c r="A536" s="7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7"/>
      <c r="N536" s="7"/>
      <c r="O536" s="7"/>
      <c r="P536" s="7"/>
      <c r="Q536" s="7"/>
      <c r="R536" s="7"/>
      <c r="S536" s="7"/>
      <c r="T536" s="7"/>
      <c r="U536" s="7"/>
    </row>
    <row r="537" spans="1:21" hidden="1" outlineLevel="2">
      <c r="A537" s="86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7"/>
      <c r="N537" s="7"/>
      <c r="O537" s="7"/>
      <c r="P537" s="7"/>
      <c r="Q537" s="7"/>
      <c r="R537" s="7"/>
      <c r="S537" s="7"/>
      <c r="T537" s="7"/>
      <c r="U537" s="7"/>
    </row>
    <row r="538" spans="1:21" hidden="1" outlineLevel="2">
      <c r="A538" s="7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7"/>
      <c r="N538" s="7"/>
      <c r="O538" s="7"/>
      <c r="P538" s="7"/>
      <c r="Q538" s="7"/>
      <c r="R538" s="7"/>
      <c r="S538" s="7"/>
      <c r="T538" s="7"/>
      <c r="U538" s="7"/>
    </row>
    <row r="539" spans="1:21" hidden="1" outlineLevel="2">
      <c r="A539" s="7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7"/>
      <c r="N539" s="7"/>
      <c r="O539" s="7"/>
      <c r="P539" s="7"/>
      <c r="Q539" s="7"/>
      <c r="R539" s="7"/>
      <c r="S539" s="7"/>
      <c r="T539" s="7"/>
      <c r="U539" s="7"/>
    </row>
    <row r="540" spans="1:21" hidden="1" outlineLevel="2">
      <c r="A540" s="57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7"/>
      <c r="N540" s="7"/>
      <c r="O540" s="7"/>
      <c r="P540" s="7"/>
      <c r="Q540" s="7"/>
      <c r="R540" s="7"/>
      <c r="S540" s="7"/>
      <c r="T540" s="7"/>
      <c r="U540" s="7"/>
    </row>
    <row r="541" spans="1:21" hidden="1" outlineLevel="2">
      <c r="A541" s="86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7"/>
      <c r="N541" s="7"/>
      <c r="O541" s="7"/>
      <c r="P541" s="7"/>
      <c r="Q541" s="7"/>
      <c r="R541" s="7"/>
      <c r="S541" s="7"/>
      <c r="T541" s="7"/>
      <c r="U541" s="7"/>
    </row>
    <row r="542" spans="1:21" outlineLevel="1" collapsed="1">
      <c r="A542" s="57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7"/>
      <c r="N542" s="7"/>
      <c r="O542" s="7"/>
      <c r="P542" s="7"/>
      <c r="Q542" s="7"/>
      <c r="R542" s="7"/>
      <c r="S542" s="7"/>
      <c r="T542" s="7"/>
      <c r="U542" s="7"/>
    </row>
    <row r="543" spans="1:21" outlineLevel="1">
      <c r="A543" s="57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7"/>
      <c r="N543" s="7"/>
      <c r="O543" s="7"/>
      <c r="P543" s="7"/>
      <c r="Q543" s="7"/>
      <c r="R543" s="7"/>
      <c r="S543" s="7"/>
      <c r="T543" s="7"/>
      <c r="U543" s="7"/>
    </row>
    <row r="544" spans="1:21" outlineLevel="1">
      <c r="A544" s="57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7"/>
      <c r="N544" s="7"/>
      <c r="O544" s="7"/>
      <c r="P544" s="7"/>
      <c r="Q544" s="7"/>
      <c r="R544" s="7"/>
      <c r="S544" s="7"/>
      <c r="T544" s="7"/>
      <c r="U544" s="7"/>
    </row>
    <row r="545" spans="1:21" outlineLevel="1">
      <c r="A545" s="7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7"/>
      <c r="N545" s="7"/>
      <c r="O545" s="7"/>
      <c r="P545" s="7"/>
      <c r="Q545" s="7"/>
      <c r="R545" s="7"/>
      <c r="S545" s="7"/>
      <c r="T545" s="7"/>
      <c r="U545" s="7"/>
    </row>
    <row r="546" spans="1:21" outlineLevel="1">
      <c r="A546" s="7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7"/>
      <c r="N546" s="7"/>
      <c r="O546" s="7"/>
      <c r="P546" s="7"/>
      <c r="Q546" s="7"/>
      <c r="R546" s="7"/>
      <c r="S546" s="7"/>
      <c r="T546" s="7"/>
      <c r="U546" s="7"/>
    </row>
    <row r="547" spans="1:21" outlineLevel="1">
      <c r="A547" s="57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7"/>
      <c r="N547" s="7"/>
      <c r="O547" s="7"/>
      <c r="P547" s="7"/>
      <c r="Q547" s="7"/>
      <c r="R547" s="7"/>
      <c r="S547" s="7"/>
      <c r="T547" s="7"/>
      <c r="U547" s="7"/>
    </row>
    <row r="548" spans="1:21" outlineLevel="1">
      <c r="A548" s="57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7"/>
      <c r="N548" s="7"/>
      <c r="O548" s="7"/>
      <c r="P548" s="7"/>
      <c r="Q548" s="7"/>
      <c r="R548" s="7"/>
      <c r="S548" s="7"/>
      <c r="T548" s="7"/>
      <c r="U548" s="7"/>
    </row>
    <row r="549" spans="1:21" outlineLevel="1">
      <c r="A549" s="57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7"/>
      <c r="N549" s="7"/>
      <c r="O549" s="7"/>
      <c r="P549" s="7"/>
      <c r="Q549" s="7"/>
      <c r="R549" s="7"/>
      <c r="S549" s="7"/>
      <c r="T549" s="7"/>
      <c r="U549" s="7"/>
    </row>
    <row r="550" spans="1:21" outlineLevel="1">
      <c r="A550" s="57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7"/>
      <c r="N550" s="7"/>
      <c r="O550" s="7"/>
      <c r="P550" s="7"/>
      <c r="Q550" s="7"/>
      <c r="R550" s="7"/>
      <c r="S550" s="7"/>
      <c r="T550" s="7"/>
      <c r="U550" s="7"/>
    </row>
    <row r="551" spans="1:21">
      <c r="A551" s="7"/>
      <c r="B551" s="7"/>
      <c r="C551" s="7"/>
      <c r="D551" s="87"/>
      <c r="E551" s="87"/>
      <c r="F551" s="87"/>
      <c r="G551" s="87"/>
      <c r="H551" s="87"/>
      <c r="I551" s="87"/>
      <c r="J551" s="87"/>
      <c r="K551" s="87"/>
      <c r="L551" s="87"/>
      <c r="M551" s="7"/>
      <c r="N551" s="7"/>
      <c r="O551" s="7"/>
      <c r="P551" s="7"/>
      <c r="Q551" s="7"/>
      <c r="R551" s="7"/>
      <c r="S551" s="7"/>
      <c r="T551" s="7"/>
      <c r="U551" s="7"/>
    </row>
    <row r="552" spans="1:21">
      <c r="A552" s="7"/>
      <c r="B552" s="7"/>
      <c r="C552" s="7"/>
      <c r="D552" s="87"/>
      <c r="E552" s="87"/>
      <c r="F552" s="87"/>
      <c r="G552" s="87"/>
      <c r="H552" s="87"/>
      <c r="I552" s="87"/>
      <c r="J552" s="87"/>
      <c r="K552" s="87"/>
      <c r="L552" s="87"/>
      <c r="M552" s="7"/>
      <c r="N552" s="7"/>
      <c r="O552" s="7"/>
      <c r="P552" s="7"/>
      <c r="Q552" s="7"/>
      <c r="R552" s="7"/>
      <c r="S552" s="7"/>
      <c r="T552" s="7"/>
      <c r="U552" s="7"/>
    </row>
    <row r="553" spans="1:21">
      <c r="A553" s="7"/>
      <c r="B553" s="7"/>
      <c r="C553" s="7"/>
      <c r="D553" s="87"/>
      <c r="E553" s="87"/>
      <c r="F553" s="87"/>
      <c r="G553" s="87"/>
      <c r="H553" s="87"/>
      <c r="I553" s="87"/>
      <c r="J553" s="87"/>
      <c r="K553" s="87"/>
      <c r="L553" s="87"/>
      <c r="M553" s="7"/>
      <c r="N553" s="7"/>
      <c r="O553" s="7"/>
      <c r="P553" s="7"/>
      <c r="Q553" s="7"/>
      <c r="R553" s="7"/>
      <c r="S553" s="7"/>
      <c r="T553" s="7"/>
      <c r="U553" s="7"/>
    </row>
    <row r="554" spans="1:21">
      <c r="A554" s="7"/>
      <c r="B554" s="7"/>
      <c r="C554" s="7"/>
      <c r="D554" s="87"/>
      <c r="E554" s="87"/>
      <c r="F554" s="87"/>
      <c r="G554" s="87"/>
      <c r="H554" s="87"/>
      <c r="I554" s="87"/>
      <c r="J554" s="87"/>
      <c r="K554" s="87"/>
      <c r="L554" s="87"/>
      <c r="M554" s="7"/>
      <c r="N554" s="7"/>
      <c r="O554" s="7"/>
      <c r="P554" s="7"/>
      <c r="Q554" s="7"/>
      <c r="R554" s="7"/>
      <c r="S554" s="7"/>
      <c r="T554" s="7"/>
      <c r="U554" s="7"/>
    </row>
    <row r="555" spans="1:21">
      <c r="A555" s="7"/>
      <c r="B555" s="7"/>
      <c r="C555" s="7"/>
      <c r="D555" s="87"/>
      <c r="E555" s="87"/>
      <c r="F555" s="87"/>
      <c r="G555" s="87"/>
      <c r="H555" s="87"/>
      <c r="I555" s="87"/>
      <c r="J555" s="87"/>
      <c r="K555" s="87"/>
      <c r="L555" s="87"/>
      <c r="M555" s="7"/>
      <c r="N555" s="7"/>
      <c r="O555" s="7"/>
      <c r="P555" s="7"/>
      <c r="Q555" s="7"/>
      <c r="R555" s="7"/>
      <c r="S555" s="7"/>
      <c r="T555" s="7"/>
      <c r="U555" s="7"/>
    </row>
    <row r="556" spans="1:2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</row>
    <row r="557" spans="1:2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</row>
    <row r="558" spans="1:2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</row>
    <row r="559" spans="1:2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</row>
    <row r="560" spans="1:2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</row>
    <row r="561" spans="1:2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</row>
    <row r="562" spans="1:2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</row>
    <row r="563" spans="1:2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</row>
    <row r="564" spans="1:2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</row>
    <row r="565" spans="1:2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</row>
    <row r="566" spans="1:2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</row>
    <row r="567" spans="1:2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</row>
    <row r="568" spans="1:2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</row>
    <row r="569" spans="1:2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</row>
    <row r="570" spans="1:2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</row>
    <row r="571" spans="1:2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</row>
    <row r="572" spans="1:2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</row>
    <row r="573" spans="1:2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</row>
    <row r="574" spans="1:2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</row>
    <row r="575" spans="1:2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</row>
    <row r="576" spans="1:2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</row>
    <row r="577" spans="1:2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</row>
    <row r="578" spans="1:2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</row>
    <row r="579" spans="1:2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</row>
    <row r="580" spans="1:2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</row>
    <row r="581" spans="1:2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</row>
    <row r="582" spans="1:2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</row>
    <row r="583" spans="1:2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</row>
    <row r="584" spans="1:2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</row>
    <row r="585" spans="1:2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</row>
    <row r="586" spans="1:2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</row>
    <row r="587" spans="1:2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</row>
    <row r="588" spans="1:2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</row>
    <row r="589" spans="1:2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</row>
    <row r="590" spans="1:2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</row>
    <row r="591" spans="1:2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</row>
    <row r="592" spans="1:2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</row>
    <row r="593" spans="1:2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</row>
    <row r="594" spans="1:2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</row>
    <row r="595" spans="1:2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</row>
    <row r="596" spans="1:2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</row>
    <row r="597" spans="1:2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</row>
    <row r="598" spans="1:2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</row>
    <row r="599" spans="1:2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</row>
    <row r="600" spans="1:2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</row>
    <row r="601" spans="1:2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</row>
    <row r="602" spans="1:2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</row>
    <row r="603" spans="1:2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</row>
    <row r="604" spans="1:2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</row>
    <row r="605" spans="1:2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</row>
    <row r="606" spans="1:2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</row>
    <row r="607" spans="1:2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</row>
    <row r="608" spans="1:2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</row>
    <row r="609" spans="1:2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</row>
    <row r="610" spans="1:2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</row>
    <row r="611" spans="1:2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</row>
    <row r="612" spans="1:2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</row>
    <row r="613" spans="1:2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</row>
    <row r="614" spans="1:2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</row>
    <row r="615" spans="1:2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</row>
    <row r="616" spans="1:2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</row>
    <row r="617" spans="1:2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</row>
    <row r="618" spans="1:2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</row>
    <row r="619" spans="1:2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</row>
    <row r="620" spans="1:2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</row>
    <row r="621" spans="1: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</row>
    <row r="622" spans="1:2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</row>
    <row r="623" spans="1:2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</row>
    <row r="624" spans="1:2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</row>
    <row r="625" spans="1:2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</row>
    <row r="626" spans="1:2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</row>
    <row r="627" spans="1:2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</row>
    <row r="628" spans="1:2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</row>
    <row r="629" spans="1:2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</row>
    <row r="630" spans="1:2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</row>
    <row r="631" spans="1:2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</row>
    <row r="632" spans="1:2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</row>
    <row r="633" spans="1:2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</row>
    <row r="634" spans="1:2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</row>
    <row r="635" spans="1:2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</row>
    <row r="636" spans="1:2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</row>
    <row r="637" spans="1:2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</row>
    <row r="638" spans="1:2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</row>
    <row r="639" spans="1:2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</row>
    <row r="640" spans="1:2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</row>
    <row r="641" spans="1:2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</row>
    <row r="642" spans="1:2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</row>
    <row r="643" spans="1:2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</row>
    <row r="644" spans="1:2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</row>
    <row r="645" spans="1:2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</row>
    <row r="646" spans="1:2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</row>
    <row r="647" spans="1:2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</row>
    <row r="648" spans="1:2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</row>
    <row r="649" spans="1:2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</row>
    <row r="650" spans="1:2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</row>
    <row r="651" spans="1:2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</row>
    <row r="652" spans="1:2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</row>
    <row r="653" spans="1:2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</row>
    <row r="654" spans="1:2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</row>
    <row r="655" spans="1:2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</row>
    <row r="656" spans="1:2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</row>
    <row r="657" spans="1:2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</row>
    <row r="658" spans="1:2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</row>
    <row r="659" spans="1:2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</row>
    <row r="660" spans="1:2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</row>
    <row r="661" spans="1:2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</row>
    <row r="662" spans="1:2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</row>
    <row r="663" spans="1:2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</row>
    <row r="664" spans="1:2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</row>
    <row r="665" spans="1:2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</row>
    <row r="666" spans="1:2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</row>
    <row r="667" spans="1:2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</row>
    <row r="668" spans="1:2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</row>
    <row r="669" spans="1:2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</row>
    <row r="670" spans="1:2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</row>
    <row r="671" spans="1:2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</row>
    <row r="672" spans="1:2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</row>
    <row r="673" spans="1:2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</row>
    <row r="674" spans="1:2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</row>
    <row r="675" spans="1:2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</row>
    <row r="676" spans="1:2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</row>
    <row r="677" spans="1:2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</row>
    <row r="678" spans="1:2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</row>
    <row r="679" spans="1:2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</row>
    <row r="680" spans="1:2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</row>
    <row r="681" spans="1:2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</row>
    <row r="682" spans="1:2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</row>
    <row r="683" spans="1:2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</row>
    <row r="684" spans="1:2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</row>
    <row r="685" spans="1:2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</row>
    <row r="686" spans="1:2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</row>
    <row r="687" spans="1:2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</row>
    <row r="688" spans="1:2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</row>
    <row r="689" spans="1:2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</row>
    <row r="690" spans="1:2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</row>
    <row r="691" spans="1:2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</row>
    <row r="692" spans="1:2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</row>
    <row r="693" spans="1:2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</row>
    <row r="694" spans="1:2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</row>
    <row r="695" spans="1:2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</row>
    <row r="696" spans="1:2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</row>
    <row r="697" spans="1:2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</row>
    <row r="698" spans="1:2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</row>
    <row r="699" spans="1:2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</row>
    <row r="700" spans="1:2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</row>
    <row r="701" spans="1:2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</row>
    <row r="702" spans="1:2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</row>
    <row r="703" spans="1:2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</row>
    <row r="704" spans="1:2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</row>
    <row r="705" spans="1:2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</row>
    <row r="706" spans="1:2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</row>
    <row r="707" spans="1:2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</row>
    <row r="708" spans="1:2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</row>
    <row r="709" spans="1:2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</row>
    <row r="710" spans="1:2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</row>
    <row r="711" spans="1:2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</row>
    <row r="712" spans="1:2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</row>
    <row r="713" spans="1:2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</row>
    <row r="714" spans="1:2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</row>
    <row r="715" spans="1:2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</row>
    <row r="716" spans="1:2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</row>
    <row r="717" spans="1:2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</row>
    <row r="718" spans="1:2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</row>
    <row r="719" spans="1:2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</row>
    <row r="720" spans="1:2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</row>
    <row r="721" spans="1: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</row>
    <row r="722" spans="1:2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</row>
    <row r="723" spans="1:2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</row>
    <row r="724" spans="1:2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</row>
    <row r="725" spans="1:2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</row>
    <row r="726" spans="1:2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</row>
    <row r="727" spans="1:2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</row>
    <row r="728" spans="1:2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</row>
    <row r="729" spans="1:2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</row>
    <row r="730" spans="1:2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</row>
    <row r="731" spans="1:2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</row>
    <row r="732" spans="1:2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</row>
    <row r="733" spans="1:2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</row>
    <row r="734" spans="1:2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</row>
    <row r="735" spans="1:2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</row>
    <row r="736" spans="1:2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</row>
    <row r="737" spans="1:2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</row>
    <row r="738" spans="1:2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</row>
    <row r="739" spans="1:2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</row>
    <row r="740" spans="1:2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</row>
    <row r="741" spans="1:2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</row>
    <row r="742" spans="1:2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</row>
    <row r="743" spans="1:2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</row>
    <row r="744" spans="1:2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</row>
    <row r="745" spans="1:2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</row>
    <row r="746" spans="1:2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</row>
    <row r="747" spans="1:2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</row>
    <row r="748" spans="1:2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</row>
    <row r="749" spans="1:2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</row>
    <row r="750" spans="1:2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</row>
    <row r="751" spans="1:2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</row>
    <row r="752" spans="1:2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</row>
    <row r="753" spans="1:2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</row>
    <row r="754" spans="1:2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</row>
    <row r="755" spans="1:2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</row>
    <row r="756" spans="1:2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</row>
    <row r="757" spans="1:2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</row>
    <row r="758" spans="1:2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</row>
    <row r="759" spans="1:2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</row>
    <row r="760" spans="1:2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</row>
    <row r="761" spans="1:2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</row>
    <row r="762" spans="1:2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</row>
    <row r="763" spans="1:2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</row>
    <row r="764" spans="1:2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</row>
  </sheetData>
  <pageMargins left="0.75" right="0.75" top="1" bottom="1" header="0.5" footer="0.5"/>
  <pageSetup scale="35" orientation="landscape" r:id="rId1"/>
  <headerFooter alignWithMargins="0">
    <oddHeader>&amp;L&amp;12Enron's Generation&amp;RCONFIDENTIAL</oddHeader>
    <oddFooter>&amp;L&amp;D&amp;C&amp;F&amp;RPage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IV741"/>
  <sheetViews>
    <sheetView zoomScale="75" zoomScaleNormal="75" workbookViewId="0"/>
  </sheetViews>
  <sheetFormatPr defaultRowHeight="12.75" outlineLevelRow="2" outlineLevelCol="1"/>
  <cols>
    <col min="1" max="1" width="46.85546875" style="6" customWidth="1"/>
    <col min="2" max="3" width="10.7109375" style="6" customWidth="1" outlineLevel="1"/>
    <col min="4" max="21" width="10.7109375" style="6" customWidth="1"/>
    <col min="22" max="22" width="9.140625" style="7"/>
    <col min="23" max="23" width="11" style="7" bestFit="1" customWidth="1"/>
    <col min="24" max="25" width="9.140625" style="7"/>
    <col min="26" max="26" width="7.85546875" style="7" customWidth="1"/>
    <col min="27" max="16384" width="9.140625" style="7"/>
  </cols>
  <sheetData>
    <row r="1" spans="1:55"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</row>
    <row r="2" spans="1:55" ht="18.75">
      <c r="A2" s="52" t="s">
        <v>85</v>
      </c>
      <c r="B2" s="373"/>
      <c r="C2" s="373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</row>
    <row r="5" spans="1:55" ht="13.5" thickBot="1">
      <c r="A5" s="194" t="s">
        <v>56</v>
      </c>
      <c r="B5" s="8">
        <f>Brownsville!$B$5</f>
        <v>2001</v>
      </c>
      <c r="C5" s="8">
        <f t="shared" ref="C5:U5" si="0">B5+1</f>
        <v>2002</v>
      </c>
      <c r="D5" s="8">
        <f>C5+1</f>
        <v>2003</v>
      </c>
      <c r="E5" s="8">
        <f>D5+1</f>
        <v>2004</v>
      </c>
      <c r="F5" s="8">
        <f t="shared" si="0"/>
        <v>2005</v>
      </c>
      <c r="G5" s="8">
        <f t="shared" si="0"/>
        <v>2006</v>
      </c>
      <c r="H5" s="8">
        <f t="shared" si="0"/>
        <v>2007</v>
      </c>
      <c r="I5" s="8">
        <f t="shared" si="0"/>
        <v>2008</v>
      </c>
      <c r="J5" s="8">
        <f t="shared" si="0"/>
        <v>2009</v>
      </c>
      <c r="K5" s="8">
        <f>J5+1</f>
        <v>2010</v>
      </c>
      <c r="L5" s="8">
        <f t="shared" si="0"/>
        <v>2011</v>
      </c>
      <c r="M5" s="8">
        <f t="shared" si="0"/>
        <v>2012</v>
      </c>
      <c r="N5" s="8">
        <f t="shared" si="0"/>
        <v>2013</v>
      </c>
      <c r="O5" s="8">
        <f t="shared" si="0"/>
        <v>2014</v>
      </c>
      <c r="P5" s="8">
        <f t="shared" si="0"/>
        <v>2015</v>
      </c>
      <c r="Q5" s="8">
        <f t="shared" si="0"/>
        <v>2016</v>
      </c>
      <c r="R5" s="8">
        <f t="shared" si="0"/>
        <v>2017</v>
      </c>
      <c r="S5" s="8">
        <f t="shared" si="0"/>
        <v>2018</v>
      </c>
      <c r="T5" s="8">
        <f t="shared" si="0"/>
        <v>2019</v>
      </c>
      <c r="U5" s="8">
        <f t="shared" si="0"/>
        <v>2020</v>
      </c>
    </row>
    <row r="6" spans="1:55">
      <c r="A6" s="2"/>
      <c r="B6" s="120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</row>
    <row r="7" spans="1:55">
      <c r="A7" s="1" t="s">
        <v>57</v>
      </c>
      <c r="B7" s="421"/>
      <c r="C7" s="421"/>
      <c r="D7" s="421"/>
      <c r="E7" s="421"/>
      <c r="F7" s="421"/>
      <c r="G7" s="421"/>
      <c r="H7" s="421"/>
      <c r="I7" s="421"/>
      <c r="J7" s="421"/>
      <c r="K7" s="421"/>
      <c r="L7" s="421"/>
      <c r="M7" s="421"/>
      <c r="N7" s="421"/>
      <c r="O7" s="421"/>
      <c r="P7" s="421"/>
      <c r="Q7" s="421"/>
      <c r="R7" s="421"/>
      <c r="S7" s="421"/>
      <c r="T7" s="421"/>
      <c r="U7" s="421"/>
      <c r="V7" s="58"/>
      <c r="W7" s="58"/>
      <c r="X7" s="58"/>
      <c r="Y7" s="473">
        <f>SUM(Z7:AS7)-SUM(Z8:AS8)</f>
        <v>0</v>
      </c>
      <c r="Z7" s="474">
        <f>B10+B11</f>
        <v>1888.9563105357156</v>
      </c>
      <c r="AA7" s="474">
        <f>C10+C11</f>
        <v>1945.6249998517872</v>
      </c>
      <c r="AB7" s="474">
        <f>D10+D11</f>
        <v>2003.993749847341</v>
      </c>
      <c r="AC7" s="474">
        <f t="shared" ref="AC7:AS7" si="1">E16</f>
        <v>1726.4609193427605</v>
      </c>
      <c r="AD7" s="474">
        <f t="shared" si="1"/>
        <v>1778.2547469230433</v>
      </c>
      <c r="AE7" s="474">
        <f t="shared" si="1"/>
        <v>1831.6023893307347</v>
      </c>
      <c r="AF7" s="474">
        <f t="shared" si="1"/>
        <v>1886.5504610106568</v>
      </c>
      <c r="AG7" s="474">
        <f t="shared" si="1"/>
        <v>1943.1469748409763</v>
      </c>
      <c r="AH7" s="474">
        <f t="shared" si="1"/>
        <v>2001.441384086206</v>
      </c>
      <c r="AI7" s="474">
        <f t="shared" si="1"/>
        <v>2061.4846256087922</v>
      </c>
      <c r="AJ7" s="474">
        <f t="shared" si="1"/>
        <v>2123.3291643770558</v>
      </c>
      <c r="AK7" s="474">
        <f t="shared" si="1"/>
        <v>2187.0290393083674</v>
      </c>
      <c r="AL7" s="474">
        <f t="shared" si="1"/>
        <v>2252.6399104876177</v>
      </c>
      <c r="AM7" s="474">
        <f t="shared" si="1"/>
        <v>2320.219107802247</v>
      </c>
      <c r="AN7" s="474">
        <f t="shared" si="1"/>
        <v>2389.8256810363146</v>
      </c>
      <c r="AO7" s="474">
        <f t="shared" si="1"/>
        <v>2461.5204514674033</v>
      </c>
      <c r="AP7" s="474">
        <f t="shared" si="1"/>
        <v>2535.3660650114257</v>
      </c>
      <c r="AQ7" s="474">
        <f t="shared" si="1"/>
        <v>2611.4270469617682</v>
      </c>
      <c r="AR7" s="474">
        <f t="shared" si="1"/>
        <v>2689.7698583706215</v>
      </c>
      <c r="AS7" s="474">
        <f t="shared" si="1"/>
        <v>2770.4629541217396</v>
      </c>
    </row>
    <row r="8" spans="1:55">
      <c r="A8" s="347" t="s">
        <v>144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8"/>
      <c r="W8" s="16"/>
      <c r="X8" s="16"/>
      <c r="Y8" s="496">
        <v>0</v>
      </c>
      <c r="Z8" s="495">
        <f>B23+B24</f>
        <v>1888.9563105357156</v>
      </c>
      <c r="AA8" s="495">
        <f>C23+C24</f>
        <v>1945.6249998517872</v>
      </c>
      <c r="AB8" s="495">
        <f>D23+D24</f>
        <v>2003.993749847341</v>
      </c>
      <c r="AC8" s="495">
        <f t="shared" ref="AC8:AS8" si="2">E23+1/3*E24</f>
        <v>1726.4609193427605</v>
      </c>
      <c r="AD8" s="495">
        <f t="shared" si="2"/>
        <v>1778.2547469230433</v>
      </c>
      <c r="AE8" s="495">
        <f t="shared" si="2"/>
        <v>1831.6023893307347</v>
      </c>
      <c r="AF8" s="495">
        <f t="shared" si="2"/>
        <v>1886.5504610106568</v>
      </c>
      <c r="AG8" s="495">
        <f t="shared" si="2"/>
        <v>1943.1469748409766</v>
      </c>
      <c r="AH8" s="495">
        <f t="shared" si="2"/>
        <v>2001.4413840862062</v>
      </c>
      <c r="AI8" s="495">
        <f t="shared" si="2"/>
        <v>2061.4846256087922</v>
      </c>
      <c r="AJ8" s="495">
        <f t="shared" si="2"/>
        <v>2123.3291643770558</v>
      </c>
      <c r="AK8" s="495">
        <f t="shared" si="2"/>
        <v>2187.0290393083674</v>
      </c>
      <c r="AL8" s="495">
        <f t="shared" si="2"/>
        <v>2252.6399104876182</v>
      </c>
      <c r="AM8" s="495">
        <f t="shared" si="2"/>
        <v>2320.219107802247</v>
      </c>
      <c r="AN8" s="495">
        <f t="shared" si="2"/>
        <v>2389.8256810363146</v>
      </c>
      <c r="AO8" s="495">
        <f t="shared" si="2"/>
        <v>2461.5204514674033</v>
      </c>
      <c r="AP8" s="495">
        <f t="shared" si="2"/>
        <v>2535.3660650114257</v>
      </c>
      <c r="AQ8" s="495">
        <f t="shared" si="2"/>
        <v>2611.4270469617686</v>
      </c>
      <c r="AR8" s="495">
        <f t="shared" si="2"/>
        <v>2689.7698583706215</v>
      </c>
      <c r="AS8" s="495">
        <f t="shared" si="2"/>
        <v>2770.46295412174</v>
      </c>
      <c r="AT8" s="16"/>
      <c r="AU8" s="16"/>
      <c r="AV8" s="16"/>
      <c r="AW8" s="16"/>
      <c r="AX8" s="16"/>
      <c r="AY8" s="16"/>
      <c r="AZ8" s="16"/>
      <c r="BA8" s="16"/>
      <c r="BB8" s="16"/>
      <c r="BC8" s="16"/>
    </row>
    <row r="9" spans="1:55">
      <c r="A9" s="3" t="s">
        <v>58</v>
      </c>
      <c r="B9" s="56">
        <f>'Power Price Assumption'!D40*12*Assumptions!$H$9</f>
        <v>22560</v>
      </c>
      <c r="C9" s="56">
        <f>'Power Price Assumption'!E40*12*Assumptions!$H$9</f>
        <v>22560</v>
      </c>
      <c r="D9" s="56">
        <f>'Power Price Assumption'!F40*12*Assumptions!$H$9</f>
        <v>22560</v>
      </c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8"/>
      <c r="W9" s="91">
        <f>SUM(B9:U9)</f>
        <v>67680</v>
      </c>
      <c r="X9" s="16"/>
      <c r="Y9" s="473"/>
      <c r="Z9" s="497">
        <f>Z7-Z8</f>
        <v>0</v>
      </c>
      <c r="AA9" s="497">
        <f t="shared" ref="AA9:AS9" si="3">AA7-AA8</f>
        <v>0</v>
      </c>
      <c r="AB9" s="497">
        <f t="shared" si="3"/>
        <v>0</v>
      </c>
      <c r="AC9" s="497">
        <f t="shared" si="3"/>
        <v>0</v>
      </c>
      <c r="AD9" s="497">
        <f t="shared" si="3"/>
        <v>0</v>
      </c>
      <c r="AE9" s="497">
        <f t="shared" si="3"/>
        <v>0</v>
      </c>
      <c r="AF9" s="497">
        <f t="shared" si="3"/>
        <v>0</v>
      </c>
      <c r="AG9" s="497">
        <f t="shared" si="3"/>
        <v>0</v>
      </c>
      <c r="AH9" s="497">
        <f t="shared" si="3"/>
        <v>0</v>
      </c>
      <c r="AI9" s="497">
        <f t="shared" si="3"/>
        <v>0</v>
      </c>
      <c r="AJ9" s="497">
        <f t="shared" si="3"/>
        <v>0</v>
      </c>
      <c r="AK9" s="497">
        <f t="shared" si="3"/>
        <v>0</v>
      </c>
      <c r="AL9" s="497">
        <f t="shared" si="3"/>
        <v>0</v>
      </c>
      <c r="AM9" s="497">
        <f t="shared" si="3"/>
        <v>0</v>
      </c>
      <c r="AN9" s="497">
        <f t="shared" si="3"/>
        <v>0</v>
      </c>
      <c r="AO9" s="497">
        <f t="shared" si="3"/>
        <v>0</v>
      </c>
      <c r="AP9" s="497">
        <f t="shared" si="3"/>
        <v>0</v>
      </c>
      <c r="AQ9" s="497">
        <f t="shared" si="3"/>
        <v>0</v>
      </c>
      <c r="AR9" s="497">
        <f t="shared" si="3"/>
        <v>0</v>
      </c>
      <c r="AS9" s="497">
        <f t="shared" si="3"/>
        <v>0</v>
      </c>
      <c r="AT9" s="16"/>
      <c r="AU9" s="16"/>
      <c r="AV9" s="16"/>
      <c r="AW9" s="16"/>
      <c r="AX9" s="16"/>
      <c r="AY9" s="16"/>
      <c r="AZ9" s="16"/>
      <c r="BA9" s="16"/>
      <c r="BB9" s="16"/>
      <c r="BC9" s="16"/>
    </row>
    <row r="10" spans="1:55">
      <c r="A10" s="3" t="s">
        <v>208</v>
      </c>
      <c r="B10" s="56">
        <f>Assumptions!H19*Assumptions!H17/1000*(1+Assumptions!$H$25)</f>
        <v>1425.4563105357156</v>
      </c>
      <c r="C10" s="56">
        <f>B10*(1+Assumptions!$H$25)</f>
        <v>1468.2199998517872</v>
      </c>
      <c r="D10" s="56">
        <f>C10*(1+Assumptions!$H$25)</f>
        <v>1512.2665998473408</v>
      </c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8"/>
      <c r="W10" s="91">
        <f>SUM(B10:U10)</f>
        <v>4405.942910234844</v>
      </c>
      <c r="X10" s="16"/>
      <c r="Y10" s="16"/>
      <c r="Z10" s="16"/>
      <c r="AA10" s="16"/>
      <c r="AB10" s="17"/>
      <c r="AC10" s="17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</row>
    <row r="11" spans="1:55">
      <c r="A11" s="3" t="s">
        <v>255</v>
      </c>
      <c r="B11" s="127">
        <f>Assumptions!$H$18*Assumptions!$H$11*Assumptions!$H$8/1000*(1+Assumptions!$H$25)</f>
        <v>463.5</v>
      </c>
      <c r="C11" s="91">
        <f>B11*(1+Assumptions!$H$25)</f>
        <v>477.40500000000003</v>
      </c>
      <c r="D11" s="91">
        <f>C11*(1+Assumptions!$H$25)</f>
        <v>491.72715000000005</v>
      </c>
      <c r="E11" s="56"/>
      <c r="F11" s="56"/>
      <c r="G11" s="56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8"/>
      <c r="W11" s="91">
        <f>SUM(B11:U11)</f>
        <v>1432.6321499999999</v>
      </c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</row>
    <row r="12" spans="1:55">
      <c r="A12" s="3" t="s">
        <v>275</v>
      </c>
      <c r="B12" s="127">
        <f>'Amortization of Power Contract'!$C$35/3</f>
        <v>9602.8202017346175</v>
      </c>
      <c r="C12" s="127">
        <f>'Amortization of Power Contract'!$C$35/3</f>
        <v>9602.8202017346175</v>
      </c>
      <c r="D12" s="127">
        <f>'Amortization of Power Contract'!$C$35/3</f>
        <v>9602.8202017346175</v>
      </c>
      <c r="E12" s="56"/>
      <c r="F12" s="56"/>
      <c r="G12" s="56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8"/>
      <c r="W12" s="91">
        <f>SUM(B12:U12)</f>
        <v>28808.460605203851</v>
      </c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</row>
    <row r="13" spans="1:55">
      <c r="A13" s="1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8"/>
      <c r="W13" s="91"/>
      <c r="X13" s="16"/>
      <c r="Y13" s="16"/>
      <c r="Z13" s="16"/>
      <c r="AA13" s="16"/>
      <c r="AB13" s="17"/>
      <c r="AC13" s="17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</row>
    <row r="14" spans="1:55">
      <c r="A14" s="347" t="s">
        <v>281</v>
      </c>
      <c r="E14" s="421"/>
      <c r="F14" s="421"/>
      <c r="G14" s="421"/>
      <c r="H14" s="421"/>
      <c r="I14" s="421"/>
      <c r="J14" s="421"/>
      <c r="K14" s="421"/>
      <c r="L14" s="421"/>
      <c r="M14" s="421"/>
      <c r="N14" s="421"/>
      <c r="O14" s="421"/>
      <c r="P14" s="421"/>
      <c r="Q14" s="421"/>
      <c r="R14" s="421"/>
      <c r="S14" s="421"/>
      <c r="T14" s="421"/>
      <c r="U14" s="421"/>
      <c r="W14" s="91"/>
      <c r="X14" s="16"/>
      <c r="Y14" s="16"/>
      <c r="Z14" s="16"/>
      <c r="AA14" s="16"/>
      <c r="AB14" s="17"/>
      <c r="AC14" s="17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</row>
    <row r="15" spans="1:55" s="62" customFormat="1" ht="12" customHeight="1">
      <c r="A15" s="3" t="s">
        <v>58</v>
      </c>
      <c r="B15" s="19">
        <v>0</v>
      </c>
      <c r="C15" s="19">
        <v>0</v>
      </c>
      <c r="D15" s="19">
        <v>0</v>
      </c>
      <c r="E15" s="19">
        <f>'Power Price Assumption'!G40*Assumptions!$H$9*12</f>
        <v>38186.125205806944</v>
      </c>
      <c r="F15" s="19">
        <f>'Power Price Assumption'!H40*Assumptions!$H$9*12</f>
        <v>40210.726030066122</v>
      </c>
      <c r="G15" s="19">
        <f>'Power Price Assumption'!I40*Assumptions!$H$9*12</f>
        <v>41027.476548845225</v>
      </c>
      <c r="H15" s="19">
        <f>'Power Price Assumption'!J40*Assumptions!$H$9*12</f>
        <v>41860.816706155776</v>
      </c>
      <c r="I15" s="19">
        <f>'Power Price Assumption'!K40*Assumptions!$H$9*12</f>
        <v>42711.083466713768</v>
      </c>
      <c r="J15" s="19">
        <f>'Power Price Assumption'!L40*Assumptions!$H$9*12</f>
        <v>43578.620639580855</v>
      </c>
      <c r="K15" s="19">
        <f>'Power Price Assumption'!M40*Assumptions!$H$9*12</f>
        <v>44463.779017184934</v>
      </c>
      <c r="L15" s="19">
        <f>'Power Price Assumption'!N40*Assumptions!$H$9*12</f>
        <v>45033.969458996071</v>
      </c>
      <c r="M15" s="19">
        <f>'Power Price Assumption'!O40*Assumptions!$H$9*12</f>
        <v>45611.471855551499</v>
      </c>
      <c r="N15" s="19">
        <f>'Power Price Assumption'!P40*Assumptions!$H$9*12</f>
        <v>46196.379973211093</v>
      </c>
      <c r="O15" s="19">
        <f>'Power Price Assumption'!Q40*Assumptions!$H$9*12</f>
        <v>46788.788780767012</v>
      </c>
      <c r="P15" s="19">
        <f>'Power Price Assumption'!R40*Assumptions!$H$9*12</f>
        <v>47388.794464863364</v>
      </c>
      <c r="Q15" s="19">
        <f>'Power Price Assumption'!S40*Assumptions!$H$9*12</f>
        <v>48105.317812997419</v>
      </c>
      <c r="R15" s="19">
        <f>'Power Price Assumption'!T40*Assumptions!$H$9*12</f>
        <v>48832.675066366217</v>
      </c>
      <c r="S15" s="19">
        <f>'Power Price Assumption'!U40*Assumptions!$H$9*12</f>
        <v>49571.030034708747</v>
      </c>
      <c r="T15" s="19">
        <f>'Power Price Assumption'!V40*Assumptions!$H$9*12</f>
        <v>50320.549004583765</v>
      </c>
      <c r="U15" s="19">
        <f>'Power Price Assumption'!W40*Assumptions!$H$9*12</f>
        <v>51081.400776819544</v>
      </c>
      <c r="W15" s="91">
        <f>SUM(B15:U15)</f>
        <v>770969.00484321837</v>
      </c>
      <c r="X15" s="16"/>
      <c r="Y15" s="16"/>
      <c r="Z15" s="16"/>
      <c r="AA15" s="16"/>
      <c r="AB15" s="17"/>
      <c r="AC15" s="17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</row>
    <row r="16" spans="1:55" s="62" customFormat="1" ht="12" customHeight="1">
      <c r="A16" s="3" t="s">
        <v>59</v>
      </c>
      <c r="B16" s="19">
        <v>0</v>
      </c>
      <c r="C16" s="19">
        <v>0</v>
      </c>
      <c r="D16" s="19">
        <v>0</v>
      </c>
      <c r="E16" s="127">
        <f>1/3*Assumptions!$H$18*Assumptions!$H$11*Assumptions!$H$8/1000*(1+Assumptions!$H$25)^(E5-2000)+Assumptions!$H$19*Assumptions!$H$17*(1+Assumptions!$H$25)^(E5-2000)/1000</f>
        <v>1726.4609193427605</v>
      </c>
      <c r="F16" s="127">
        <f>1/3*Assumptions!$H$18*Assumptions!$H$11*Assumptions!$H$8/1000*(1+Assumptions!$H$25)^(F5-2000)+Assumptions!$H$19*Assumptions!$H$17*(1+Assumptions!$H$25)^(F5-2000)/1000</f>
        <v>1778.2547469230433</v>
      </c>
      <c r="G16" s="127">
        <f>1/3*Assumptions!$H$18*Assumptions!$H$11*Assumptions!$H$8/1000*(1+Assumptions!$H$25)^(G5-2000)+Assumptions!$H$19*Assumptions!$H$17*(1+Assumptions!$H$25)^(G5-2000)/1000</f>
        <v>1831.6023893307347</v>
      </c>
      <c r="H16" s="127">
        <f>1/3*Assumptions!$H$18*Assumptions!$H$11*Assumptions!$H$8/1000*(1+Assumptions!$H$25)^(H5-2000)+Assumptions!$H$19*Assumptions!$H$17*(1+Assumptions!$H$25)^(H5-2000)/1000</f>
        <v>1886.5504610106568</v>
      </c>
      <c r="I16" s="127">
        <f>1/3*Assumptions!$H$18*Assumptions!$H$11*Assumptions!$H$8/1000*(1+Assumptions!$H$25)^(I5-2000)+Assumptions!$H$19*Assumptions!$H$17*(1+Assumptions!$H$25)^(I5-2000)/1000</f>
        <v>1943.1469748409763</v>
      </c>
      <c r="J16" s="127">
        <f>1/3*Assumptions!$H$18*Assumptions!$H$11*Assumptions!$H$8/1000*(1+Assumptions!$H$25)^(J5-2000)+Assumptions!$H$19*Assumptions!$H$17*(1+Assumptions!$H$25)^(J5-2000)/1000</f>
        <v>2001.441384086206</v>
      </c>
      <c r="K16" s="127">
        <f>1/3*Assumptions!$H$18*Assumptions!$H$11*Assumptions!$H$8/1000*(1+Assumptions!$H$25)^(K5-2000)+Assumptions!$H$19*Assumptions!$H$17*(1+Assumptions!$H$25)^(K5-2000)/1000</f>
        <v>2061.4846256087922</v>
      </c>
      <c r="L16" s="127">
        <f>1/3*Assumptions!$H$18*Assumptions!$H$11*Assumptions!$H$8/1000*(1+Assumptions!$H$25)^(L5-2000)+Assumptions!$H$19*Assumptions!$H$17*(1+Assumptions!$H$25)^(L5-2000)/1000</f>
        <v>2123.3291643770558</v>
      </c>
      <c r="M16" s="127">
        <f>1/3*Assumptions!$H$18*Assumptions!$H$11*Assumptions!$H$8/1000*(1+Assumptions!$H$25)^(M5-2000)+Assumptions!$H$19*Assumptions!$H$17*(1+Assumptions!$H$25)^(M5-2000)/1000</f>
        <v>2187.0290393083674</v>
      </c>
      <c r="N16" s="127">
        <f>1/3*Assumptions!$H$18*Assumptions!$H$11*Assumptions!$H$8/1000*(1+Assumptions!$H$25)^(N5-2000)+Assumptions!$H$19*Assumptions!$H$17*(1+Assumptions!$H$25)^(N5-2000)/1000</f>
        <v>2252.6399104876177</v>
      </c>
      <c r="O16" s="127">
        <f>1/3*Assumptions!$H$18*Assumptions!$H$11*Assumptions!$H$8/1000*(1+Assumptions!$H$25)^(O5-2000)+Assumptions!$H$19*Assumptions!$H$17*(1+Assumptions!$H$25)^(O5-2000)/1000</f>
        <v>2320.219107802247</v>
      </c>
      <c r="P16" s="127">
        <f>1/3*Assumptions!$H$18*Assumptions!$H$11*Assumptions!$H$8/1000*(1+Assumptions!$H$25)^(P5-2000)+Assumptions!$H$19*Assumptions!$H$17*(1+Assumptions!$H$25)^(P5-2000)/1000</f>
        <v>2389.8256810363146</v>
      </c>
      <c r="Q16" s="127">
        <f>1/3*Assumptions!$H$18*Assumptions!$H$11*Assumptions!$H$8/1000*(1+Assumptions!$H$25)^(Q5-2000)+Assumptions!$H$19*Assumptions!$H$17*(1+Assumptions!$H$25)^(Q5-2000)/1000</f>
        <v>2461.5204514674033</v>
      </c>
      <c r="R16" s="127">
        <f>1/3*Assumptions!$H$18*Assumptions!$H$11*Assumptions!$H$8/1000*(1+Assumptions!$H$25)^(R5-2000)+Assumptions!$H$19*Assumptions!$H$17*(1+Assumptions!$H$25)^(R5-2000)/1000</f>
        <v>2535.3660650114257</v>
      </c>
      <c r="S16" s="127">
        <f>1/3*Assumptions!$H$18*Assumptions!$H$11*Assumptions!$H$8/1000*(1+Assumptions!$H$25)^(S5-2000)+Assumptions!$H$19*Assumptions!$H$17*(1+Assumptions!$H$25)^(S5-2000)/1000</f>
        <v>2611.4270469617682</v>
      </c>
      <c r="T16" s="127">
        <f>1/3*Assumptions!$H$18*Assumptions!$H$11*Assumptions!$H$8/1000*(1+Assumptions!$H$25)^(T5-2000)+Assumptions!$H$19*Assumptions!$H$17*(1+Assumptions!$H$25)^(T5-2000)/1000</f>
        <v>2689.7698583706215</v>
      </c>
      <c r="U16" s="127">
        <f>1/3*Assumptions!$H$18*Assumptions!$H$11*Assumptions!$H$8/1000*(1+Assumptions!$H$25)^(U5-2000)+Assumptions!$H$19*Assumptions!$H$17*(1+Assumptions!$H$25)^(U5-2000)/1000</f>
        <v>2770.4629541217396</v>
      </c>
      <c r="W16" s="91">
        <f>SUM(B16:U16)</f>
        <v>37570.530780087734</v>
      </c>
      <c r="X16" s="16"/>
      <c r="Y16" s="16"/>
      <c r="Z16" s="16"/>
      <c r="AA16" s="16"/>
      <c r="AB16" s="17"/>
      <c r="AC16" s="17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</row>
    <row r="17" spans="1:55" s="62" customFormat="1" ht="12" customHeight="1">
      <c r="A17" s="3"/>
      <c r="W17" s="91">
        <f>SUM(B17:U17)</f>
        <v>0</v>
      </c>
      <c r="X17" s="16"/>
      <c r="Y17" s="16"/>
      <c r="Z17" s="16"/>
      <c r="AA17" s="16"/>
      <c r="AB17" s="17"/>
      <c r="AC17" s="17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</row>
    <row r="18" spans="1:55" s="62" customFormat="1" ht="12" customHeight="1">
      <c r="A18" s="3" t="s">
        <v>168</v>
      </c>
      <c r="B18" s="198">
        <f>(SUM(B9:B11)-SUM(B22:B28))*'Summary Output'!$B$29/4</f>
        <v>258.54100325000002</v>
      </c>
      <c r="C18" s="198">
        <f>(SUM(C9:C11)-SUM(C22:C28))*'Summary Output'!$B$29/4</f>
        <v>256.36239584749995</v>
      </c>
      <c r="D18" s="198">
        <f>(SUM(D9:D11)-SUM(D22:D28))*'Summary Output'!$B$29/4</f>
        <v>254.40181284792499</v>
      </c>
      <c r="E18" s="198">
        <f>(SUM(E9:E16)-SUM(E22:E28))*'Summary Output'!$B$29/4</f>
        <v>443.77181539344957</v>
      </c>
      <c r="F18" s="198">
        <f>(SUM(F9:F16)-SUM(F22:F28))*'Summary Output'!$B$29/4</f>
        <v>467.55535258131516</v>
      </c>
      <c r="G18" s="198">
        <f>(SUM(G9:G16)-SUM(G22:G28))*'Summary Output'!$B$29/4</f>
        <v>475.31214150721866</v>
      </c>
      <c r="H18" s="198">
        <f>(SUM(H9:H16)-SUM(H22:H28))*'Summary Output'!$B$29/4</f>
        <v>482.62367538800009</v>
      </c>
      <c r="I18" s="198">
        <f>(SUM(I9:I16)-SUM(I22:I28))*'Summary Output'!$B$29/4</f>
        <v>490.87114851680656</v>
      </c>
      <c r="J18" s="198">
        <f>(SUM(J9:J16)-SUM(J22:J28))*'Summary Output'!$B$29/4</f>
        <v>500.55645333313169</v>
      </c>
      <c r="K18" s="198">
        <f>(SUM(K9:K16)-SUM(K22:K28))*'Summary Output'!$B$29/4</f>
        <v>511.40815641333387</v>
      </c>
      <c r="L18" s="198">
        <f>(SUM(L9:L16)-SUM(L22:L28))*'Summary Output'!$B$29/4</f>
        <v>515.52764874692878</v>
      </c>
      <c r="M18" s="198">
        <f>(SUM(M9:M16)-SUM(M22:M28))*'Summary Output'!$B$29/4</f>
        <v>521.64530699415593</v>
      </c>
      <c r="N18" s="198">
        <f>(SUM(N9:N16)-SUM(N22:N28))*'Summary Output'!$B$29/4</f>
        <v>527.8220782288937</v>
      </c>
      <c r="O18" s="198">
        <f>(SUM(O9:O16)-SUM(O22:O28))*'Summary Output'!$B$29/4</f>
        <v>534.05857068025523</v>
      </c>
      <c r="P18" s="198">
        <f>(SUM(P9:P16)-SUM(P22:P28))*'Summary Output'!$B$29/4</f>
        <v>540.3549655590798</v>
      </c>
      <c r="Q18" s="198">
        <f>(SUM(Q9:Q16)-SUM(Q22:Q28))*'Summary Output'!$B$29/4</f>
        <v>548.07172095320402</v>
      </c>
      <c r="R18" s="198">
        <f>(SUM(R9:R16)-SUM(R22:R28))*'Summary Output'!$B$29/4</f>
        <v>555.88670656903605</v>
      </c>
      <c r="S18" s="198">
        <f>(SUM(S9:S16)-SUM(S22:S28))*'Summary Output'!$B$29/4</f>
        <v>563.80085422050149</v>
      </c>
      <c r="T18" s="198">
        <f>(SUM(T9:T16)-SUM(T22:T28))*'Summary Output'!$B$29/4</f>
        <v>571.81509320753855</v>
      </c>
      <c r="U18" s="198">
        <f>(SUM(U9:U16)-SUM(U22:U28))*'Summary Output'!$B$29/4</f>
        <v>579.93034977999287</v>
      </c>
      <c r="W18" s="91">
        <f>SUM(B18:U18)</f>
        <v>9600.3172500182663</v>
      </c>
      <c r="X18" s="16"/>
      <c r="Y18" s="16"/>
      <c r="Z18" s="16"/>
      <c r="AA18" s="16"/>
      <c r="AB18" s="17"/>
      <c r="AC18" s="17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</row>
    <row r="19" spans="1:55" s="62" customFormat="1" ht="12" customHeight="1">
      <c r="A19" s="3" t="s">
        <v>60</v>
      </c>
      <c r="B19" s="56">
        <f>SUM(B9:B18)</f>
        <v>34310.317515520335</v>
      </c>
      <c r="C19" s="56">
        <f t="shared" ref="C19:U19" si="4">SUM(C9:C18)</f>
        <v>34364.807597433901</v>
      </c>
      <c r="D19" s="56">
        <f t="shared" si="4"/>
        <v>34421.215764429879</v>
      </c>
      <c r="E19" s="56">
        <f t="shared" si="4"/>
        <v>40356.357940543152</v>
      </c>
      <c r="F19" s="56">
        <f t="shared" si="4"/>
        <v>42456.536129570479</v>
      </c>
      <c r="G19" s="56">
        <f t="shared" si="4"/>
        <v>43334.391079683177</v>
      </c>
      <c r="H19" s="56">
        <f t="shared" si="4"/>
        <v>44229.990842554434</v>
      </c>
      <c r="I19" s="56">
        <f t="shared" si="4"/>
        <v>45145.10159007155</v>
      </c>
      <c r="J19" s="56">
        <f t="shared" si="4"/>
        <v>46080.618477000193</v>
      </c>
      <c r="K19" s="56">
        <f t="shared" si="4"/>
        <v>47036.671799207055</v>
      </c>
      <c r="L19" s="56">
        <f t="shared" si="4"/>
        <v>47672.826272120059</v>
      </c>
      <c r="M19" s="56">
        <f t="shared" si="4"/>
        <v>48320.146201854026</v>
      </c>
      <c r="N19" s="56">
        <f t="shared" si="4"/>
        <v>48976.841961927603</v>
      </c>
      <c r="O19" s="56">
        <f t="shared" si="4"/>
        <v>49643.066459249509</v>
      </c>
      <c r="P19" s="56">
        <f t="shared" si="4"/>
        <v>50318.975111458763</v>
      </c>
      <c r="Q19" s="56">
        <f t="shared" si="4"/>
        <v>51114.909985418024</v>
      </c>
      <c r="R19" s="56">
        <f t="shared" si="4"/>
        <v>51923.927837946678</v>
      </c>
      <c r="S19" s="56">
        <f t="shared" si="4"/>
        <v>52746.257935891015</v>
      </c>
      <c r="T19" s="56">
        <f t="shared" si="4"/>
        <v>53582.133956161924</v>
      </c>
      <c r="U19" s="56">
        <f t="shared" si="4"/>
        <v>54431.794080721273</v>
      </c>
      <c r="W19" s="91">
        <f>SUM(B19:U19)</f>
        <v>920466.88853876316</v>
      </c>
      <c r="X19" s="16"/>
      <c r="Y19" s="16"/>
      <c r="Z19" s="16"/>
      <c r="AA19" s="16"/>
      <c r="AB19" s="17"/>
      <c r="AC19" s="17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</row>
    <row r="20" spans="1:55" s="62" customFormat="1" ht="12" customHeight="1">
      <c r="A20" s="4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W20" s="91"/>
    </row>
    <row r="21" spans="1:55">
      <c r="A21" s="1" t="s">
        <v>61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W21" s="91"/>
    </row>
    <row r="22" spans="1:55">
      <c r="A22" s="3" t="s">
        <v>48</v>
      </c>
      <c r="B22" s="127">
        <f>Assumptions!H28*(1+Assumptions!$H$25)</f>
        <v>1561.2639942857145</v>
      </c>
      <c r="C22" s="91">
        <f>B22*(1+Assumptions!$H$25)</f>
        <v>1608.101914114286</v>
      </c>
      <c r="D22" s="91">
        <f>C22*(1+Assumptions!$H$25)</f>
        <v>1656.3449715377146</v>
      </c>
      <c r="E22" s="91">
        <f>D22*(1+Assumptions!$H$25)</f>
        <v>1706.0353206838461</v>
      </c>
      <c r="F22" s="91">
        <f>E22*(1+Assumptions!$H$25)</f>
        <v>1757.2163803043616</v>
      </c>
      <c r="G22" s="91">
        <f>F22*(1+Assumptions!$H$25)</f>
        <v>1809.9328717134924</v>
      </c>
      <c r="H22" s="91">
        <f>G22*(1+Assumptions!$H$25)</f>
        <v>1864.2308578648972</v>
      </c>
      <c r="I22" s="91">
        <f>H22*(1+Assumptions!$H$25)</f>
        <v>1920.1577836008441</v>
      </c>
      <c r="J22" s="91">
        <f>I22*(1+Assumptions!$H$25)</f>
        <v>1977.7625171088696</v>
      </c>
      <c r="K22" s="91">
        <f>J22*(1+Assumptions!$H$25)</f>
        <v>2037.0953926221357</v>
      </c>
      <c r="L22" s="91">
        <f>K22*(1+Assumptions!$H$25)</f>
        <v>2098.2082544007999</v>
      </c>
      <c r="M22" s="91">
        <f>L22*(1+Assumptions!$H$25)</f>
        <v>2161.154502032824</v>
      </c>
      <c r="N22" s="91">
        <f>M22*(1+Assumptions!$H$25)</f>
        <v>2225.9891370938089</v>
      </c>
      <c r="O22" s="91">
        <f>N22*(1+Assumptions!$H$25)</f>
        <v>2292.7688112066235</v>
      </c>
      <c r="P22" s="91">
        <f>O22*(1+Assumptions!$H$25)</f>
        <v>2361.551875542822</v>
      </c>
      <c r="Q22" s="91">
        <f>P22*(1+Assumptions!$H$25)</f>
        <v>2432.3984318091066</v>
      </c>
      <c r="R22" s="91">
        <f>Q22*(1+Assumptions!$H$25)</f>
        <v>2505.3703847633797</v>
      </c>
      <c r="S22" s="91">
        <f>R22*(1+Assumptions!$H$25)</f>
        <v>2580.531496306281</v>
      </c>
      <c r="T22" s="91">
        <f>S22*(1+Assumptions!$H$25)</f>
        <v>2657.9474411954698</v>
      </c>
      <c r="U22" s="91">
        <f>T22*(1+Assumptions!$H$25)</f>
        <v>2737.6858644313338</v>
      </c>
      <c r="W22" s="91">
        <f t="shared" ref="W22:W29" si="5">SUM(B22:U22)</f>
        <v>41951.748202618604</v>
      </c>
    </row>
    <row r="23" spans="1:55">
      <c r="A23" s="3" t="s">
        <v>49</v>
      </c>
      <c r="B23" s="127">
        <f>Assumptions!$H$29*(1+Assumptions!$H$25)</f>
        <v>1425.4563105357156</v>
      </c>
      <c r="C23" s="56">
        <f>B23*(1+Assumptions!$H$25)</f>
        <v>1468.2199998517872</v>
      </c>
      <c r="D23" s="56">
        <f>C23*(1+Assumptions!$H$25)</f>
        <v>1512.2665998473408</v>
      </c>
      <c r="E23" s="127">
        <f>Assumptions!$H$19*Assumptions!$H$23*(1+Assumptions!$H$25)^(E5-2000)/1000</f>
        <v>1557.6345978427605</v>
      </c>
      <c r="F23" s="127">
        <f>Assumptions!$H$19*Assumptions!$H$23*(1+Assumptions!$H$25)^(F5-2000)/1000</f>
        <v>1604.3636357780433</v>
      </c>
      <c r="G23" s="127">
        <f>Assumptions!$H$19*Assumptions!$H$23*(1+Assumptions!$H$25)^(G5-2000)/1000</f>
        <v>1652.4945448513847</v>
      </c>
      <c r="H23" s="127">
        <f>Assumptions!$H$19*Assumptions!$H$23*(1+Assumptions!$H$25)^(H5-2000)/1000</f>
        <v>1702.0693811969263</v>
      </c>
      <c r="I23" s="127">
        <f>Assumptions!$H$19*Assumptions!$H$23*(1+Assumptions!$H$25)^(I5-2000)/1000</f>
        <v>1753.131462632834</v>
      </c>
      <c r="J23" s="127">
        <f>Assumptions!$H$19*Assumptions!$H$23*(1+Assumptions!$H$25)^(J5-2000)/1000</f>
        <v>1805.7254065118193</v>
      </c>
      <c r="K23" s="127">
        <f>Assumptions!$H$19*Assumptions!$H$23*(1+Assumptions!$H$25)^(K5-2000)/1000</f>
        <v>1859.8971687071737</v>
      </c>
      <c r="L23" s="127">
        <f>Assumptions!$H$19*Assumptions!$H$23*(1+Assumptions!$H$25)^(L5-2000)/1000</f>
        <v>1915.694083768389</v>
      </c>
      <c r="M23" s="127">
        <f>Assumptions!$H$19*Assumptions!$H$23*(1+Assumptions!$H$25)^(M5-2000)/1000</f>
        <v>1973.1649062814404</v>
      </c>
      <c r="N23" s="127">
        <f>Assumptions!$H$19*Assumptions!$H$23*(1+Assumptions!$H$25)^(N5-2000)/1000</f>
        <v>2032.3598534698833</v>
      </c>
      <c r="O23" s="127">
        <f>Assumptions!$H$19*Assumptions!$H$23*(1+Assumptions!$H$25)^(O5-2000)/1000</f>
        <v>2093.3306490739801</v>
      </c>
      <c r="P23" s="127">
        <f>Assumptions!$H$19*Assumptions!$H$23*(1+Assumptions!$H$25)^(P5-2000)/1000</f>
        <v>2156.1305685461998</v>
      </c>
      <c r="Q23" s="127">
        <f>Assumptions!$H$19*Assumptions!$H$23*(1+Assumptions!$H$25)^(Q5-2000)/1000</f>
        <v>2220.8144856025851</v>
      </c>
      <c r="R23" s="127">
        <f>Assumptions!$H$19*Assumptions!$H$23*(1+Assumptions!$H$25)^(R5-2000)/1000</f>
        <v>2287.4389201706631</v>
      </c>
      <c r="S23" s="127">
        <f>Assumptions!$H$19*Assumptions!$H$23*(1+Assumptions!$H$25)^(S5-2000)/1000</f>
        <v>2356.0620877757829</v>
      </c>
      <c r="T23" s="127">
        <f>Assumptions!$H$19*Assumptions!$H$23*(1+Assumptions!$H$25)^(T5-2000)/1000</f>
        <v>2426.7439504090562</v>
      </c>
      <c r="U23" s="127">
        <f>Assumptions!$H$19*Assumptions!$H$23*(1+Assumptions!$H$25)^(U5-2000)/1000</f>
        <v>2499.5462689213277</v>
      </c>
      <c r="W23" s="91">
        <f t="shared" si="5"/>
        <v>38302.544881775102</v>
      </c>
    </row>
    <row r="24" spans="1:55">
      <c r="A24" s="3" t="s">
        <v>262</v>
      </c>
      <c r="B24" s="127">
        <f>Assumptions!$H$24*Assumptions!$H$11*Assumptions!$H$8/1000*(1+Assumptions!$H$25)</f>
        <v>463.5</v>
      </c>
      <c r="C24" s="91">
        <f>B24*(1+Assumptions!$H$25)</f>
        <v>477.40500000000003</v>
      </c>
      <c r="D24" s="91">
        <f>C24*(1+Assumptions!$H$25)</f>
        <v>491.72715000000005</v>
      </c>
      <c r="E24" s="91">
        <f>D24*(1+Assumptions!$H$25)</f>
        <v>506.47896450000007</v>
      </c>
      <c r="F24" s="91">
        <f>E24*(1+Assumptions!$H$25)</f>
        <v>521.67333343500013</v>
      </c>
      <c r="G24" s="91">
        <f>F24*(1+Assumptions!$H$25)</f>
        <v>537.32353343805016</v>
      </c>
      <c r="H24" s="91">
        <f>G24*(1+Assumptions!$H$25)</f>
        <v>553.44323944119174</v>
      </c>
      <c r="I24" s="91">
        <f>H24*(1+Assumptions!$H$25)</f>
        <v>570.04653662442752</v>
      </c>
      <c r="J24" s="91">
        <f>I24*(1+Assumptions!$H$25)</f>
        <v>587.14793272316035</v>
      </c>
      <c r="K24" s="91">
        <f>J24*(1+Assumptions!$H$25)</f>
        <v>604.76237070485513</v>
      </c>
      <c r="L24" s="91">
        <f>K24*(1+Assumptions!$H$25)</f>
        <v>622.90524182600075</v>
      </c>
      <c r="M24" s="91">
        <f>L24*(1+Assumptions!$H$25)</f>
        <v>641.59239908078075</v>
      </c>
      <c r="N24" s="91">
        <f>M24*(1+Assumptions!$H$25)</f>
        <v>660.84017105320424</v>
      </c>
      <c r="O24" s="91">
        <f>N24*(1+Assumptions!$H$25)</f>
        <v>680.66537618480038</v>
      </c>
      <c r="P24" s="91">
        <f>O24*(1+Assumptions!$H$25)</f>
        <v>701.08533747034437</v>
      </c>
      <c r="Q24" s="91">
        <f>P24*(1+Assumptions!$H$25)</f>
        <v>722.11789759445469</v>
      </c>
      <c r="R24" s="91">
        <f>Q24*(1+Assumptions!$H$25)</f>
        <v>743.78143452228835</v>
      </c>
      <c r="S24" s="91">
        <f>R24*(1+Assumptions!$H$25)</f>
        <v>766.09487755795703</v>
      </c>
      <c r="T24" s="91">
        <f>S24*(1+Assumptions!$H$25)</f>
        <v>789.07772388469573</v>
      </c>
      <c r="U24" s="91">
        <f>T24*(1+Assumptions!$H$25)</f>
        <v>812.75005560123657</v>
      </c>
      <c r="W24" s="91">
        <f t="shared" si="5"/>
        <v>12454.418575642445</v>
      </c>
    </row>
    <row r="25" spans="1:55">
      <c r="A25" s="3" t="s">
        <v>112</v>
      </c>
      <c r="B25" s="127">
        <f>Assumptions!H31*(1+Assumptions!$H$25)</f>
        <v>0</v>
      </c>
      <c r="C25" s="91">
        <f>B25*(1+Assumptions!$H$25)</f>
        <v>0</v>
      </c>
      <c r="D25" s="91">
        <f>C25*(1+Assumptions!$H$25)</f>
        <v>0</v>
      </c>
      <c r="E25" s="91">
        <f>D25*(1+Assumptions!$H$25)</f>
        <v>0</v>
      </c>
      <c r="F25" s="91">
        <f>E25*(1+Assumptions!$H$25)</f>
        <v>0</v>
      </c>
      <c r="G25" s="91">
        <f>F25*(1+Assumptions!$H$25)</f>
        <v>0</v>
      </c>
      <c r="H25" s="91">
        <f>G25*(1+Assumptions!$H$25)</f>
        <v>0</v>
      </c>
      <c r="I25" s="91">
        <f>H25*(1+Assumptions!$H$25)</f>
        <v>0</v>
      </c>
      <c r="J25" s="91">
        <f>I25*(1+Assumptions!$H$25)</f>
        <v>0</v>
      </c>
      <c r="K25" s="91">
        <f>J25*(1+Assumptions!$H$25)</f>
        <v>0</v>
      </c>
      <c r="L25" s="91">
        <f>K25*(1+Assumptions!$H$25)</f>
        <v>0</v>
      </c>
      <c r="M25" s="91">
        <f>L25*(1+Assumptions!$H$25)</f>
        <v>0</v>
      </c>
      <c r="N25" s="91">
        <f>M25*(1+Assumptions!$H$25)</f>
        <v>0</v>
      </c>
      <c r="O25" s="91">
        <f>N25*(1+Assumptions!$H$25)</f>
        <v>0</v>
      </c>
      <c r="P25" s="91">
        <f>O25*(1+Assumptions!$H$25)</f>
        <v>0</v>
      </c>
      <c r="Q25" s="91">
        <f>P25*(1+Assumptions!$H$25)</f>
        <v>0</v>
      </c>
      <c r="R25" s="91">
        <f>Q25*(1+Assumptions!$H$25)</f>
        <v>0</v>
      </c>
      <c r="S25" s="91">
        <f>R25*(1+Assumptions!$H$25)</f>
        <v>0</v>
      </c>
      <c r="T25" s="91">
        <f>S25*(1+Assumptions!$H$25)</f>
        <v>0</v>
      </c>
      <c r="U25" s="91">
        <f>T25*(1+Assumptions!$H$25)</f>
        <v>0</v>
      </c>
      <c r="W25" s="91">
        <f t="shared" si="5"/>
        <v>0</v>
      </c>
    </row>
    <row r="26" spans="1:55">
      <c r="A26" s="3" t="s">
        <v>113</v>
      </c>
      <c r="B26" s="127">
        <f>Assumptions!H32*(1+Assumptions!$H$25)</f>
        <v>315.45574571428568</v>
      </c>
      <c r="C26" s="91">
        <f>B26*(1+Assumptions!$H$25)</f>
        <v>324.91941808571426</v>
      </c>
      <c r="D26" s="91">
        <f>C26*(1+Assumptions!$H$25)</f>
        <v>334.66700062828568</v>
      </c>
      <c r="E26" s="91">
        <f>D26*(1+Assumptions!$H$25)</f>
        <v>344.70701064713427</v>
      </c>
      <c r="F26" s="91">
        <f>E26*(1+Assumptions!$H$25)</f>
        <v>355.04822096654829</v>
      </c>
      <c r="G26" s="91">
        <f>F26*(1+Assumptions!$H$25)</f>
        <v>365.69966759554472</v>
      </c>
      <c r="H26" s="91">
        <f>G26*(1+Assumptions!$H$25)</f>
        <v>376.6706576234111</v>
      </c>
      <c r="I26" s="91">
        <f>H26*(1+Assumptions!$H$25)</f>
        <v>387.97077735211343</v>
      </c>
      <c r="J26" s="91">
        <f>I26*(1+Assumptions!$H$25)</f>
        <v>399.60990067267682</v>
      </c>
      <c r="K26" s="91">
        <f>J26*(1+Assumptions!$H$25)</f>
        <v>411.59819769285713</v>
      </c>
      <c r="L26" s="91">
        <f>K26*(1+Assumptions!$H$25)</f>
        <v>423.94614362364285</v>
      </c>
      <c r="M26" s="91">
        <f>L26*(1+Assumptions!$H$25)</f>
        <v>436.66452793235214</v>
      </c>
      <c r="N26" s="91">
        <f>M26*(1+Assumptions!$H$25)</f>
        <v>449.76446377032272</v>
      </c>
      <c r="O26" s="91">
        <f>N26*(1+Assumptions!$H$25)</f>
        <v>463.25739768343243</v>
      </c>
      <c r="P26" s="91">
        <f>O26*(1+Assumptions!$H$25)</f>
        <v>477.15511961393543</v>
      </c>
      <c r="Q26" s="91">
        <f>P26*(1+Assumptions!$H$25)</f>
        <v>491.46977320235351</v>
      </c>
      <c r="R26" s="91">
        <f>Q26*(1+Assumptions!$H$25)</f>
        <v>506.2138663984241</v>
      </c>
      <c r="S26" s="91">
        <f>R26*(1+Assumptions!$H$25)</f>
        <v>521.40028239037679</v>
      </c>
      <c r="T26" s="91">
        <f>S26*(1+Assumptions!$H$25)</f>
        <v>537.04229086208807</v>
      </c>
      <c r="U26" s="91">
        <f>T26*(1+Assumptions!$H$25)</f>
        <v>553.15355958795067</v>
      </c>
      <c r="W26" s="91">
        <f t="shared" si="5"/>
        <v>8476.4140220434492</v>
      </c>
    </row>
    <row r="27" spans="1:55">
      <c r="A27" s="3" t="s">
        <v>190</v>
      </c>
      <c r="B27" s="460">
        <v>0</v>
      </c>
      <c r="C27" s="460">
        <v>117.98699999999999</v>
      </c>
      <c r="D27" s="460">
        <v>216.84299999999999</v>
      </c>
      <c r="E27" s="460">
        <v>295.98500000000001</v>
      </c>
      <c r="F27" s="460">
        <v>346.25099999999998</v>
      </c>
      <c r="G27" s="460">
        <v>468.65699999999998</v>
      </c>
      <c r="H27" s="460">
        <v>641.05899999999997</v>
      </c>
      <c r="I27" s="460">
        <v>753.23199999999997</v>
      </c>
      <c r="J27" s="460">
        <v>765.3</v>
      </c>
      <c r="K27" s="460">
        <v>699.25800000000004</v>
      </c>
      <c r="L27" s="460">
        <v>854.33299999999997</v>
      </c>
      <c r="M27" s="460">
        <v>854.3</v>
      </c>
      <c r="N27" s="460">
        <v>854.3</v>
      </c>
      <c r="O27" s="460">
        <v>854.3</v>
      </c>
      <c r="P27" s="460">
        <v>854.3</v>
      </c>
      <c r="Q27" s="460">
        <v>854.3</v>
      </c>
      <c r="R27" s="460">
        <v>854.3</v>
      </c>
      <c r="S27" s="460">
        <v>854.3</v>
      </c>
      <c r="T27" s="460">
        <v>854.3</v>
      </c>
      <c r="U27" s="460">
        <v>854.3</v>
      </c>
      <c r="W27" s="91">
        <f t="shared" si="5"/>
        <v>12847.604999999996</v>
      </c>
    </row>
    <row r="28" spans="1:55" s="16" customFormat="1">
      <c r="A28" s="3" t="s">
        <v>186</v>
      </c>
      <c r="B28" s="146">
        <v>0</v>
      </c>
      <c r="C28" s="146">
        <v>0</v>
      </c>
      <c r="D28" s="146">
        <v>0</v>
      </c>
      <c r="E28" s="146">
        <v>0</v>
      </c>
      <c r="F28" s="146">
        <v>0</v>
      </c>
      <c r="G28" s="146">
        <v>0</v>
      </c>
      <c r="H28" s="146">
        <v>0</v>
      </c>
      <c r="I28" s="146">
        <v>0</v>
      </c>
      <c r="J28" s="146">
        <v>0</v>
      </c>
      <c r="K28" s="146">
        <v>0</v>
      </c>
      <c r="L28" s="146">
        <v>0</v>
      </c>
      <c r="M28" s="146">
        <v>0</v>
      </c>
      <c r="N28" s="146">
        <v>0</v>
      </c>
      <c r="O28" s="146">
        <v>0</v>
      </c>
      <c r="P28" s="146">
        <v>0</v>
      </c>
      <c r="Q28" s="146">
        <v>0</v>
      </c>
      <c r="R28" s="146">
        <v>0</v>
      </c>
      <c r="S28" s="146">
        <v>0</v>
      </c>
      <c r="T28" s="146">
        <v>0</v>
      </c>
      <c r="U28" s="146">
        <v>0</v>
      </c>
      <c r="V28" s="91"/>
      <c r="W28" s="91">
        <f t="shared" si="5"/>
        <v>0</v>
      </c>
      <c r="AB28" s="17"/>
      <c r="AC28" s="17"/>
    </row>
    <row r="29" spans="1:55" ht="12" customHeight="1">
      <c r="A29" s="3" t="s">
        <v>62</v>
      </c>
      <c r="B29" s="127">
        <f t="shared" ref="B29:U29" si="6">SUM(B22:B28)</f>
        <v>3765.6760505357156</v>
      </c>
      <c r="C29" s="127">
        <f t="shared" si="6"/>
        <v>3996.6333320517879</v>
      </c>
      <c r="D29" s="127">
        <f t="shared" si="6"/>
        <v>4211.8487220133411</v>
      </c>
      <c r="E29" s="127">
        <f t="shared" si="6"/>
        <v>4410.8408936737405</v>
      </c>
      <c r="F29" s="127">
        <f t="shared" si="6"/>
        <v>4584.5525704839529</v>
      </c>
      <c r="G29" s="127">
        <f t="shared" si="6"/>
        <v>4834.1076175984717</v>
      </c>
      <c r="H29" s="127">
        <f t="shared" si="6"/>
        <v>5137.4731361264267</v>
      </c>
      <c r="I29" s="127">
        <f t="shared" si="6"/>
        <v>5384.5385602102187</v>
      </c>
      <c r="J29" s="127">
        <f t="shared" si="6"/>
        <v>5535.5457570165263</v>
      </c>
      <c r="K29" s="127">
        <f t="shared" si="6"/>
        <v>5612.6111297270209</v>
      </c>
      <c r="L29" s="127">
        <f t="shared" si="6"/>
        <v>5915.0867236188315</v>
      </c>
      <c r="M29" s="127">
        <f t="shared" si="6"/>
        <v>6066.8763353273971</v>
      </c>
      <c r="N29" s="127">
        <f t="shared" si="6"/>
        <v>6223.2536253872195</v>
      </c>
      <c r="O29" s="127">
        <f t="shared" si="6"/>
        <v>6384.3222341488372</v>
      </c>
      <c r="P29" s="127">
        <f t="shared" si="6"/>
        <v>6550.2229011733016</v>
      </c>
      <c r="Q29" s="127">
        <f t="shared" si="6"/>
        <v>6721.1005882085001</v>
      </c>
      <c r="R29" s="127">
        <f t="shared" si="6"/>
        <v>6897.1046058547554</v>
      </c>
      <c r="S29" s="127">
        <f t="shared" si="6"/>
        <v>7078.3887440303979</v>
      </c>
      <c r="T29" s="127">
        <f t="shared" si="6"/>
        <v>7265.1114063513096</v>
      </c>
      <c r="U29" s="127">
        <f t="shared" si="6"/>
        <v>7457.4357485418486</v>
      </c>
      <c r="W29" s="91">
        <f t="shared" si="5"/>
        <v>114032.73068207959</v>
      </c>
    </row>
    <row r="30" spans="1:55" s="62" customFormat="1" outlineLevel="1">
      <c r="A30" s="5"/>
      <c r="B30" s="143"/>
      <c r="C30" s="131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W30" s="91"/>
    </row>
    <row r="31" spans="1:55" s="62" customFormat="1" ht="6.75" customHeight="1">
      <c r="A31" s="5"/>
      <c r="B31" s="130"/>
      <c r="C31" s="131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W31" s="91"/>
    </row>
    <row r="32" spans="1:55" s="57" customFormat="1">
      <c r="A32" s="1" t="s">
        <v>63</v>
      </c>
      <c r="B32" s="120">
        <f t="shared" ref="B32:U32" si="7">B19-B29</f>
        <v>30544.641464984619</v>
      </c>
      <c r="C32" s="120">
        <f t="shared" si="7"/>
        <v>30368.174265382113</v>
      </c>
      <c r="D32" s="120">
        <f t="shared" si="7"/>
        <v>30209.367042416539</v>
      </c>
      <c r="E32" s="120">
        <f t="shared" si="7"/>
        <v>35945.517046869412</v>
      </c>
      <c r="F32" s="120">
        <f t="shared" si="7"/>
        <v>37871.983559086526</v>
      </c>
      <c r="G32" s="120">
        <f t="shared" si="7"/>
        <v>38500.283462084706</v>
      </c>
      <c r="H32" s="120">
        <f t="shared" si="7"/>
        <v>39092.517706428007</v>
      </c>
      <c r="I32" s="120">
        <f t="shared" si="7"/>
        <v>39760.563029861332</v>
      </c>
      <c r="J32" s="120">
        <f t="shared" si="7"/>
        <v>40545.072719983669</v>
      </c>
      <c r="K32" s="120">
        <f t="shared" si="7"/>
        <v>41424.060669480037</v>
      </c>
      <c r="L32" s="120">
        <f t="shared" si="7"/>
        <v>41757.739548501224</v>
      </c>
      <c r="M32" s="120">
        <f t="shared" si="7"/>
        <v>42253.269866526629</v>
      </c>
      <c r="N32" s="120">
        <f t="shared" si="7"/>
        <v>42753.588336540386</v>
      </c>
      <c r="O32" s="120">
        <f t="shared" si="7"/>
        <v>43258.744225100672</v>
      </c>
      <c r="P32" s="120">
        <f t="shared" si="7"/>
        <v>43768.752210285464</v>
      </c>
      <c r="Q32" s="120">
        <f t="shared" si="7"/>
        <v>44393.809397209523</v>
      </c>
      <c r="R32" s="120">
        <f t="shared" si="7"/>
        <v>45026.82323209192</v>
      </c>
      <c r="S32" s="120">
        <f t="shared" si="7"/>
        <v>45667.86919186062</v>
      </c>
      <c r="T32" s="120">
        <f t="shared" si="7"/>
        <v>46317.022549810616</v>
      </c>
      <c r="U32" s="120">
        <f t="shared" si="7"/>
        <v>46974.358332179421</v>
      </c>
      <c r="W32" s="91">
        <f>SUM(B32:U32)</f>
        <v>806434.15785668348</v>
      </c>
    </row>
    <row r="33" spans="1:23" s="57" customFormat="1">
      <c r="A33" s="1"/>
      <c r="B33" s="132"/>
      <c r="C33" s="133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W33" s="91"/>
    </row>
    <row r="34" spans="1:23">
      <c r="A34" s="3" t="s">
        <v>64</v>
      </c>
      <c r="B34" s="127">
        <f>Depreciation!C45</f>
        <v>5903.2332392352309</v>
      </c>
      <c r="C34" s="127">
        <f>Depreciation!D45</f>
        <v>5903.2332392352309</v>
      </c>
      <c r="D34" s="127">
        <f>Depreciation!E45</f>
        <v>5903.2332392352309</v>
      </c>
      <c r="E34" s="127">
        <f>Depreciation!F45</f>
        <v>5903.2332392352309</v>
      </c>
      <c r="F34" s="127">
        <f>Depreciation!G45</f>
        <v>5903.2332392352309</v>
      </c>
      <c r="G34" s="127">
        <f>Depreciation!H45</f>
        <v>5903.2332392352309</v>
      </c>
      <c r="H34" s="127">
        <f>Depreciation!I45</f>
        <v>5903.2332392352309</v>
      </c>
      <c r="I34" s="127">
        <f>Depreciation!J45</f>
        <v>5903.2332392352309</v>
      </c>
      <c r="J34" s="127">
        <f>Depreciation!K45</f>
        <v>5903.2332392352309</v>
      </c>
      <c r="K34" s="127">
        <f>Depreciation!L45</f>
        <v>5903.2332392352309</v>
      </c>
      <c r="L34" s="127">
        <f>Depreciation!M45</f>
        <v>5903.2332392352309</v>
      </c>
      <c r="M34" s="127">
        <f>Depreciation!N45</f>
        <v>5903.2332392352309</v>
      </c>
      <c r="N34" s="127">
        <f>Depreciation!O45</f>
        <v>5903.2332392352309</v>
      </c>
      <c r="O34" s="127">
        <f>Depreciation!P45</f>
        <v>5903.2332392352309</v>
      </c>
      <c r="P34" s="127">
        <f>Depreciation!Q45</f>
        <v>5903.2332392352309</v>
      </c>
      <c r="Q34" s="127">
        <f>Depreciation!R45</f>
        <v>5903.2332392352309</v>
      </c>
      <c r="R34" s="127">
        <f>Depreciation!S45</f>
        <v>5903.2332392352309</v>
      </c>
      <c r="S34" s="127">
        <f>Depreciation!T45</f>
        <v>5903.2332392352309</v>
      </c>
      <c r="T34" s="127">
        <f>Depreciation!U45</f>
        <v>5903.2332392352309</v>
      </c>
      <c r="U34" s="127">
        <f>Depreciation!V45</f>
        <v>5903.2332392352309</v>
      </c>
      <c r="W34" s="91">
        <f>SUM(B34:U34)</f>
        <v>118064.66478470458</v>
      </c>
    </row>
    <row r="35" spans="1:23">
      <c r="A35" s="3"/>
      <c r="B35" s="127"/>
      <c r="C35" s="91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W35" s="91"/>
    </row>
    <row r="36" spans="1:23" s="57" customFormat="1">
      <c r="A36" s="1" t="s">
        <v>65</v>
      </c>
      <c r="B36" s="132">
        <f t="shared" ref="B36:U36" si="8">B32-B34</f>
        <v>24641.408225749386</v>
      </c>
      <c r="C36" s="132">
        <f t="shared" si="8"/>
        <v>24464.94102614688</v>
      </c>
      <c r="D36" s="132">
        <f t="shared" si="8"/>
        <v>24306.133803181307</v>
      </c>
      <c r="E36" s="132">
        <f t="shared" si="8"/>
        <v>30042.28380763418</v>
      </c>
      <c r="F36" s="132">
        <f t="shared" si="8"/>
        <v>31968.750319851293</v>
      </c>
      <c r="G36" s="132">
        <f t="shared" si="8"/>
        <v>32597.050222849473</v>
      </c>
      <c r="H36" s="132">
        <f t="shared" si="8"/>
        <v>33189.284467192774</v>
      </c>
      <c r="I36" s="132">
        <f t="shared" si="8"/>
        <v>33857.3297906261</v>
      </c>
      <c r="J36" s="132">
        <f t="shared" si="8"/>
        <v>34641.839480748436</v>
      </c>
      <c r="K36" s="132">
        <f t="shared" si="8"/>
        <v>35520.827430244804</v>
      </c>
      <c r="L36" s="132">
        <f t="shared" si="8"/>
        <v>35854.506309265991</v>
      </c>
      <c r="M36" s="132">
        <f t="shared" si="8"/>
        <v>36350.036627291396</v>
      </c>
      <c r="N36" s="132">
        <f t="shared" si="8"/>
        <v>36850.355097305153</v>
      </c>
      <c r="O36" s="132">
        <f t="shared" si="8"/>
        <v>37355.51098586544</v>
      </c>
      <c r="P36" s="132">
        <f t="shared" si="8"/>
        <v>37865.518971050231</v>
      </c>
      <c r="Q36" s="132">
        <f t="shared" si="8"/>
        <v>38490.57615797429</v>
      </c>
      <c r="R36" s="132">
        <f t="shared" si="8"/>
        <v>39123.589992856687</v>
      </c>
      <c r="S36" s="132">
        <f t="shared" si="8"/>
        <v>39764.635952625387</v>
      </c>
      <c r="T36" s="132">
        <f t="shared" si="8"/>
        <v>40413.789310575383</v>
      </c>
      <c r="U36" s="132">
        <f t="shared" si="8"/>
        <v>41071.125092944189</v>
      </c>
      <c r="W36" s="91">
        <f>SUM(B36:U36)</f>
        <v>688369.49307197891</v>
      </c>
    </row>
    <row r="37" spans="1:23" s="57" customFormat="1">
      <c r="A37" s="1"/>
      <c r="B37" s="132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W37" s="91"/>
    </row>
    <row r="38" spans="1:23">
      <c r="A38" s="6" t="s">
        <v>66</v>
      </c>
      <c r="B38" s="127">
        <f>IS!B39*Allocation!$E$13</f>
        <v>13772.860189426332</v>
      </c>
      <c r="C38" s="127">
        <f>IS!C39*Allocation!$E$13</f>
        <v>13566.203317687863</v>
      </c>
      <c r="D38" s="127">
        <f>IS!D39*Allocation!$E$13</f>
        <v>13274.706811635697</v>
      </c>
      <c r="E38" s="127">
        <f>IS!E39*Allocation!$E$13</f>
        <v>13045.883026678363</v>
      </c>
      <c r="F38" s="127">
        <f>IS!F39*Allocation!$E$13</f>
        <v>12641.04499161461</v>
      </c>
      <c r="G38" s="127">
        <f>IS!G39*Allocation!$E$13</f>
        <v>12161.207168732251</v>
      </c>
      <c r="H38" s="127">
        <f>IS!H39*Allocation!$E$13</f>
        <v>11621.934061271668</v>
      </c>
      <c r="I38" s="127">
        <f>IS!I39*Allocation!$E$13</f>
        <v>11057.75537879854</v>
      </c>
      <c r="J38" s="127">
        <f>IS!J39*Allocation!$E$13</f>
        <v>10356.957432516312</v>
      </c>
      <c r="K38" s="127">
        <f>IS!K39*Allocation!$E$13</f>
        <v>9580.4211020427956</v>
      </c>
      <c r="L38" s="127">
        <f>IS!L39*Allocation!$E$13</f>
        <v>8763.3274704826836</v>
      </c>
      <c r="M38" s="127">
        <f>IS!M39*Allocation!$E$13</f>
        <v>7872.4235730695937</v>
      </c>
      <c r="N38" s="127">
        <f>IS!N39*Allocation!$E$13</f>
        <v>6937.243390427775</v>
      </c>
      <c r="O38" s="127">
        <f>IS!O39*Allocation!$E$13</f>
        <v>6024.2013504003198</v>
      </c>
      <c r="P38" s="127">
        <f>IS!P39*Allocation!$E$13</f>
        <v>5099.65247918348</v>
      </c>
      <c r="Q38" s="127">
        <f>IS!Q39*Allocation!$E$13</f>
        <v>4141.4586341628865</v>
      </c>
      <c r="R38" s="127">
        <f>IS!R39*Allocation!$E$13</f>
        <v>3125.1052619350653</v>
      </c>
      <c r="S38" s="127">
        <f>IS!S39*Allocation!$E$13</f>
        <v>2166.786342662414</v>
      </c>
      <c r="T38" s="127">
        <f>IS!T39*Allocation!$E$13</f>
        <v>1345.0485066377048</v>
      </c>
      <c r="U38" s="127">
        <f>IS!U39*Allocation!$E$13</f>
        <v>525.3118586459326</v>
      </c>
      <c r="W38" s="91">
        <f>SUM(B38:U38)</f>
        <v>167079.53234801226</v>
      </c>
    </row>
    <row r="39" spans="1:23" ht="6" customHeight="1">
      <c r="B39" s="67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W39" s="91"/>
    </row>
    <row r="40" spans="1:23" s="57" customFormat="1">
      <c r="A40" s="1" t="s">
        <v>67</v>
      </c>
      <c r="B40" s="132">
        <f t="shared" ref="B40:U40" si="9">B36-B38</f>
        <v>10868.548036323054</v>
      </c>
      <c r="C40" s="132">
        <f t="shared" si="9"/>
        <v>10898.737708459017</v>
      </c>
      <c r="D40" s="132">
        <f t="shared" si="9"/>
        <v>11031.42699154561</v>
      </c>
      <c r="E40" s="132">
        <f t="shared" si="9"/>
        <v>16996.400780955817</v>
      </c>
      <c r="F40" s="132">
        <f t="shared" si="9"/>
        <v>19327.705328236683</v>
      </c>
      <c r="G40" s="132">
        <f t="shared" si="9"/>
        <v>20435.84305411722</v>
      </c>
      <c r="H40" s="132">
        <f t="shared" si="9"/>
        <v>21567.350405921105</v>
      </c>
      <c r="I40" s="132">
        <f t="shared" si="9"/>
        <v>22799.574411827562</v>
      </c>
      <c r="J40" s="132">
        <f t="shared" si="9"/>
        <v>24284.882048232124</v>
      </c>
      <c r="K40" s="132">
        <f t="shared" si="9"/>
        <v>25940.406328202007</v>
      </c>
      <c r="L40" s="132">
        <f t="shared" si="9"/>
        <v>27091.178838783308</v>
      </c>
      <c r="M40" s="132">
        <f t="shared" si="9"/>
        <v>28477.613054221802</v>
      </c>
      <c r="N40" s="132">
        <f t="shared" si="9"/>
        <v>29913.111706877378</v>
      </c>
      <c r="O40" s="132">
        <f t="shared" si="9"/>
        <v>31331.309635465121</v>
      </c>
      <c r="P40" s="132">
        <f t="shared" si="9"/>
        <v>32765.866491866749</v>
      </c>
      <c r="Q40" s="132">
        <f t="shared" si="9"/>
        <v>34349.117523811401</v>
      </c>
      <c r="R40" s="132">
        <f t="shared" si="9"/>
        <v>35998.48473092162</v>
      </c>
      <c r="S40" s="132">
        <f t="shared" si="9"/>
        <v>37597.84960996297</v>
      </c>
      <c r="T40" s="132">
        <f t="shared" si="9"/>
        <v>39068.740803937675</v>
      </c>
      <c r="U40" s="132">
        <f t="shared" si="9"/>
        <v>40545.813234298257</v>
      </c>
      <c r="W40" s="91">
        <f>SUM(B40:U40)</f>
        <v>521289.96072396648</v>
      </c>
    </row>
    <row r="41" spans="1:23" s="57" customFormat="1">
      <c r="A41" s="1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W41" s="91"/>
    </row>
    <row r="42" spans="1:23">
      <c r="A42" s="3" t="s">
        <v>68</v>
      </c>
      <c r="B42" s="127">
        <f>B40*-Assumptions!$H$39</f>
        <v>-489.08466163453744</v>
      </c>
      <c r="C42" s="127">
        <f>C40*-Assumptions!$H$39</f>
        <v>-490.44319688065576</v>
      </c>
      <c r="D42" s="127">
        <f>D40*-Assumptions!$H$39</f>
        <v>-496.41421461955241</v>
      </c>
      <c r="E42" s="127">
        <f>E40*-Assumptions!$H$39</f>
        <v>-764.83803514301178</v>
      </c>
      <c r="F42" s="127">
        <f>F40*-Assumptions!$H$39</f>
        <v>-869.74673977065072</v>
      </c>
      <c r="G42" s="127">
        <f>G40*-Assumptions!$H$39</f>
        <v>-919.61293743527483</v>
      </c>
      <c r="H42" s="127">
        <f>H40*-Assumptions!$H$39</f>
        <v>-970.53076826644963</v>
      </c>
      <c r="I42" s="127">
        <f>I40*-Assumptions!$H$39</f>
        <v>-1025.9808485322403</v>
      </c>
      <c r="J42" s="127">
        <f>J40*-Assumptions!$H$39</f>
        <v>-1092.8196921704455</v>
      </c>
      <c r="K42" s="127">
        <f>K40*-Assumptions!$H$39</f>
        <v>-1167.3182847690903</v>
      </c>
      <c r="L42" s="127">
        <f>L40*-Assumptions!$H$39</f>
        <v>-1219.1030477452489</v>
      </c>
      <c r="M42" s="127">
        <f>M40*-Assumptions!$H$39</f>
        <v>-1281.492587439981</v>
      </c>
      <c r="N42" s="127">
        <f>N40*-Assumptions!$H$39</f>
        <v>-1346.090026809482</v>
      </c>
      <c r="O42" s="127">
        <f>O40*-Assumptions!$H$39</f>
        <v>-1409.9089335959304</v>
      </c>
      <c r="P42" s="127">
        <f>P40*-Assumptions!$H$39</f>
        <v>-1474.4639921340035</v>
      </c>
      <c r="Q42" s="127">
        <f>Q40*-Assumptions!$H$39</f>
        <v>-1545.710288571513</v>
      </c>
      <c r="R42" s="127">
        <f>R40*-Assumptions!$H$39</f>
        <v>-1619.9318128914729</v>
      </c>
      <c r="S42" s="127">
        <f>S40*-Assumptions!$H$39</f>
        <v>-1691.9032324483335</v>
      </c>
      <c r="T42" s="127">
        <f>T40*-Assumptions!$H$39</f>
        <v>-1758.0933361771954</v>
      </c>
      <c r="U42" s="127">
        <f>U40*-Assumptions!$H$39</f>
        <v>-1824.5615955434216</v>
      </c>
      <c r="W42" s="91">
        <f>SUM(B42:U42)</f>
        <v>-23458.048232578494</v>
      </c>
    </row>
    <row r="43" spans="1:23">
      <c r="A43" s="3" t="s">
        <v>69</v>
      </c>
      <c r="B43" s="121">
        <f>(B40+B42)*-Assumptions!$H$38</f>
        <v>-3632.812181140981</v>
      </c>
      <c r="C43" s="121">
        <f>(C40+C42)*-Assumptions!$H$38</f>
        <v>-3642.9030790524257</v>
      </c>
      <c r="D43" s="121">
        <f>(D40+D42)*-Assumptions!$H$38</f>
        <v>-3687.25447192412</v>
      </c>
      <c r="E43" s="121">
        <f>(E40+E42)*-Assumptions!$H$38</f>
        <v>-5681.0469610344817</v>
      </c>
      <c r="F43" s="121">
        <f>(F40+F42)*-Assumptions!$H$38</f>
        <v>-6460.2855059631111</v>
      </c>
      <c r="G43" s="121">
        <f>(G40+G42)*-Assumptions!$H$38</f>
        <v>-6830.6805408386808</v>
      </c>
      <c r="H43" s="121">
        <f>(H40+H42)*-Assumptions!$H$38</f>
        <v>-7208.886873179129</v>
      </c>
      <c r="I43" s="121">
        <f>(I40+I42)*-Assumptions!$H$38</f>
        <v>-7620.7577471533623</v>
      </c>
      <c r="J43" s="121">
        <f>(J40+J42)*-Assumptions!$H$38</f>
        <v>-8117.221824621588</v>
      </c>
      <c r="K43" s="121">
        <f>(K40+K42)*-Assumptions!$H$38</f>
        <v>-8670.5808152015197</v>
      </c>
      <c r="L43" s="121">
        <f>(L40+L42)*-Assumptions!$H$38</f>
        <v>-9055.22652686332</v>
      </c>
      <c r="M43" s="121">
        <f>(M40+M42)*-Assumptions!$H$38</f>
        <v>-9518.6421633736372</v>
      </c>
      <c r="N43" s="121">
        <f>(N40+N42)*-Assumptions!$H$38</f>
        <v>-9998.4575880237626</v>
      </c>
      <c r="O43" s="121">
        <f>(O40+O42)*-Assumptions!$H$38</f>
        <v>-10472.490245654217</v>
      </c>
      <c r="P43" s="121">
        <f>(P40+P42)*-Assumptions!$H$38</f>
        <v>-10951.990874906462</v>
      </c>
      <c r="Q43" s="121">
        <f>(Q40+Q42)*-Assumptions!$H$38</f>
        <v>-11481.19253233396</v>
      </c>
      <c r="R43" s="121">
        <f>(R40+R42)*-Assumptions!$H$38</f>
        <v>-12032.493521310551</v>
      </c>
      <c r="S43" s="121">
        <f>(S40+S42)*-Assumptions!$H$38</f>
        <v>-12567.081232130122</v>
      </c>
      <c r="T43" s="121">
        <f>(T40+T42)*-Assumptions!$H$38</f>
        <v>-13058.726613716166</v>
      </c>
      <c r="U43" s="121">
        <f>(U40+U42)*-Assumptions!$H$38</f>
        <v>-13552.438073564193</v>
      </c>
      <c r="W43" s="91">
        <f>SUM(B43:U43)</f>
        <v>-174241.1693719858</v>
      </c>
    </row>
    <row r="44" spans="1:23" ht="6" customHeight="1">
      <c r="B44" s="127"/>
      <c r="C44" s="91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W44" s="91"/>
    </row>
    <row r="45" spans="1:23" s="64" customFormat="1" ht="15.75">
      <c r="A45" s="45" t="s">
        <v>220</v>
      </c>
      <c r="B45" s="134">
        <f t="shared" ref="B45:U45" si="10">SUM(B40:B43)</f>
        <v>6746.6511935475364</v>
      </c>
      <c r="C45" s="134">
        <f t="shared" si="10"/>
        <v>6765.3914325259348</v>
      </c>
      <c r="D45" s="134">
        <f t="shared" si="10"/>
        <v>6847.7583050019384</v>
      </c>
      <c r="E45" s="134">
        <f t="shared" si="10"/>
        <v>10550.515784778323</v>
      </c>
      <c r="F45" s="134">
        <f t="shared" si="10"/>
        <v>11997.673082502923</v>
      </c>
      <c r="G45" s="134">
        <f t="shared" si="10"/>
        <v>12685.549575843264</v>
      </c>
      <c r="H45" s="134">
        <f t="shared" si="10"/>
        <v>13387.932764475525</v>
      </c>
      <c r="I45" s="134">
        <f t="shared" si="10"/>
        <v>14152.83581614196</v>
      </c>
      <c r="J45" s="134">
        <f t="shared" si="10"/>
        <v>15074.840531440092</v>
      </c>
      <c r="K45" s="134">
        <f t="shared" si="10"/>
        <v>16102.507228231396</v>
      </c>
      <c r="L45" s="134">
        <f t="shared" si="10"/>
        <v>16816.84926417474</v>
      </c>
      <c r="M45" s="134">
        <f t="shared" si="10"/>
        <v>17677.478303408185</v>
      </c>
      <c r="N45" s="134">
        <f t="shared" si="10"/>
        <v>18568.564092044136</v>
      </c>
      <c r="O45" s="134">
        <f t="shared" si="10"/>
        <v>19448.910456214973</v>
      </c>
      <c r="P45" s="134">
        <f t="shared" si="10"/>
        <v>20339.411624826287</v>
      </c>
      <c r="Q45" s="134">
        <f t="shared" si="10"/>
        <v>21322.214702905927</v>
      </c>
      <c r="R45" s="134">
        <f t="shared" si="10"/>
        <v>22346.059396719596</v>
      </c>
      <c r="S45" s="134">
        <f t="shared" si="10"/>
        <v>23338.865145384516</v>
      </c>
      <c r="T45" s="134">
        <f t="shared" si="10"/>
        <v>24251.920854044314</v>
      </c>
      <c r="U45" s="134">
        <f t="shared" si="10"/>
        <v>25168.813565190645</v>
      </c>
      <c r="W45" s="91">
        <f>SUM(B45:U45)</f>
        <v>323590.74311940226</v>
      </c>
    </row>
    <row r="46" spans="1:23" s="62" customFormat="1" ht="9" outlineLevel="1">
      <c r="A46" s="4"/>
      <c r="B46" s="60"/>
      <c r="C46" s="61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</row>
    <row r="47" spans="1:23">
      <c r="A47" s="1"/>
      <c r="B47" s="56"/>
      <c r="C47" s="59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</row>
    <row r="48" spans="1:23" outlineLevel="1">
      <c r="A48" s="13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</row>
    <row r="49" spans="1:55" ht="18.75" outlineLevel="1">
      <c r="A49" s="55" t="s">
        <v>86</v>
      </c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</row>
    <row r="50" spans="1:55" outlineLevel="1">
      <c r="A50" s="1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</row>
    <row r="51" spans="1:55" ht="12.75" customHeight="1" outlineLevel="1">
      <c r="A51" s="1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</row>
    <row r="52" spans="1:55" ht="12.75" customHeight="1" outlineLevel="1">
      <c r="A52" s="1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</row>
    <row r="53" spans="1:55" ht="13.5" outlineLevel="1" thickBot="1">
      <c r="A53" s="194" t="s">
        <v>56</v>
      </c>
      <c r="B53" s="8">
        <v>2001</v>
      </c>
      <c r="C53" s="8">
        <f t="shared" ref="C53:U53" si="11">B53+1</f>
        <v>2002</v>
      </c>
      <c r="D53" s="8">
        <f t="shared" si="11"/>
        <v>2003</v>
      </c>
      <c r="E53" s="8">
        <f>D53+1</f>
        <v>2004</v>
      </c>
      <c r="F53" s="8">
        <f t="shared" si="11"/>
        <v>2005</v>
      </c>
      <c r="G53" s="8">
        <f t="shared" si="11"/>
        <v>2006</v>
      </c>
      <c r="H53" s="8">
        <f t="shared" si="11"/>
        <v>2007</v>
      </c>
      <c r="I53" s="8">
        <f t="shared" si="11"/>
        <v>2008</v>
      </c>
      <c r="J53" s="8">
        <f t="shared" si="11"/>
        <v>2009</v>
      </c>
      <c r="K53" s="8">
        <f>J53+1</f>
        <v>2010</v>
      </c>
      <c r="L53" s="8">
        <f t="shared" si="11"/>
        <v>2011</v>
      </c>
      <c r="M53" s="8">
        <f t="shared" si="11"/>
        <v>2012</v>
      </c>
      <c r="N53" s="8">
        <f t="shared" si="11"/>
        <v>2013</v>
      </c>
      <c r="O53" s="8">
        <f t="shared" si="11"/>
        <v>2014</v>
      </c>
      <c r="P53" s="8">
        <f t="shared" si="11"/>
        <v>2015</v>
      </c>
      <c r="Q53" s="8">
        <f t="shared" si="11"/>
        <v>2016</v>
      </c>
      <c r="R53" s="8">
        <f t="shared" si="11"/>
        <v>2017</v>
      </c>
      <c r="S53" s="8">
        <f t="shared" si="11"/>
        <v>2018</v>
      </c>
      <c r="T53" s="8">
        <f t="shared" si="11"/>
        <v>2019</v>
      </c>
      <c r="U53" s="8">
        <f t="shared" si="11"/>
        <v>2020</v>
      </c>
      <c r="W53" s="403" t="s">
        <v>161</v>
      </c>
    </row>
    <row r="54" spans="1:55" outlineLevel="1">
      <c r="A54" s="12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W54" s="23"/>
    </row>
    <row r="55" spans="1:55" outlineLevel="1">
      <c r="A55" s="13" t="s">
        <v>276</v>
      </c>
      <c r="B55" s="67">
        <f>B32-B12</f>
        <v>20941.82126325</v>
      </c>
      <c r="C55" s="67">
        <f>C32-C12</f>
        <v>20765.354063647494</v>
      </c>
      <c r="D55" s="67">
        <f>D32-D12</f>
        <v>20606.54684068192</v>
      </c>
      <c r="E55" s="56">
        <f t="shared" ref="E55:U55" si="12">E32</f>
        <v>35945.517046869412</v>
      </c>
      <c r="F55" s="56">
        <f t="shared" si="12"/>
        <v>37871.983559086526</v>
      </c>
      <c r="G55" s="56">
        <f t="shared" si="12"/>
        <v>38500.283462084706</v>
      </c>
      <c r="H55" s="56">
        <f t="shared" si="12"/>
        <v>39092.517706428007</v>
      </c>
      <c r="I55" s="56">
        <f t="shared" si="12"/>
        <v>39760.563029861332</v>
      </c>
      <c r="J55" s="56">
        <f t="shared" si="12"/>
        <v>40545.072719983669</v>
      </c>
      <c r="K55" s="56">
        <f t="shared" si="12"/>
        <v>41424.060669480037</v>
      </c>
      <c r="L55" s="56">
        <f t="shared" si="12"/>
        <v>41757.739548501224</v>
      </c>
      <c r="M55" s="56">
        <f t="shared" si="12"/>
        <v>42253.269866526629</v>
      </c>
      <c r="N55" s="56">
        <f t="shared" si="12"/>
        <v>42753.588336540386</v>
      </c>
      <c r="O55" s="56">
        <f t="shared" si="12"/>
        <v>43258.744225100672</v>
      </c>
      <c r="P55" s="56">
        <f t="shared" si="12"/>
        <v>43768.752210285464</v>
      </c>
      <c r="Q55" s="56">
        <f t="shared" si="12"/>
        <v>44393.809397209523</v>
      </c>
      <c r="R55" s="56">
        <f t="shared" si="12"/>
        <v>45026.82323209192</v>
      </c>
      <c r="S55" s="56">
        <f t="shared" si="12"/>
        <v>45667.86919186062</v>
      </c>
      <c r="T55" s="56">
        <f t="shared" si="12"/>
        <v>46317.022549810616</v>
      </c>
      <c r="U55" s="56">
        <f t="shared" si="12"/>
        <v>46974.358332179421</v>
      </c>
      <c r="W55" s="404">
        <f>SUM(B55:U55)</f>
        <v>777625.69725147972</v>
      </c>
    </row>
    <row r="56" spans="1:55">
      <c r="A56" s="13" t="s">
        <v>169</v>
      </c>
      <c r="B56" s="67">
        <f>B27</f>
        <v>0</v>
      </c>
      <c r="C56" s="67">
        <f t="shared" ref="C56:U56" si="13">C27</f>
        <v>117.98699999999999</v>
      </c>
      <c r="D56" s="67">
        <f t="shared" si="13"/>
        <v>216.84299999999999</v>
      </c>
      <c r="E56" s="67">
        <f t="shared" si="13"/>
        <v>295.98500000000001</v>
      </c>
      <c r="F56" s="67">
        <f t="shared" si="13"/>
        <v>346.25099999999998</v>
      </c>
      <c r="G56" s="67">
        <f t="shared" si="13"/>
        <v>468.65699999999998</v>
      </c>
      <c r="H56" s="67">
        <f t="shared" si="13"/>
        <v>641.05899999999997</v>
      </c>
      <c r="I56" s="67">
        <f t="shared" si="13"/>
        <v>753.23199999999997</v>
      </c>
      <c r="J56" s="67">
        <f t="shared" si="13"/>
        <v>765.3</v>
      </c>
      <c r="K56" s="67">
        <f t="shared" si="13"/>
        <v>699.25800000000004</v>
      </c>
      <c r="L56" s="67">
        <f t="shared" si="13"/>
        <v>854.33299999999997</v>
      </c>
      <c r="M56" s="67">
        <f t="shared" si="13"/>
        <v>854.3</v>
      </c>
      <c r="N56" s="67">
        <f t="shared" si="13"/>
        <v>854.3</v>
      </c>
      <c r="O56" s="67">
        <f t="shared" si="13"/>
        <v>854.3</v>
      </c>
      <c r="P56" s="67">
        <f t="shared" si="13"/>
        <v>854.3</v>
      </c>
      <c r="Q56" s="67">
        <f t="shared" si="13"/>
        <v>854.3</v>
      </c>
      <c r="R56" s="67">
        <f t="shared" si="13"/>
        <v>854.3</v>
      </c>
      <c r="S56" s="67">
        <f t="shared" si="13"/>
        <v>854.3</v>
      </c>
      <c r="T56" s="67">
        <f t="shared" si="13"/>
        <v>854.3</v>
      </c>
      <c r="U56" s="67">
        <f t="shared" si="13"/>
        <v>854.3</v>
      </c>
      <c r="W56" s="404">
        <f>SUM(B56:U56)</f>
        <v>12847.604999999996</v>
      </c>
      <c r="X56" s="16"/>
      <c r="Y56" s="16"/>
      <c r="Z56" s="16"/>
      <c r="AA56" s="16"/>
      <c r="AB56" s="17"/>
      <c r="AC56" s="17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</row>
    <row r="57" spans="1:55">
      <c r="A57" s="13" t="s">
        <v>170</v>
      </c>
      <c r="B57" s="466">
        <v>-203.273</v>
      </c>
      <c r="C57" s="67">
        <f>-B56</f>
        <v>0</v>
      </c>
      <c r="D57" s="67">
        <f t="shared" ref="D57:U57" si="14">-C56</f>
        <v>-117.98699999999999</v>
      </c>
      <c r="E57" s="67">
        <f t="shared" si="14"/>
        <v>-216.84299999999999</v>
      </c>
      <c r="F57" s="67">
        <f t="shared" si="14"/>
        <v>-295.98500000000001</v>
      </c>
      <c r="G57" s="67">
        <f t="shared" si="14"/>
        <v>-346.25099999999998</v>
      </c>
      <c r="H57" s="67">
        <f t="shared" si="14"/>
        <v>-468.65699999999998</v>
      </c>
      <c r="I57" s="67">
        <f t="shared" si="14"/>
        <v>-641.05899999999997</v>
      </c>
      <c r="J57" s="67">
        <f t="shared" si="14"/>
        <v>-753.23199999999997</v>
      </c>
      <c r="K57" s="67">
        <f t="shared" si="14"/>
        <v>-765.3</v>
      </c>
      <c r="L57" s="67">
        <f t="shared" si="14"/>
        <v>-699.25800000000004</v>
      </c>
      <c r="M57" s="67">
        <f t="shared" si="14"/>
        <v>-854.33299999999997</v>
      </c>
      <c r="N57" s="67">
        <f t="shared" si="14"/>
        <v>-854.3</v>
      </c>
      <c r="O57" s="67">
        <f t="shared" si="14"/>
        <v>-854.3</v>
      </c>
      <c r="P57" s="67">
        <f t="shared" si="14"/>
        <v>-854.3</v>
      </c>
      <c r="Q57" s="67">
        <f t="shared" si="14"/>
        <v>-854.3</v>
      </c>
      <c r="R57" s="67">
        <f t="shared" si="14"/>
        <v>-854.3</v>
      </c>
      <c r="S57" s="67">
        <f t="shared" si="14"/>
        <v>-854.3</v>
      </c>
      <c r="T57" s="67">
        <f t="shared" si="14"/>
        <v>-854.3</v>
      </c>
      <c r="U57" s="67">
        <f t="shared" si="14"/>
        <v>-854.3</v>
      </c>
      <c r="W57" s="404">
        <f>SUM(B57:U57)</f>
        <v>-12196.577999999996</v>
      </c>
      <c r="X57" s="16"/>
      <c r="Y57" s="16"/>
      <c r="Z57" s="16"/>
      <c r="AA57" s="16"/>
      <c r="AB57" s="17"/>
      <c r="AC57" s="17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</row>
    <row r="58" spans="1:55" outlineLevel="1">
      <c r="A58" s="13" t="s">
        <v>71</v>
      </c>
      <c r="B58" s="402">
        <f>-Debt!B77*Allocation!$E$13</f>
        <v>-16434.861105772212</v>
      </c>
      <c r="C58" s="402">
        <f>-Debt!C77*Allocation!$E$13</f>
        <v>-16421.413977962075</v>
      </c>
      <c r="D58" s="402">
        <f>-Debt!D77*Allocation!$E$13</f>
        <v>-16344.594965163607</v>
      </c>
      <c r="E58" s="402">
        <f>-Debt!E77*Allocation!$E$13</f>
        <v>-16111.4776303412</v>
      </c>
      <c r="F58" s="402">
        <f>-Debt!F77*Allocation!$E$13</f>
        <v>-16860.745799009339</v>
      </c>
      <c r="G58" s="402">
        <f>-Debt!G77*Allocation!$E$13</f>
        <v>-16957.961077992924</v>
      </c>
      <c r="H58" s="402">
        <f>-Debt!H77*Allocation!$E$13</f>
        <v>-16851.477796931798</v>
      </c>
      <c r="I58" s="402">
        <f>-Debt!I77*Allocation!$E$13</f>
        <v>-17008.615491791101</v>
      </c>
      <c r="J58" s="402">
        <f>-Debt!J77*Allocation!$E$13</f>
        <v>-16884.870647374821</v>
      </c>
      <c r="K58" s="402">
        <f>-Debt!K77*Allocation!$E$13</f>
        <v>-17079.535296381044</v>
      </c>
      <c r="L58" s="402">
        <f>-Debt!L77*Allocation!$E$13</f>
        <v>-16921.072214123284</v>
      </c>
      <c r="M58" s="402">
        <f>-Debt!M77*Allocation!$E$13</f>
        <v>-16030.168316710193</v>
      </c>
      <c r="N58" s="402">
        <f>-Debt!N77*Allocation!$E$13</f>
        <v>-15094.988134068375</v>
      </c>
      <c r="O58" s="402">
        <f>-Debt!O77*Allocation!$E$13</f>
        <v>-14181.946094040921</v>
      </c>
      <c r="P58" s="402">
        <f>-Debt!P77*Allocation!$E$13</f>
        <v>-13665.284460006109</v>
      </c>
      <c r="Q58" s="402">
        <f>-Debt!Q77*Allocation!$E$13</f>
        <v>-13114.977852167545</v>
      </c>
      <c r="R58" s="402">
        <f>-Debt!R77*Allocation!$E$13</f>
        <v>-12098.624479939726</v>
      </c>
      <c r="S58" s="402">
        <f>-Debt!S77*Allocation!$E$13</f>
        <v>-9508.7566119389539</v>
      </c>
      <c r="T58" s="402">
        <f>-Debt!T77*Allocation!$E$13</f>
        <v>-8687.0187759142445</v>
      </c>
      <c r="U58" s="402">
        <f>-Debt!U77*Allocation!$E$13</f>
        <v>-7051.5076535584194</v>
      </c>
      <c r="W58" s="404">
        <f>SUM(B58:U58)</f>
        <v>-293309.89838118787</v>
      </c>
    </row>
    <row r="59" spans="1:55" outlineLevel="1">
      <c r="A59" s="13"/>
      <c r="B59" s="135"/>
      <c r="C59" s="135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  <c r="S59" s="135"/>
      <c r="T59" s="135"/>
      <c r="U59" s="135"/>
      <c r="W59" s="405"/>
    </row>
    <row r="60" spans="1:55" s="57" customFormat="1" outlineLevel="1">
      <c r="A60" s="12" t="s">
        <v>72</v>
      </c>
      <c r="B60" s="65">
        <f t="shared" ref="B60:U60" si="15">SUM(B55:B58)</f>
        <v>4303.687157477787</v>
      </c>
      <c r="C60" s="65">
        <f t="shared" si="15"/>
        <v>4461.92708568542</v>
      </c>
      <c r="D60" s="65">
        <f t="shared" si="15"/>
        <v>4360.8078755183124</v>
      </c>
      <c r="E60" s="65">
        <f t="shared" si="15"/>
        <v>19913.181416528212</v>
      </c>
      <c r="F60" s="65">
        <f t="shared" si="15"/>
        <v>21061.503760077183</v>
      </c>
      <c r="G60" s="65">
        <f t="shared" si="15"/>
        <v>21664.728384091784</v>
      </c>
      <c r="H60" s="65">
        <f t="shared" si="15"/>
        <v>22413.44190949621</v>
      </c>
      <c r="I60" s="65">
        <f t="shared" si="15"/>
        <v>22864.120538070227</v>
      </c>
      <c r="J60" s="65">
        <f t="shared" si="15"/>
        <v>23672.270072608848</v>
      </c>
      <c r="K60" s="65">
        <f t="shared" si="15"/>
        <v>24278.483373098992</v>
      </c>
      <c r="L60" s="65">
        <f t="shared" si="15"/>
        <v>24991.742334377937</v>
      </c>
      <c r="M60" s="65">
        <f t="shared" si="15"/>
        <v>26223.068549816438</v>
      </c>
      <c r="N60" s="65">
        <f t="shared" si="15"/>
        <v>27658.600202472011</v>
      </c>
      <c r="O60" s="65">
        <f t="shared" si="15"/>
        <v>29076.798131059753</v>
      </c>
      <c r="P60" s="65">
        <f t="shared" si="15"/>
        <v>30103.467750279357</v>
      </c>
      <c r="Q60" s="65">
        <f t="shared" si="15"/>
        <v>31278.831545041976</v>
      </c>
      <c r="R60" s="65">
        <f t="shared" si="15"/>
        <v>32928.198752152195</v>
      </c>
      <c r="S60" s="65">
        <f t="shared" si="15"/>
        <v>36159.112579921668</v>
      </c>
      <c r="T60" s="65">
        <f t="shared" si="15"/>
        <v>37630.003773896373</v>
      </c>
      <c r="U60" s="65">
        <f t="shared" si="15"/>
        <v>39922.850678621005</v>
      </c>
      <c r="W60" s="404">
        <f>SUM(B60:U60)</f>
        <v>484966.82587029168</v>
      </c>
    </row>
    <row r="61" spans="1:55" outlineLevel="1">
      <c r="A61" s="12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W61" s="405"/>
    </row>
    <row r="62" spans="1:55" ht="15" outlineLevel="1">
      <c r="A62" s="13" t="s">
        <v>99</v>
      </c>
      <c r="B62" s="225">
        <f>-B107</f>
        <v>-296.48996776542862</v>
      </c>
      <c r="C62" s="225">
        <f t="shared" ref="C62:U62" si="16">-C107</f>
        <v>-297.14384874839141</v>
      </c>
      <c r="D62" s="225">
        <f t="shared" si="16"/>
        <v>-297.8207467523431</v>
      </c>
      <c r="E62" s="225">
        <f t="shared" si="16"/>
        <v>-577.87762655249787</v>
      </c>
      <c r="F62" s="225">
        <f t="shared" si="16"/>
        <v>-951.48441200829313</v>
      </c>
      <c r="G62" s="225">
        <f t="shared" si="16"/>
        <v>-1409.1844701410027</v>
      </c>
      <c r="H62" s="225">
        <f t="shared" si="16"/>
        <v>-1523.5164990678513</v>
      </c>
      <c r="I62" s="225">
        <f t="shared" si="16"/>
        <v>-1620.1063486212993</v>
      </c>
      <c r="J62" s="225">
        <f t="shared" si="16"/>
        <v>-1738.201498810422</v>
      </c>
      <c r="K62" s="225">
        <f t="shared" si="16"/>
        <v>-1868.2320700148807</v>
      </c>
      <c r="L62" s="225">
        <f t="shared" si="16"/>
        <v>-1959.8989452639653</v>
      </c>
      <c r="M62" s="225">
        <f t="shared" si="16"/>
        <v>-2068.6714013704445</v>
      </c>
      <c r="N62" s="225">
        <f t="shared" si="16"/>
        <v>-2182.8316418433965</v>
      </c>
      <c r="O62" s="225">
        <f t="shared" si="16"/>
        <v>-2294.1134312886666</v>
      </c>
      <c r="P62" s="225">
        <f t="shared" si="16"/>
        <v>-2408.1992698575568</v>
      </c>
      <c r="Q62" s="225">
        <f t="shared" si="16"/>
        <v>-2756.2509407639354</v>
      </c>
      <c r="R62" s="225">
        <f t="shared" si="16"/>
        <v>-3109.5257895083932</v>
      </c>
      <c r="S62" s="225">
        <f t="shared" si="16"/>
        <v>-3235.8756149526598</v>
      </c>
      <c r="T62" s="225">
        <f t="shared" si="16"/>
        <v>-3352.076019276662</v>
      </c>
      <c r="U62" s="225">
        <f t="shared" si="16"/>
        <v>-3468.7647412751476</v>
      </c>
      <c r="W62" s="404">
        <f>SUM(B62:U62)</f>
        <v>-37416.265283883236</v>
      </c>
    </row>
    <row r="63" spans="1:55" outlineLevel="1">
      <c r="A63" s="13" t="s">
        <v>100</v>
      </c>
      <c r="B63" s="128">
        <f>-Allocation!$E$13*Tax!B24</f>
        <v>0</v>
      </c>
      <c r="C63" s="128">
        <f>-Allocation!$E$13*Tax!C24</f>
        <v>0</v>
      </c>
      <c r="D63" s="128">
        <f>-Allocation!$E$13*Tax!D24</f>
        <v>0</v>
      </c>
      <c r="E63" s="128">
        <f>-Allocation!$E$13*Tax!E24</f>
        <v>0</v>
      </c>
      <c r="F63" s="128">
        <f>-Allocation!$E$13*Tax!F24</f>
        <v>-186.97692543491328</v>
      </c>
      <c r="G63" s="128">
        <f>-Allocation!$E$13*Tax!G24</f>
        <v>-4873.4256939455172</v>
      </c>
      <c r="H63" s="128">
        <f>-Allocation!$E$13*Tax!H24</f>
        <v>-5354.5506635196934</v>
      </c>
      <c r="I63" s="128">
        <f>-Allocation!$E$13*Tax!I24</f>
        <v>-5722.5973784995003</v>
      </c>
      <c r="J63" s="128">
        <f>-Allocation!$E$13*Tax!J24</f>
        <v>-6158.9007614434659</v>
      </c>
      <c r="K63" s="128">
        <f>-Allocation!$E$13*Tax!K24</f>
        <v>-6559.2176696016659</v>
      </c>
      <c r="L63" s="128">
        <f>-Allocation!$E$13*Tax!L24</f>
        <v>-7082.8312784313794</v>
      </c>
      <c r="M63" s="128">
        <f>-Allocation!$E$13*Tax!M24</f>
        <v>-7633.2005894825697</v>
      </c>
      <c r="N63" s="128">
        <f>-Allocation!$E$13*Tax!N24</f>
        <v>-8185.8655419990018</v>
      </c>
      <c r="O63" s="128">
        <f>-Allocation!$E$13*Tax!O24</f>
        <v>-8728.327889508766</v>
      </c>
      <c r="P63" s="128">
        <f>-Allocation!$E$13*Tax!P24</f>
        <v>-9262.8978508497494</v>
      </c>
      <c r="Q63" s="128">
        <f>-Allocation!$E$13*Tax!Q24</f>
        <v>-11608.125314152627</v>
      </c>
      <c r="R63" s="128">
        <f>-Allocation!$E$13*Tax!R24</f>
        <v>-13941.05291059087</v>
      </c>
      <c r="S63" s="128">
        <f>-Allocation!$E$13*Tax!S24</f>
        <v>-14460.268882188477</v>
      </c>
      <c r="T63" s="128">
        <f>-Allocation!$E$13*Tax!T24</f>
        <v>-14937.073438983827</v>
      </c>
      <c r="U63" s="128">
        <f>-Allocation!$E$13*Tax!U24</f>
        <v>-15416.142119652566</v>
      </c>
      <c r="W63" s="404">
        <f>SUM(B63:U63)</f>
        <v>-140111.45490828459</v>
      </c>
    </row>
    <row r="64" spans="1:55" ht="15" outlineLevel="1">
      <c r="A64" s="13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W64" s="405"/>
    </row>
    <row r="65" spans="1:256" s="64" customFormat="1" ht="15.75" outlineLevel="1">
      <c r="A65" s="46" t="s">
        <v>73</v>
      </c>
      <c r="B65" s="137">
        <f t="shared" ref="B65:U65" si="17">B60+B63+B62</f>
        <v>4007.1971897123585</v>
      </c>
      <c r="C65" s="137">
        <f t="shared" si="17"/>
        <v>4164.783236937029</v>
      </c>
      <c r="D65" s="137">
        <f t="shared" si="17"/>
        <v>4062.9871287659694</v>
      </c>
      <c r="E65" s="137">
        <f t="shared" si="17"/>
        <v>19335.303789975715</v>
      </c>
      <c r="F65" s="137">
        <f t="shared" si="17"/>
        <v>19923.042422633978</v>
      </c>
      <c r="G65" s="137">
        <f t="shared" si="17"/>
        <v>15382.118220005263</v>
      </c>
      <c r="H65" s="137">
        <f t="shared" si="17"/>
        <v>15535.374746908665</v>
      </c>
      <c r="I65" s="137">
        <f t="shared" si="17"/>
        <v>15521.416810949428</v>
      </c>
      <c r="J65" s="137">
        <f t="shared" si="17"/>
        <v>15775.167812354959</v>
      </c>
      <c r="K65" s="137">
        <f t="shared" si="17"/>
        <v>15851.033633482446</v>
      </c>
      <c r="L65" s="137">
        <f t="shared" si="17"/>
        <v>15949.012110682594</v>
      </c>
      <c r="M65" s="137">
        <f t="shared" si="17"/>
        <v>16521.196558963424</v>
      </c>
      <c r="N65" s="137">
        <f t="shared" si="17"/>
        <v>17289.903018629611</v>
      </c>
      <c r="O65" s="137">
        <f t="shared" si="17"/>
        <v>18054.356810262321</v>
      </c>
      <c r="P65" s="137">
        <f t="shared" si="17"/>
        <v>18432.370629572051</v>
      </c>
      <c r="Q65" s="137">
        <f t="shared" si="17"/>
        <v>16914.455290125414</v>
      </c>
      <c r="R65" s="137">
        <f t="shared" si="17"/>
        <v>15877.620052052931</v>
      </c>
      <c r="S65" s="137">
        <f t="shared" si="17"/>
        <v>18462.968082780531</v>
      </c>
      <c r="T65" s="137">
        <f t="shared" si="17"/>
        <v>19340.854315635886</v>
      </c>
      <c r="U65" s="137">
        <f t="shared" si="17"/>
        <v>21037.943817693293</v>
      </c>
      <c r="W65" s="404">
        <f>SUM(B65:U65)</f>
        <v>307439.10567812383</v>
      </c>
    </row>
    <row r="66" spans="1:256" outlineLevel="1">
      <c r="A66" s="7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59"/>
      <c r="M66" s="59"/>
      <c r="N66" s="59"/>
      <c r="O66" s="59"/>
      <c r="P66" s="59"/>
      <c r="Q66" s="59"/>
      <c r="R66" s="59"/>
      <c r="S66" s="59"/>
      <c r="T66" s="59"/>
      <c r="U66" s="59"/>
    </row>
    <row r="67" spans="1:256" ht="14.25" outlineLevel="1">
      <c r="A67" s="75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59"/>
      <c r="M67" s="59"/>
      <c r="N67" s="59"/>
      <c r="O67" s="59"/>
      <c r="P67" s="59"/>
      <c r="Q67" s="59"/>
      <c r="R67" s="59"/>
      <c r="S67" s="59"/>
      <c r="T67" s="59"/>
      <c r="U67" s="59"/>
    </row>
    <row r="68" spans="1:256" outlineLevel="1">
      <c r="A68" s="78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</row>
    <row r="69" spans="1:256" ht="18.75" outlineLevel="1">
      <c r="A69" s="55" t="s">
        <v>222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r="70" spans="1:256" outlineLevel="1">
      <c r="A70" s="57"/>
      <c r="B70" s="18"/>
      <c r="C70" s="18"/>
      <c r="D70" s="18"/>
      <c r="E70" s="18"/>
      <c r="F70" s="18"/>
      <c r="G70" s="138"/>
      <c r="H70" s="18"/>
      <c r="I70" s="18"/>
      <c r="J70" s="18"/>
      <c r="K70" s="18"/>
      <c r="L70" s="18"/>
      <c r="M70" s="138"/>
      <c r="N70" s="18"/>
      <c r="O70" s="18"/>
      <c r="P70" s="18"/>
      <c r="Q70" s="18"/>
      <c r="R70" s="18"/>
      <c r="S70" s="138"/>
      <c r="T70" s="18"/>
      <c r="U70" s="18"/>
    </row>
    <row r="71" spans="1:256" outlineLevel="1">
      <c r="A71" s="226"/>
      <c r="B71" s="242">
        <v>3</v>
      </c>
      <c r="C71" s="242">
        <v>4</v>
      </c>
      <c r="D71" s="242">
        <v>5</v>
      </c>
      <c r="E71" s="243">
        <v>6</v>
      </c>
      <c r="F71" s="242">
        <v>7</v>
      </c>
      <c r="G71" s="242">
        <v>8</v>
      </c>
      <c r="H71" s="242">
        <v>9</v>
      </c>
      <c r="I71" s="242">
        <v>10</v>
      </c>
      <c r="J71" s="242">
        <v>11</v>
      </c>
      <c r="K71" s="243">
        <v>12</v>
      </c>
      <c r="L71" s="242">
        <v>13</v>
      </c>
      <c r="M71" s="242">
        <v>14</v>
      </c>
      <c r="N71" s="242">
        <v>15</v>
      </c>
      <c r="O71" s="242">
        <v>16</v>
      </c>
      <c r="P71" s="242">
        <v>17</v>
      </c>
      <c r="Q71" s="243">
        <v>18</v>
      </c>
      <c r="R71" s="242">
        <v>19</v>
      </c>
      <c r="S71" s="242">
        <v>20</v>
      </c>
      <c r="T71" s="242">
        <v>21</v>
      </c>
      <c r="U71" s="242">
        <v>22</v>
      </c>
    </row>
    <row r="72" spans="1:256" ht="13.5" outlineLevel="1" thickBot="1">
      <c r="A72" s="194" t="s">
        <v>56</v>
      </c>
      <c r="B72" s="8">
        <v>2001</v>
      </c>
      <c r="C72" s="8">
        <v>2002</v>
      </c>
      <c r="D72" s="8">
        <v>2003</v>
      </c>
      <c r="E72" s="8">
        <v>2004</v>
      </c>
      <c r="F72" s="8">
        <v>2005</v>
      </c>
      <c r="G72" s="8">
        <v>2006</v>
      </c>
      <c r="H72" s="8">
        <v>2007</v>
      </c>
      <c r="I72" s="8">
        <v>2008</v>
      </c>
      <c r="J72" s="8">
        <v>2009</v>
      </c>
      <c r="K72" s="8">
        <v>2010</v>
      </c>
      <c r="L72" s="8">
        <v>2011</v>
      </c>
      <c r="M72" s="8">
        <v>2012</v>
      </c>
      <c r="N72" s="8">
        <v>2013</v>
      </c>
      <c r="O72" s="8">
        <v>2014</v>
      </c>
      <c r="P72" s="8">
        <v>2015</v>
      </c>
      <c r="Q72" s="8">
        <v>2016</v>
      </c>
      <c r="R72" s="8">
        <v>2017</v>
      </c>
      <c r="S72" s="8">
        <v>2018</v>
      </c>
      <c r="T72" s="8">
        <v>2019</v>
      </c>
      <c r="U72" s="8">
        <v>2020</v>
      </c>
    </row>
    <row r="73" spans="1:256" outlineLevel="1">
      <c r="A73" s="226"/>
      <c r="B73" s="24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256" outlineLevel="1">
      <c r="A74" s="227" t="s">
        <v>182</v>
      </c>
      <c r="B74" s="24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spans="1:256" outlineLevel="1">
      <c r="A75" s="226"/>
      <c r="B75" s="24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256" s="432" customFormat="1" ht="12" customHeight="1">
      <c r="A76" s="227" t="s">
        <v>87</v>
      </c>
      <c r="B76" s="428"/>
      <c r="C76" s="428"/>
      <c r="D76" s="246"/>
      <c r="E76" s="246"/>
      <c r="F76" s="246"/>
      <c r="G76" s="246"/>
      <c r="H76" s="246"/>
      <c r="I76" s="246"/>
      <c r="J76" s="246"/>
      <c r="K76" s="246"/>
      <c r="L76" s="246"/>
      <c r="M76" s="246"/>
      <c r="N76" s="246"/>
      <c r="O76" s="246"/>
      <c r="P76" s="246"/>
      <c r="Q76" s="246"/>
      <c r="R76" s="246"/>
      <c r="S76" s="246"/>
      <c r="T76" s="246"/>
      <c r="U76" s="246"/>
      <c r="V76" s="246"/>
      <c r="W76" s="246"/>
      <c r="X76" s="246"/>
      <c r="Y76" s="246"/>
      <c r="Z76" s="246"/>
      <c r="AA76" s="246"/>
      <c r="AB76" s="246"/>
      <c r="AC76" s="428"/>
      <c r="AD76" s="428"/>
      <c r="AE76" s="430"/>
      <c r="AF76" s="430"/>
      <c r="AG76" s="430"/>
      <c r="AH76" s="431"/>
      <c r="AI76" s="431"/>
      <c r="AJ76" s="431"/>
      <c r="AK76" s="431"/>
      <c r="AL76" s="431"/>
      <c r="AM76" s="431"/>
      <c r="AN76" s="431"/>
      <c r="AO76" s="431"/>
      <c r="AP76" s="431"/>
      <c r="AQ76" s="431"/>
      <c r="AR76" s="431"/>
      <c r="AS76" s="431"/>
      <c r="AT76" s="431"/>
      <c r="AU76" s="431"/>
      <c r="AV76" s="431"/>
      <c r="AW76" s="431"/>
      <c r="AX76" s="431"/>
      <c r="AY76" s="431"/>
      <c r="AZ76" s="431"/>
      <c r="BA76" s="431"/>
      <c r="BB76" s="431"/>
      <c r="BC76" s="431"/>
      <c r="BD76" s="431"/>
      <c r="BE76" s="431"/>
      <c r="BF76" s="431"/>
      <c r="BG76" s="431"/>
      <c r="BH76" s="431"/>
      <c r="BI76" s="431"/>
      <c r="BJ76" s="431"/>
      <c r="BK76" s="431"/>
      <c r="BL76" s="431"/>
      <c r="BM76" s="431"/>
      <c r="BN76" s="431"/>
      <c r="BO76" s="431"/>
      <c r="BP76" s="431"/>
      <c r="BQ76" s="431"/>
      <c r="BR76" s="431"/>
      <c r="BS76" s="431"/>
      <c r="BT76" s="431"/>
      <c r="BU76" s="431"/>
      <c r="BV76" s="431"/>
      <c r="BW76" s="431"/>
      <c r="BX76" s="431"/>
      <c r="BY76" s="431"/>
      <c r="BZ76" s="431"/>
      <c r="CA76" s="431"/>
      <c r="CB76" s="431"/>
      <c r="CC76" s="431"/>
      <c r="CD76" s="431"/>
      <c r="CE76" s="431"/>
      <c r="CF76" s="431"/>
      <c r="CG76" s="431"/>
      <c r="CH76" s="431"/>
      <c r="CI76" s="431"/>
      <c r="CJ76" s="431"/>
      <c r="CK76" s="431"/>
      <c r="CL76" s="431"/>
      <c r="CM76" s="431"/>
      <c r="CN76" s="431"/>
      <c r="CO76" s="431"/>
      <c r="CP76" s="431"/>
      <c r="CQ76" s="431"/>
      <c r="CR76" s="431"/>
      <c r="CS76" s="431"/>
      <c r="CT76" s="431"/>
      <c r="CU76" s="431"/>
      <c r="CV76" s="431"/>
      <c r="CW76" s="431"/>
      <c r="CX76" s="431"/>
      <c r="CY76" s="431"/>
      <c r="CZ76" s="431"/>
      <c r="DA76" s="431"/>
      <c r="DB76" s="431"/>
      <c r="DC76" s="431"/>
      <c r="DD76" s="431"/>
      <c r="DE76" s="431"/>
      <c r="DF76" s="431"/>
      <c r="DG76" s="431"/>
      <c r="DH76" s="431"/>
      <c r="DI76" s="431"/>
      <c r="DJ76" s="431"/>
      <c r="DK76" s="431"/>
      <c r="DL76" s="431"/>
      <c r="DM76" s="431"/>
      <c r="DN76" s="431"/>
      <c r="DO76" s="431"/>
      <c r="DP76" s="431"/>
      <c r="DQ76" s="431"/>
      <c r="DR76" s="431"/>
      <c r="DS76" s="431"/>
      <c r="DT76" s="431"/>
      <c r="DU76" s="431"/>
      <c r="DV76" s="431"/>
      <c r="DW76" s="431"/>
      <c r="DX76" s="431"/>
      <c r="DY76" s="431"/>
      <c r="DZ76" s="431"/>
      <c r="EA76" s="431"/>
      <c r="EB76" s="431"/>
      <c r="EC76" s="431"/>
      <c r="ED76" s="431"/>
      <c r="EE76" s="431"/>
      <c r="EF76" s="431"/>
      <c r="EG76" s="431"/>
      <c r="EH76" s="431"/>
      <c r="EI76" s="431"/>
      <c r="EJ76" s="431"/>
      <c r="EK76" s="431"/>
      <c r="EL76" s="431"/>
      <c r="EM76" s="431"/>
      <c r="EN76" s="431"/>
      <c r="EO76" s="431"/>
      <c r="EP76" s="431"/>
      <c r="EQ76" s="431"/>
      <c r="ER76" s="431"/>
      <c r="ES76" s="431"/>
      <c r="ET76" s="431"/>
      <c r="EU76" s="431"/>
      <c r="EV76" s="431"/>
      <c r="EW76" s="431"/>
      <c r="EX76" s="431"/>
      <c r="EY76" s="431"/>
      <c r="EZ76" s="431"/>
      <c r="FA76" s="431"/>
      <c r="FB76" s="431"/>
      <c r="FC76" s="431"/>
      <c r="FD76" s="431"/>
      <c r="FE76" s="431"/>
      <c r="FF76" s="431"/>
      <c r="FG76" s="431"/>
      <c r="FH76" s="431"/>
      <c r="FI76" s="431"/>
      <c r="FJ76" s="431"/>
      <c r="FK76" s="431"/>
      <c r="FL76" s="431"/>
      <c r="FM76" s="431"/>
      <c r="FN76" s="431"/>
      <c r="FO76" s="431"/>
      <c r="FP76" s="431"/>
      <c r="FQ76" s="431"/>
      <c r="FR76" s="431"/>
      <c r="FS76" s="431"/>
      <c r="FT76" s="431"/>
      <c r="FU76" s="431"/>
      <c r="FV76" s="431"/>
      <c r="FW76" s="431"/>
      <c r="FX76" s="431"/>
      <c r="FY76" s="431"/>
      <c r="FZ76" s="431"/>
      <c r="GA76" s="431"/>
      <c r="GB76" s="431"/>
      <c r="GC76" s="431"/>
      <c r="GD76" s="431"/>
      <c r="GE76" s="431"/>
      <c r="GF76" s="431"/>
      <c r="GG76" s="431"/>
      <c r="GH76" s="431"/>
      <c r="GI76" s="431"/>
      <c r="GJ76" s="431"/>
      <c r="GK76" s="431"/>
      <c r="GL76" s="431"/>
      <c r="GM76" s="431"/>
      <c r="GN76" s="431"/>
      <c r="GO76" s="431"/>
      <c r="GP76" s="431"/>
      <c r="GQ76" s="431"/>
      <c r="GR76" s="431"/>
      <c r="GS76" s="431"/>
      <c r="GT76" s="431"/>
      <c r="GU76" s="431"/>
      <c r="GV76" s="431"/>
      <c r="GW76" s="431"/>
      <c r="GX76" s="431"/>
      <c r="GY76" s="431"/>
      <c r="GZ76" s="431"/>
      <c r="HA76" s="431"/>
      <c r="HB76" s="431"/>
      <c r="HC76" s="431"/>
      <c r="HD76" s="431"/>
      <c r="HE76" s="431"/>
      <c r="HF76" s="431"/>
      <c r="HG76" s="431"/>
      <c r="HH76" s="431"/>
      <c r="HI76" s="431"/>
      <c r="HJ76" s="431"/>
      <c r="HK76" s="431"/>
      <c r="HL76" s="431"/>
      <c r="HM76" s="431"/>
      <c r="HN76" s="431"/>
      <c r="HO76" s="431"/>
      <c r="HP76" s="431"/>
      <c r="HQ76" s="431"/>
      <c r="HR76" s="431"/>
      <c r="HS76" s="431"/>
      <c r="HT76" s="431"/>
      <c r="HU76" s="431"/>
      <c r="HV76" s="431"/>
      <c r="HW76" s="431"/>
      <c r="HX76" s="431"/>
      <c r="HY76" s="431"/>
      <c r="HZ76" s="431"/>
      <c r="IA76" s="431"/>
      <c r="IB76" s="431"/>
      <c r="IC76" s="431"/>
      <c r="ID76" s="431"/>
      <c r="IE76" s="431"/>
      <c r="IF76" s="431"/>
      <c r="IG76" s="431"/>
      <c r="IH76" s="431"/>
      <c r="II76" s="431"/>
      <c r="IJ76" s="431"/>
      <c r="IK76" s="431"/>
      <c r="IL76" s="431"/>
      <c r="IM76" s="431"/>
      <c r="IN76" s="431"/>
      <c r="IO76" s="431"/>
      <c r="IP76" s="431"/>
      <c r="IQ76" s="431"/>
      <c r="IR76" s="431"/>
      <c r="IS76" s="431"/>
      <c r="IT76" s="431"/>
      <c r="IU76" s="431"/>
      <c r="IV76" s="431"/>
    </row>
    <row r="77" spans="1:256" s="432" customFormat="1" ht="12" customHeight="1">
      <c r="A77" s="21" t="s">
        <v>277</v>
      </c>
      <c r="B77" s="145">
        <f>B40-B12</f>
        <v>1265.727834588437</v>
      </c>
      <c r="C77" s="145">
        <f>C40-C12</f>
        <v>1295.9175067243996</v>
      </c>
      <c r="D77" s="145">
        <f>D40-D12</f>
        <v>1428.6067898109923</v>
      </c>
      <c r="E77" s="145">
        <f t="shared" ref="E77:U77" si="18">E40</f>
        <v>16996.400780955817</v>
      </c>
      <c r="F77" s="145">
        <f t="shared" si="18"/>
        <v>19327.705328236683</v>
      </c>
      <c r="G77" s="145">
        <f t="shared" si="18"/>
        <v>20435.84305411722</v>
      </c>
      <c r="H77" s="145">
        <f t="shared" si="18"/>
        <v>21567.350405921105</v>
      </c>
      <c r="I77" s="145">
        <f t="shared" si="18"/>
        <v>22799.574411827562</v>
      </c>
      <c r="J77" s="145">
        <f t="shared" si="18"/>
        <v>24284.882048232124</v>
      </c>
      <c r="K77" s="145">
        <f t="shared" si="18"/>
        <v>25940.406328202007</v>
      </c>
      <c r="L77" s="145">
        <f t="shared" si="18"/>
        <v>27091.178838783308</v>
      </c>
      <c r="M77" s="145">
        <f t="shared" si="18"/>
        <v>28477.613054221802</v>
      </c>
      <c r="N77" s="145">
        <f t="shared" si="18"/>
        <v>29913.111706877378</v>
      </c>
      <c r="O77" s="145">
        <f t="shared" si="18"/>
        <v>31331.309635465121</v>
      </c>
      <c r="P77" s="145">
        <f t="shared" si="18"/>
        <v>32765.866491866749</v>
      </c>
      <c r="Q77" s="145">
        <f t="shared" si="18"/>
        <v>34349.117523811401</v>
      </c>
      <c r="R77" s="145">
        <f t="shared" si="18"/>
        <v>35998.48473092162</v>
      </c>
      <c r="S77" s="145">
        <f t="shared" si="18"/>
        <v>37597.84960996297</v>
      </c>
      <c r="T77" s="145">
        <f t="shared" si="18"/>
        <v>39068.740803937675</v>
      </c>
      <c r="U77" s="145">
        <f t="shared" si="18"/>
        <v>40545.813234298257</v>
      </c>
      <c r="V77" s="437"/>
      <c r="W77" s="437"/>
      <c r="X77" s="437"/>
      <c r="Y77" s="437"/>
      <c r="Z77" s="437"/>
      <c r="AA77" s="437"/>
      <c r="AB77" s="437"/>
      <c r="AC77" s="428"/>
      <c r="AD77" s="428"/>
      <c r="AE77" s="430"/>
      <c r="AF77" s="430"/>
      <c r="AG77" s="430"/>
      <c r="AH77" s="431"/>
      <c r="AI77" s="431"/>
      <c r="AJ77" s="431"/>
      <c r="AK77" s="431"/>
      <c r="AL77" s="431"/>
      <c r="AM77" s="431"/>
      <c r="AN77" s="431"/>
      <c r="AO77" s="431"/>
      <c r="AP77" s="431"/>
      <c r="AQ77" s="431"/>
      <c r="AR77" s="431"/>
      <c r="AS77" s="431"/>
      <c r="AT77" s="431"/>
      <c r="AU77" s="431"/>
      <c r="AV77" s="431"/>
      <c r="AW77" s="431"/>
      <c r="AX77" s="431"/>
      <c r="AY77" s="431"/>
      <c r="AZ77" s="431"/>
      <c r="BA77" s="431"/>
      <c r="BB77" s="431"/>
      <c r="BC77" s="431"/>
      <c r="BD77" s="431"/>
      <c r="BE77" s="431"/>
      <c r="BF77" s="431"/>
      <c r="BG77" s="431"/>
      <c r="BH77" s="431"/>
      <c r="BI77" s="431"/>
      <c r="BJ77" s="431"/>
      <c r="BK77" s="431"/>
      <c r="BL77" s="431"/>
      <c r="BM77" s="431"/>
      <c r="BN77" s="431"/>
      <c r="BO77" s="431"/>
      <c r="BP77" s="431"/>
      <c r="BQ77" s="431"/>
      <c r="BR77" s="431"/>
      <c r="BS77" s="431"/>
      <c r="BT77" s="431"/>
      <c r="BU77" s="431"/>
      <c r="BV77" s="431"/>
      <c r="BW77" s="431"/>
      <c r="BX77" s="431"/>
      <c r="BY77" s="431"/>
      <c r="BZ77" s="431"/>
      <c r="CA77" s="431"/>
      <c r="CB77" s="431"/>
      <c r="CC77" s="431"/>
      <c r="CD77" s="431"/>
      <c r="CE77" s="431"/>
      <c r="CF77" s="431"/>
      <c r="CG77" s="431"/>
      <c r="CH77" s="431"/>
      <c r="CI77" s="431"/>
      <c r="CJ77" s="431"/>
      <c r="CK77" s="431"/>
      <c r="CL77" s="431"/>
      <c r="CM77" s="431"/>
      <c r="CN77" s="431"/>
      <c r="CO77" s="431"/>
      <c r="CP77" s="431"/>
      <c r="CQ77" s="431"/>
      <c r="CR77" s="431"/>
      <c r="CS77" s="431"/>
      <c r="CT77" s="431"/>
      <c r="CU77" s="431"/>
      <c r="CV77" s="431"/>
      <c r="CW77" s="431"/>
      <c r="CX77" s="431"/>
      <c r="CY77" s="431"/>
      <c r="CZ77" s="431"/>
      <c r="DA77" s="431"/>
      <c r="DB77" s="431"/>
      <c r="DC77" s="431"/>
      <c r="DD77" s="431"/>
      <c r="DE77" s="431"/>
      <c r="DF77" s="431"/>
      <c r="DG77" s="431"/>
      <c r="DH77" s="431"/>
      <c r="DI77" s="431"/>
      <c r="DJ77" s="431"/>
      <c r="DK77" s="431"/>
      <c r="DL77" s="431"/>
      <c r="DM77" s="431"/>
      <c r="DN77" s="431"/>
      <c r="DO77" s="431"/>
      <c r="DP77" s="431"/>
      <c r="DQ77" s="431"/>
      <c r="DR77" s="431"/>
      <c r="DS77" s="431"/>
      <c r="DT77" s="431"/>
      <c r="DU77" s="431"/>
      <c r="DV77" s="431"/>
      <c r="DW77" s="431"/>
      <c r="DX77" s="431"/>
      <c r="DY77" s="431"/>
      <c r="DZ77" s="431"/>
      <c r="EA77" s="431"/>
      <c r="EB77" s="431"/>
      <c r="EC77" s="431"/>
      <c r="ED77" s="431"/>
      <c r="EE77" s="431"/>
      <c r="EF77" s="431"/>
      <c r="EG77" s="431"/>
      <c r="EH77" s="431"/>
      <c r="EI77" s="431"/>
      <c r="EJ77" s="431"/>
      <c r="EK77" s="431"/>
      <c r="EL77" s="431"/>
      <c r="EM77" s="431"/>
      <c r="EN77" s="431"/>
      <c r="EO77" s="431"/>
      <c r="EP77" s="431"/>
      <c r="EQ77" s="431"/>
      <c r="ER77" s="431"/>
      <c r="ES77" s="431"/>
      <c r="ET77" s="431"/>
      <c r="EU77" s="431"/>
      <c r="EV77" s="431"/>
      <c r="EW77" s="431"/>
      <c r="EX77" s="431"/>
      <c r="EY77" s="431"/>
      <c r="EZ77" s="431"/>
      <c r="FA77" s="431"/>
      <c r="FB77" s="431"/>
      <c r="FC77" s="431"/>
      <c r="FD77" s="431"/>
      <c r="FE77" s="431"/>
      <c r="FF77" s="431"/>
      <c r="FG77" s="431"/>
      <c r="FH77" s="431"/>
      <c r="FI77" s="431"/>
      <c r="FJ77" s="431"/>
      <c r="FK77" s="431"/>
      <c r="FL77" s="431"/>
      <c r="FM77" s="431"/>
      <c r="FN77" s="431"/>
      <c r="FO77" s="431"/>
      <c r="FP77" s="431"/>
      <c r="FQ77" s="431"/>
      <c r="FR77" s="431"/>
      <c r="FS77" s="431"/>
      <c r="FT77" s="431"/>
      <c r="FU77" s="431"/>
      <c r="FV77" s="431"/>
      <c r="FW77" s="431"/>
      <c r="FX77" s="431"/>
      <c r="FY77" s="431"/>
      <c r="FZ77" s="431"/>
      <c r="GA77" s="431"/>
      <c r="GB77" s="431"/>
      <c r="GC77" s="431"/>
      <c r="GD77" s="431"/>
      <c r="GE77" s="431"/>
      <c r="GF77" s="431"/>
      <c r="GG77" s="431"/>
      <c r="GH77" s="431"/>
      <c r="GI77" s="431"/>
      <c r="GJ77" s="431"/>
      <c r="GK77" s="431"/>
      <c r="GL77" s="431"/>
      <c r="GM77" s="431"/>
      <c r="GN77" s="431"/>
      <c r="GO77" s="431"/>
      <c r="GP77" s="431"/>
      <c r="GQ77" s="431"/>
      <c r="GR77" s="431"/>
      <c r="GS77" s="431"/>
      <c r="GT77" s="431"/>
      <c r="GU77" s="431"/>
      <c r="GV77" s="431"/>
      <c r="GW77" s="431"/>
      <c r="GX77" s="431"/>
      <c r="GY77" s="431"/>
      <c r="GZ77" s="431"/>
      <c r="HA77" s="431"/>
      <c r="HB77" s="431"/>
      <c r="HC77" s="431"/>
      <c r="HD77" s="431"/>
      <c r="HE77" s="431"/>
      <c r="HF77" s="431"/>
      <c r="HG77" s="431"/>
      <c r="HH77" s="431"/>
      <c r="HI77" s="431"/>
      <c r="HJ77" s="431"/>
      <c r="HK77" s="431"/>
      <c r="HL77" s="431"/>
      <c r="HM77" s="431"/>
      <c r="HN77" s="431"/>
      <c r="HO77" s="431"/>
      <c r="HP77" s="431"/>
      <c r="HQ77" s="431"/>
      <c r="HR77" s="431"/>
      <c r="HS77" s="431"/>
      <c r="HT77" s="431"/>
      <c r="HU77" s="431"/>
      <c r="HV77" s="431"/>
      <c r="HW77" s="431"/>
      <c r="HX77" s="431"/>
      <c r="HY77" s="431"/>
      <c r="HZ77" s="431"/>
      <c r="IA77" s="431"/>
      <c r="IB77" s="431"/>
      <c r="IC77" s="431"/>
      <c r="ID77" s="431"/>
      <c r="IE77" s="431"/>
      <c r="IF77" s="431"/>
      <c r="IG77" s="431"/>
      <c r="IH77" s="431"/>
      <c r="II77" s="431"/>
      <c r="IJ77" s="431"/>
      <c r="IK77" s="431"/>
      <c r="IL77" s="431"/>
      <c r="IM77" s="431"/>
      <c r="IN77" s="431"/>
      <c r="IO77" s="431"/>
      <c r="IP77" s="431"/>
      <c r="IQ77" s="431"/>
      <c r="IR77" s="431"/>
      <c r="IS77" s="431"/>
      <c r="IT77" s="431"/>
      <c r="IU77" s="431"/>
      <c r="IV77" s="431"/>
    </row>
    <row r="78" spans="1:256" s="433" customFormat="1" ht="12" customHeight="1">
      <c r="A78" s="21" t="s">
        <v>174</v>
      </c>
      <c r="B78" s="438">
        <f>Assumptions!$H$40</f>
        <v>3.4000000000000002E-2</v>
      </c>
      <c r="C78" s="438">
        <f>Assumptions!$H$40</f>
        <v>3.4000000000000002E-2</v>
      </c>
      <c r="D78" s="438">
        <f>Assumptions!$H$40</f>
        <v>3.4000000000000002E-2</v>
      </c>
      <c r="E78" s="438">
        <f>Assumptions!$H$40</f>
        <v>3.4000000000000002E-2</v>
      </c>
      <c r="F78" s="438">
        <f>Assumptions!$H$40</f>
        <v>3.4000000000000002E-2</v>
      </c>
      <c r="G78" s="438">
        <f>Assumptions!$H$40</f>
        <v>3.4000000000000002E-2</v>
      </c>
      <c r="H78" s="438">
        <f>Assumptions!$H$40</f>
        <v>3.4000000000000002E-2</v>
      </c>
      <c r="I78" s="438">
        <f>Assumptions!$H$40</f>
        <v>3.4000000000000002E-2</v>
      </c>
      <c r="J78" s="438">
        <f>Assumptions!$H$40</f>
        <v>3.4000000000000002E-2</v>
      </c>
      <c r="K78" s="438">
        <f>Assumptions!$H$40</f>
        <v>3.4000000000000002E-2</v>
      </c>
      <c r="L78" s="438">
        <f>Assumptions!$H$40</f>
        <v>3.4000000000000002E-2</v>
      </c>
      <c r="M78" s="438">
        <f>Assumptions!$H$40</f>
        <v>3.4000000000000002E-2</v>
      </c>
      <c r="N78" s="438">
        <f>Assumptions!$H$40</f>
        <v>3.4000000000000002E-2</v>
      </c>
      <c r="O78" s="438">
        <f>Assumptions!$H$40</f>
        <v>3.4000000000000002E-2</v>
      </c>
      <c r="P78" s="438">
        <f>Assumptions!$H$40</f>
        <v>3.4000000000000002E-2</v>
      </c>
      <c r="Q78" s="438">
        <f>Assumptions!$H$40</f>
        <v>3.4000000000000002E-2</v>
      </c>
      <c r="R78" s="438">
        <f>Assumptions!$H$40</f>
        <v>3.4000000000000002E-2</v>
      </c>
      <c r="S78" s="438">
        <f>Assumptions!$H$40</f>
        <v>3.4000000000000002E-2</v>
      </c>
      <c r="T78" s="438">
        <f>Assumptions!$H$40</f>
        <v>3.4000000000000002E-2</v>
      </c>
      <c r="U78" s="438">
        <f>Assumptions!$H$40</f>
        <v>3.4000000000000002E-2</v>
      </c>
      <c r="V78" s="438"/>
      <c r="W78" s="438"/>
      <c r="X78" s="438"/>
      <c r="Y78" s="438"/>
      <c r="Z78" s="438"/>
      <c r="AA78" s="438"/>
      <c r="AB78" s="438"/>
      <c r="AC78" s="430"/>
      <c r="AD78" s="430"/>
      <c r="AE78" s="430"/>
      <c r="AF78" s="430"/>
      <c r="AG78" s="430"/>
      <c r="AH78" s="431"/>
      <c r="AI78" s="431"/>
      <c r="AJ78" s="431"/>
      <c r="AK78" s="431"/>
      <c r="AL78" s="431"/>
      <c r="AM78" s="431"/>
      <c r="AN78" s="431"/>
      <c r="AO78" s="431"/>
      <c r="AP78" s="431"/>
      <c r="AQ78" s="431"/>
      <c r="AR78" s="431"/>
      <c r="AS78" s="431"/>
      <c r="AT78" s="431"/>
      <c r="AU78" s="431"/>
      <c r="AV78" s="431"/>
      <c r="AW78" s="431"/>
      <c r="AX78" s="431"/>
      <c r="AY78" s="431"/>
      <c r="AZ78" s="431"/>
      <c r="BA78" s="431"/>
      <c r="BB78" s="431"/>
      <c r="BC78" s="431"/>
      <c r="BD78" s="431"/>
      <c r="BE78" s="431"/>
      <c r="BF78" s="431"/>
      <c r="BG78" s="431"/>
      <c r="BH78" s="431"/>
      <c r="BI78" s="431"/>
      <c r="BJ78" s="431"/>
      <c r="BK78" s="431"/>
      <c r="BL78" s="431"/>
      <c r="BM78" s="431"/>
      <c r="BN78" s="431"/>
      <c r="BO78" s="431"/>
      <c r="BP78" s="431"/>
      <c r="BQ78" s="431"/>
      <c r="BR78" s="431"/>
      <c r="BS78" s="431"/>
      <c r="BT78" s="431"/>
      <c r="BU78" s="431"/>
      <c r="BV78" s="431"/>
      <c r="BW78" s="431"/>
      <c r="BX78" s="431"/>
      <c r="BY78" s="431"/>
      <c r="BZ78" s="431"/>
      <c r="CA78" s="431"/>
      <c r="CB78" s="431"/>
      <c r="CC78" s="431"/>
      <c r="CD78" s="431"/>
      <c r="CE78" s="431"/>
      <c r="CF78" s="431"/>
      <c r="CG78" s="431"/>
      <c r="CH78" s="431"/>
      <c r="CI78" s="431"/>
      <c r="CJ78" s="431"/>
      <c r="CK78" s="431"/>
      <c r="CL78" s="431"/>
      <c r="CM78" s="431"/>
      <c r="CN78" s="431"/>
      <c r="CO78" s="431"/>
      <c r="CP78" s="431"/>
      <c r="CQ78" s="431"/>
      <c r="CR78" s="431"/>
      <c r="CS78" s="431"/>
      <c r="CT78" s="431"/>
      <c r="CU78" s="431"/>
      <c r="CV78" s="431"/>
      <c r="CW78" s="431"/>
      <c r="CX78" s="431"/>
      <c r="CY78" s="431"/>
      <c r="CZ78" s="431"/>
      <c r="DA78" s="431"/>
      <c r="DB78" s="431"/>
      <c r="DC78" s="431"/>
      <c r="DD78" s="431"/>
      <c r="DE78" s="431"/>
      <c r="DF78" s="431"/>
      <c r="DG78" s="431"/>
      <c r="DH78" s="431"/>
      <c r="DI78" s="431"/>
      <c r="DJ78" s="431"/>
      <c r="DK78" s="431"/>
      <c r="DL78" s="431"/>
      <c r="DM78" s="431"/>
      <c r="DN78" s="431"/>
      <c r="DO78" s="431"/>
      <c r="DP78" s="431"/>
      <c r="DQ78" s="431"/>
      <c r="DR78" s="431"/>
      <c r="DS78" s="431"/>
      <c r="DT78" s="431"/>
      <c r="DU78" s="431"/>
      <c r="DV78" s="431"/>
      <c r="DW78" s="431"/>
      <c r="DX78" s="431"/>
      <c r="DY78" s="431"/>
      <c r="DZ78" s="431"/>
      <c r="EA78" s="431"/>
      <c r="EB78" s="431"/>
      <c r="EC78" s="431"/>
      <c r="ED78" s="431"/>
      <c r="EE78" s="431"/>
      <c r="EF78" s="431"/>
      <c r="EG78" s="431"/>
      <c r="EH78" s="431"/>
      <c r="EI78" s="431"/>
      <c r="EJ78" s="431"/>
      <c r="EK78" s="431"/>
      <c r="EL78" s="431"/>
      <c r="EM78" s="431"/>
      <c r="EN78" s="431"/>
      <c r="EO78" s="431"/>
      <c r="EP78" s="431"/>
      <c r="EQ78" s="431"/>
      <c r="ER78" s="431"/>
      <c r="ES78" s="431"/>
      <c r="ET78" s="431"/>
      <c r="EU78" s="431"/>
      <c r="EV78" s="431"/>
      <c r="EW78" s="431"/>
      <c r="EX78" s="431"/>
      <c r="EY78" s="431"/>
      <c r="EZ78" s="431"/>
      <c r="FA78" s="431"/>
      <c r="FB78" s="431"/>
      <c r="FC78" s="431"/>
      <c r="FD78" s="431"/>
      <c r="FE78" s="431"/>
      <c r="FF78" s="431"/>
      <c r="FG78" s="431"/>
      <c r="FH78" s="431"/>
      <c r="FI78" s="431"/>
      <c r="FJ78" s="431"/>
      <c r="FK78" s="431"/>
      <c r="FL78" s="431"/>
      <c r="FM78" s="431"/>
      <c r="FN78" s="431"/>
      <c r="FO78" s="431"/>
      <c r="FP78" s="431"/>
      <c r="FQ78" s="431"/>
      <c r="FR78" s="431"/>
      <c r="FS78" s="431"/>
      <c r="FT78" s="431"/>
      <c r="FU78" s="431"/>
      <c r="FV78" s="431"/>
      <c r="FW78" s="431"/>
      <c r="FX78" s="431"/>
      <c r="FY78" s="431"/>
      <c r="FZ78" s="431"/>
      <c r="GA78" s="431"/>
      <c r="GB78" s="431"/>
      <c r="GC78" s="431"/>
      <c r="GD78" s="431"/>
      <c r="GE78" s="431"/>
      <c r="GF78" s="431"/>
      <c r="GG78" s="431"/>
      <c r="GH78" s="431"/>
      <c r="GI78" s="431"/>
      <c r="GJ78" s="431"/>
      <c r="GK78" s="431"/>
      <c r="GL78" s="431"/>
      <c r="GM78" s="431"/>
      <c r="GN78" s="431"/>
      <c r="GO78" s="431"/>
      <c r="GP78" s="431"/>
      <c r="GQ78" s="431"/>
      <c r="GR78" s="431"/>
      <c r="GS78" s="431"/>
      <c r="GT78" s="431"/>
      <c r="GU78" s="431"/>
      <c r="GV78" s="431"/>
      <c r="GW78" s="431"/>
      <c r="GX78" s="431"/>
      <c r="GY78" s="431"/>
      <c r="GZ78" s="431"/>
      <c r="HA78" s="431"/>
      <c r="HB78" s="431"/>
      <c r="HC78" s="431"/>
      <c r="HD78" s="431"/>
      <c r="HE78" s="431"/>
      <c r="HF78" s="431"/>
      <c r="HG78" s="431"/>
      <c r="HH78" s="431"/>
      <c r="HI78" s="431"/>
      <c r="HJ78" s="431"/>
      <c r="HK78" s="431"/>
      <c r="HL78" s="431"/>
      <c r="HM78" s="431"/>
      <c r="HN78" s="431"/>
      <c r="HO78" s="431"/>
      <c r="HP78" s="431"/>
      <c r="HQ78" s="431"/>
      <c r="HR78" s="431"/>
      <c r="HS78" s="431"/>
      <c r="HT78" s="431"/>
      <c r="HU78" s="431"/>
      <c r="HV78" s="431"/>
      <c r="HW78" s="431"/>
      <c r="HX78" s="431"/>
      <c r="HY78" s="431"/>
      <c r="HZ78" s="431"/>
      <c r="IA78" s="431"/>
      <c r="IB78" s="431"/>
      <c r="IC78" s="431"/>
      <c r="ID78" s="431"/>
      <c r="IE78" s="431"/>
      <c r="IF78" s="431"/>
      <c r="IG78" s="431"/>
      <c r="IH78" s="431"/>
      <c r="II78" s="431"/>
      <c r="IJ78" s="431"/>
      <c r="IK78" s="431"/>
      <c r="IL78" s="431"/>
      <c r="IM78" s="431"/>
      <c r="IN78" s="431"/>
      <c r="IO78" s="431"/>
      <c r="IP78" s="431"/>
      <c r="IQ78" s="431"/>
      <c r="IR78" s="431"/>
      <c r="IS78" s="431"/>
    </row>
    <row r="79" spans="1:256" s="433" customFormat="1" ht="12" customHeight="1">
      <c r="A79" s="21" t="s">
        <v>175</v>
      </c>
      <c r="B79" s="22">
        <f>B77*B78</f>
        <v>43.034746376006858</v>
      </c>
      <c r="C79" s="22">
        <f t="shared" ref="C79:U79" si="19">C77*C78</f>
        <v>44.061195228629586</v>
      </c>
      <c r="D79" s="22">
        <f t="shared" si="19"/>
        <v>48.572630853573742</v>
      </c>
      <c r="E79" s="22">
        <f t="shared" si="19"/>
        <v>577.87762655249787</v>
      </c>
      <c r="F79" s="22">
        <f t="shared" si="19"/>
        <v>657.14198116004729</v>
      </c>
      <c r="G79" s="22">
        <f t="shared" si="19"/>
        <v>694.81866383998556</v>
      </c>
      <c r="H79" s="22">
        <f t="shared" si="19"/>
        <v>733.28991380131765</v>
      </c>
      <c r="I79" s="22">
        <f t="shared" si="19"/>
        <v>775.18553000213717</v>
      </c>
      <c r="J79" s="22">
        <f t="shared" si="19"/>
        <v>825.68598963989234</v>
      </c>
      <c r="K79" s="22">
        <f t="shared" si="19"/>
        <v>881.97381515886832</v>
      </c>
      <c r="L79" s="22">
        <f t="shared" si="19"/>
        <v>921.10008051863258</v>
      </c>
      <c r="M79" s="22">
        <f t="shared" si="19"/>
        <v>968.2388438435413</v>
      </c>
      <c r="N79" s="22">
        <f t="shared" si="19"/>
        <v>1017.0457980338309</v>
      </c>
      <c r="O79" s="22">
        <f t="shared" si="19"/>
        <v>1065.2645276058142</v>
      </c>
      <c r="P79" s="22">
        <f t="shared" si="19"/>
        <v>1114.0394607234696</v>
      </c>
      <c r="Q79" s="22">
        <f t="shared" si="19"/>
        <v>1167.8699958095876</v>
      </c>
      <c r="R79" s="22">
        <f t="shared" si="19"/>
        <v>1223.9484808513353</v>
      </c>
      <c r="S79" s="22">
        <f t="shared" si="19"/>
        <v>1278.326886738741</v>
      </c>
      <c r="T79" s="22">
        <f t="shared" si="19"/>
        <v>1328.337187333881</v>
      </c>
      <c r="U79" s="22">
        <f t="shared" si="19"/>
        <v>1378.5576499661408</v>
      </c>
      <c r="V79" s="439"/>
      <c r="W79" s="439"/>
      <c r="X79" s="439"/>
      <c r="Y79" s="439"/>
      <c r="Z79" s="439"/>
      <c r="AA79" s="439"/>
      <c r="AB79" s="439"/>
      <c r="AC79" s="428"/>
      <c r="AD79" s="430"/>
      <c r="AE79" s="430"/>
      <c r="AF79" s="430"/>
      <c r="AG79" s="430"/>
      <c r="AH79" s="431"/>
      <c r="AI79" s="431"/>
      <c r="AJ79" s="431"/>
      <c r="AK79" s="431"/>
      <c r="AL79" s="431"/>
      <c r="AM79" s="431"/>
      <c r="AN79" s="431"/>
      <c r="AO79" s="431"/>
      <c r="AP79" s="431"/>
      <c r="AQ79" s="431"/>
      <c r="AR79" s="431"/>
      <c r="AS79" s="431"/>
      <c r="AT79" s="431"/>
      <c r="AU79" s="431"/>
      <c r="AV79" s="431"/>
      <c r="AW79" s="431"/>
      <c r="AX79" s="431"/>
      <c r="AY79" s="431"/>
      <c r="AZ79" s="431"/>
      <c r="BA79" s="431"/>
      <c r="BB79" s="431"/>
      <c r="BC79" s="431"/>
      <c r="BD79" s="431"/>
      <c r="BE79" s="431"/>
      <c r="BF79" s="431"/>
      <c r="BG79" s="431"/>
      <c r="BH79" s="431"/>
      <c r="BI79" s="431"/>
      <c r="BJ79" s="431"/>
      <c r="BK79" s="431"/>
      <c r="BL79" s="431"/>
      <c r="BM79" s="431"/>
      <c r="BN79" s="431"/>
      <c r="BO79" s="431"/>
      <c r="BP79" s="431"/>
      <c r="BQ79" s="431"/>
      <c r="BR79" s="431"/>
      <c r="BS79" s="431"/>
      <c r="BT79" s="431"/>
      <c r="BU79" s="431"/>
      <c r="BV79" s="431"/>
      <c r="BW79" s="431"/>
      <c r="BX79" s="431"/>
      <c r="BY79" s="431"/>
      <c r="BZ79" s="431"/>
      <c r="CA79" s="431"/>
      <c r="CB79" s="431"/>
      <c r="CC79" s="431"/>
      <c r="CD79" s="431"/>
      <c r="CE79" s="431"/>
      <c r="CF79" s="431"/>
      <c r="CG79" s="431"/>
      <c r="CH79" s="431"/>
      <c r="CI79" s="431"/>
      <c r="CJ79" s="431"/>
      <c r="CK79" s="431"/>
      <c r="CL79" s="431"/>
      <c r="CM79" s="431"/>
      <c r="CN79" s="431"/>
      <c r="CO79" s="431"/>
      <c r="CP79" s="431"/>
      <c r="CQ79" s="431"/>
      <c r="CR79" s="431"/>
      <c r="CS79" s="431"/>
      <c r="CT79" s="431"/>
      <c r="CU79" s="431"/>
      <c r="CV79" s="431"/>
      <c r="CW79" s="431"/>
      <c r="CX79" s="431"/>
      <c r="CY79" s="431"/>
      <c r="CZ79" s="431"/>
      <c r="DA79" s="431"/>
      <c r="DB79" s="431"/>
      <c r="DC79" s="431"/>
      <c r="DD79" s="431"/>
      <c r="DE79" s="431"/>
      <c r="DF79" s="431"/>
      <c r="DG79" s="431"/>
      <c r="DH79" s="431"/>
      <c r="DI79" s="431"/>
      <c r="DJ79" s="431"/>
      <c r="DK79" s="431"/>
      <c r="DL79" s="431"/>
      <c r="DM79" s="431"/>
      <c r="DN79" s="431"/>
      <c r="DO79" s="431"/>
      <c r="DP79" s="431"/>
      <c r="DQ79" s="431"/>
      <c r="DR79" s="431"/>
      <c r="DS79" s="431"/>
      <c r="DT79" s="431"/>
      <c r="DU79" s="431"/>
      <c r="DV79" s="431"/>
      <c r="DW79" s="431"/>
      <c r="DX79" s="431"/>
      <c r="DY79" s="431"/>
      <c r="DZ79" s="431"/>
      <c r="EA79" s="431"/>
      <c r="EB79" s="431"/>
      <c r="EC79" s="431"/>
      <c r="ED79" s="431"/>
      <c r="EE79" s="431"/>
      <c r="EF79" s="431"/>
      <c r="EG79" s="431"/>
      <c r="EH79" s="431"/>
      <c r="EI79" s="431"/>
      <c r="EJ79" s="431"/>
      <c r="EK79" s="431"/>
      <c r="EL79" s="431"/>
      <c r="EM79" s="431"/>
      <c r="EN79" s="431"/>
      <c r="EO79" s="431"/>
      <c r="EP79" s="431"/>
      <c r="EQ79" s="431"/>
      <c r="ER79" s="431"/>
      <c r="ES79" s="431"/>
      <c r="ET79" s="431"/>
      <c r="EU79" s="431"/>
      <c r="EV79" s="431"/>
      <c r="EW79" s="431"/>
      <c r="EX79" s="431"/>
      <c r="EY79" s="431"/>
      <c r="EZ79" s="431"/>
      <c r="FA79" s="431"/>
      <c r="FB79" s="431"/>
      <c r="FC79" s="431"/>
      <c r="FD79" s="431"/>
      <c r="FE79" s="431"/>
      <c r="FF79" s="431"/>
      <c r="FG79" s="431"/>
      <c r="FH79" s="431"/>
      <c r="FI79" s="431"/>
      <c r="FJ79" s="431"/>
      <c r="FK79" s="431"/>
      <c r="FL79" s="431"/>
      <c r="FM79" s="431"/>
      <c r="FN79" s="431"/>
      <c r="FO79" s="431"/>
      <c r="FP79" s="431"/>
      <c r="FQ79" s="431"/>
      <c r="FR79" s="431"/>
      <c r="FS79" s="431"/>
      <c r="FT79" s="431"/>
      <c r="FU79" s="431"/>
      <c r="FV79" s="431"/>
      <c r="FW79" s="431"/>
      <c r="FX79" s="431"/>
      <c r="FY79" s="431"/>
      <c r="FZ79" s="431"/>
      <c r="GA79" s="431"/>
      <c r="GB79" s="431"/>
      <c r="GC79" s="431"/>
      <c r="GD79" s="431"/>
      <c r="GE79" s="431"/>
      <c r="GF79" s="431"/>
      <c r="GG79" s="431"/>
      <c r="GH79" s="431"/>
      <c r="GI79" s="431"/>
      <c r="GJ79" s="431"/>
      <c r="GK79" s="431"/>
      <c r="GL79" s="431"/>
      <c r="GM79" s="431"/>
      <c r="GN79" s="431"/>
      <c r="GO79" s="431"/>
      <c r="GP79" s="431"/>
      <c r="GQ79" s="431"/>
      <c r="GR79" s="431"/>
      <c r="GS79" s="431"/>
      <c r="GT79" s="431"/>
      <c r="GU79" s="431"/>
      <c r="GV79" s="431"/>
      <c r="GW79" s="431"/>
      <c r="GX79" s="431"/>
      <c r="GY79" s="431"/>
      <c r="GZ79" s="431"/>
      <c r="HA79" s="431"/>
      <c r="HB79" s="431"/>
      <c r="HC79" s="431"/>
      <c r="HD79" s="431"/>
      <c r="HE79" s="431"/>
      <c r="HF79" s="431"/>
      <c r="HG79" s="431"/>
      <c r="HH79" s="431"/>
      <c r="HI79" s="431"/>
      <c r="HJ79" s="431"/>
      <c r="HK79" s="431"/>
      <c r="HL79" s="431"/>
      <c r="HM79" s="431"/>
      <c r="HN79" s="431"/>
      <c r="HO79" s="431"/>
      <c r="HP79" s="431"/>
      <c r="HQ79" s="431"/>
      <c r="HR79" s="431"/>
      <c r="HS79" s="431"/>
      <c r="HT79" s="431"/>
      <c r="HU79" s="431"/>
      <c r="HV79" s="431"/>
      <c r="HW79" s="431"/>
      <c r="HX79" s="431"/>
      <c r="HY79" s="431"/>
      <c r="HZ79" s="431"/>
      <c r="IA79" s="431"/>
      <c r="IB79" s="431"/>
      <c r="IC79" s="431"/>
      <c r="ID79" s="431"/>
      <c r="IE79" s="431"/>
      <c r="IF79" s="431"/>
      <c r="IG79" s="431"/>
      <c r="IH79" s="431"/>
      <c r="II79" s="431"/>
      <c r="IJ79" s="431"/>
      <c r="IK79" s="431"/>
      <c r="IL79" s="431"/>
      <c r="IM79" s="431"/>
      <c r="IN79" s="431"/>
      <c r="IO79" s="431"/>
      <c r="IP79" s="431"/>
      <c r="IQ79" s="431"/>
      <c r="IR79" s="431"/>
      <c r="IS79" s="431"/>
      <c r="IT79" s="431"/>
      <c r="IU79" s="431"/>
    </row>
    <row r="80" spans="1:256" s="433" customFormat="1" ht="12" customHeight="1">
      <c r="A80" s="428"/>
      <c r="B80" s="17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436"/>
      <c r="AD80" s="436"/>
      <c r="AE80" s="428"/>
      <c r="AF80" s="428"/>
      <c r="AG80" s="428"/>
    </row>
    <row r="81" spans="1:256" s="432" customFormat="1" ht="12" customHeight="1">
      <c r="A81" s="227" t="s">
        <v>88</v>
      </c>
      <c r="B81" s="17"/>
      <c r="C81" s="17"/>
      <c r="D81" s="440"/>
      <c r="E81" s="440"/>
      <c r="F81" s="440"/>
      <c r="G81" s="440"/>
      <c r="H81" s="440"/>
      <c r="I81" s="440"/>
      <c r="J81" s="440"/>
      <c r="K81" s="440"/>
      <c r="L81" s="440"/>
      <c r="M81" s="440"/>
      <c r="N81" s="440"/>
      <c r="O81" s="440"/>
      <c r="P81" s="440"/>
      <c r="Q81" s="440"/>
      <c r="R81" s="440"/>
      <c r="S81" s="440"/>
      <c r="T81" s="440"/>
      <c r="U81" s="440"/>
      <c r="V81" s="440"/>
      <c r="W81" s="440"/>
      <c r="X81" s="440"/>
      <c r="Y81" s="440"/>
      <c r="Z81" s="440"/>
      <c r="AA81" s="440"/>
      <c r="AB81" s="440"/>
      <c r="AC81" s="428"/>
      <c r="AD81" s="428"/>
      <c r="AE81" s="430"/>
      <c r="AF81" s="430"/>
      <c r="AG81" s="430"/>
      <c r="AH81" s="431"/>
      <c r="AI81" s="431"/>
      <c r="AJ81" s="431"/>
      <c r="AK81" s="431"/>
      <c r="AL81" s="431"/>
      <c r="AM81" s="431"/>
      <c r="AN81" s="431"/>
      <c r="AO81" s="431"/>
      <c r="AP81" s="431"/>
      <c r="AQ81" s="431"/>
      <c r="AR81" s="431"/>
      <c r="AS81" s="431"/>
      <c r="AT81" s="431"/>
      <c r="AU81" s="431"/>
      <c r="AV81" s="431"/>
      <c r="AW81" s="431"/>
      <c r="AX81" s="431"/>
      <c r="AY81" s="431"/>
      <c r="AZ81" s="431"/>
      <c r="BA81" s="431"/>
      <c r="BB81" s="431"/>
      <c r="BC81" s="431"/>
      <c r="BD81" s="431"/>
      <c r="BE81" s="431"/>
      <c r="BF81" s="431"/>
      <c r="BG81" s="431"/>
      <c r="BH81" s="431"/>
      <c r="BI81" s="431"/>
      <c r="BJ81" s="431"/>
      <c r="BK81" s="431"/>
      <c r="BL81" s="431"/>
      <c r="BM81" s="431"/>
      <c r="BN81" s="431"/>
      <c r="BO81" s="431"/>
      <c r="BP81" s="431"/>
      <c r="BQ81" s="431"/>
      <c r="BR81" s="431"/>
      <c r="BS81" s="431"/>
      <c r="BT81" s="431"/>
      <c r="BU81" s="431"/>
      <c r="BV81" s="431"/>
      <c r="BW81" s="431"/>
      <c r="BX81" s="431"/>
      <c r="BY81" s="431"/>
      <c r="BZ81" s="431"/>
      <c r="CA81" s="431"/>
      <c r="CB81" s="431"/>
      <c r="CC81" s="431"/>
      <c r="CD81" s="431"/>
      <c r="CE81" s="431"/>
      <c r="CF81" s="431"/>
      <c r="CG81" s="431"/>
      <c r="CH81" s="431"/>
      <c r="CI81" s="431"/>
      <c r="CJ81" s="431"/>
      <c r="CK81" s="431"/>
      <c r="CL81" s="431"/>
      <c r="CM81" s="431"/>
      <c r="CN81" s="431"/>
      <c r="CO81" s="431"/>
      <c r="CP81" s="431"/>
      <c r="CQ81" s="431"/>
      <c r="CR81" s="431"/>
      <c r="CS81" s="431"/>
      <c r="CT81" s="431"/>
      <c r="CU81" s="431"/>
      <c r="CV81" s="431"/>
      <c r="CW81" s="431"/>
      <c r="CX81" s="431"/>
      <c r="CY81" s="431"/>
      <c r="CZ81" s="431"/>
      <c r="DA81" s="431"/>
      <c r="DB81" s="431"/>
      <c r="DC81" s="431"/>
      <c r="DD81" s="431"/>
      <c r="DE81" s="431"/>
      <c r="DF81" s="431"/>
      <c r="DG81" s="431"/>
      <c r="DH81" s="431"/>
      <c r="DI81" s="431"/>
      <c r="DJ81" s="431"/>
      <c r="DK81" s="431"/>
      <c r="DL81" s="431"/>
      <c r="DM81" s="431"/>
      <c r="DN81" s="431"/>
      <c r="DO81" s="431"/>
      <c r="DP81" s="431"/>
      <c r="DQ81" s="431"/>
      <c r="DR81" s="431"/>
      <c r="DS81" s="431"/>
      <c r="DT81" s="431"/>
      <c r="DU81" s="431"/>
      <c r="DV81" s="431"/>
      <c r="DW81" s="431"/>
      <c r="DX81" s="431"/>
      <c r="DY81" s="431"/>
      <c r="DZ81" s="431"/>
      <c r="EA81" s="431"/>
      <c r="EB81" s="431"/>
      <c r="EC81" s="431"/>
      <c r="ED81" s="431"/>
      <c r="EE81" s="431"/>
      <c r="EF81" s="431"/>
      <c r="EG81" s="431"/>
      <c r="EH81" s="431"/>
      <c r="EI81" s="431"/>
      <c r="EJ81" s="431"/>
      <c r="EK81" s="431"/>
      <c r="EL81" s="431"/>
      <c r="EM81" s="431"/>
      <c r="EN81" s="431"/>
      <c r="EO81" s="431"/>
      <c r="EP81" s="431"/>
      <c r="EQ81" s="431"/>
      <c r="ER81" s="431"/>
      <c r="ES81" s="431"/>
      <c r="ET81" s="431"/>
      <c r="EU81" s="431"/>
      <c r="EV81" s="431"/>
      <c r="EW81" s="431"/>
      <c r="EX81" s="431"/>
      <c r="EY81" s="431"/>
      <c r="EZ81" s="431"/>
      <c r="FA81" s="431"/>
      <c r="FB81" s="431"/>
      <c r="FC81" s="431"/>
      <c r="FD81" s="431"/>
      <c r="FE81" s="431"/>
      <c r="FF81" s="431"/>
      <c r="FG81" s="431"/>
      <c r="FH81" s="431"/>
      <c r="FI81" s="431"/>
      <c r="FJ81" s="431"/>
      <c r="FK81" s="431"/>
      <c r="FL81" s="431"/>
      <c r="FM81" s="431"/>
      <c r="FN81" s="431"/>
      <c r="FO81" s="431"/>
      <c r="FP81" s="431"/>
      <c r="FQ81" s="431"/>
      <c r="FR81" s="431"/>
      <c r="FS81" s="431"/>
      <c r="FT81" s="431"/>
      <c r="FU81" s="431"/>
      <c r="FV81" s="431"/>
      <c r="FW81" s="431"/>
      <c r="FX81" s="431"/>
      <c r="FY81" s="431"/>
      <c r="FZ81" s="431"/>
      <c r="GA81" s="431"/>
      <c r="GB81" s="431"/>
      <c r="GC81" s="431"/>
      <c r="GD81" s="431"/>
      <c r="GE81" s="431"/>
      <c r="GF81" s="431"/>
      <c r="GG81" s="431"/>
      <c r="GH81" s="431"/>
      <c r="GI81" s="431"/>
      <c r="GJ81" s="431"/>
      <c r="GK81" s="431"/>
      <c r="GL81" s="431"/>
      <c r="GM81" s="431"/>
      <c r="GN81" s="431"/>
      <c r="GO81" s="431"/>
      <c r="GP81" s="431"/>
      <c r="GQ81" s="431"/>
      <c r="GR81" s="431"/>
      <c r="GS81" s="431"/>
      <c r="GT81" s="431"/>
      <c r="GU81" s="431"/>
      <c r="GV81" s="431"/>
      <c r="GW81" s="431"/>
      <c r="GX81" s="431"/>
      <c r="GY81" s="431"/>
      <c r="GZ81" s="431"/>
      <c r="HA81" s="431"/>
      <c r="HB81" s="431"/>
      <c r="HC81" s="431"/>
      <c r="HD81" s="431"/>
      <c r="HE81" s="431"/>
      <c r="HF81" s="431"/>
      <c r="HG81" s="431"/>
      <c r="HH81" s="431"/>
      <c r="HI81" s="431"/>
      <c r="HJ81" s="431"/>
      <c r="HK81" s="431"/>
      <c r="HL81" s="431"/>
      <c r="HM81" s="431"/>
      <c r="HN81" s="431"/>
      <c r="HO81" s="431"/>
      <c r="HP81" s="431"/>
      <c r="HQ81" s="431"/>
      <c r="HR81" s="431"/>
      <c r="HS81" s="431"/>
      <c r="HT81" s="431"/>
      <c r="HU81" s="431"/>
      <c r="HV81" s="431"/>
      <c r="HW81" s="431"/>
      <c r="HX81" s="431"/>
      <c r="HY81" s="431"/>
      <c r="HZ81" s="431"/>
      <c r="IA81" s="431"/>
      <c r="IB81" s="431"/>
      <c r="IC81" s="431"/>
      <c r="ID81" s="431"/>
      <c r="IE81" s="431"/>
      <c r="IF81" s="431"/>
      <c r="IG81" s="431"/>
      <c r="IH81" s="431"/>
      <c r="II81" s="431"/>
      <c r="IJ81" s="431"/>
      <c r="IK81" s="431"/>
      <c r="IL81" s="431"/>
      <c r="IM81" s="431"/>
      <c r="IN81" s="431"/>
      <c r="IO81" s="431"/>
      <c r="IP81" s="431"/>
      <c r="IQ81" s="431"/>
      <c r="IR81" s="431"/>
      <c r="IS81" s="431"/>
      <c r="IT81" s="431"/>
      <c r="IU81" s="431"/>
      <c r="IV81" s="431"/>
    </row>
    <row r="82" spans="1:256" s="432" customFormat="1" ht="12" customHeight="1">
      <c r="A82" s="21" t="s">
        <v>280</v>
      </c>
      <c r="B82" s="441">
        <f>B19-B12</f>
        <v>24707.497313785716</v>
      </c>
      <c r="C82" s="441">
        <f>C19-C12</f>
        <v>24761.987395699281</v>
      </c>
      <c r="D82" s="441">
        <f>D19-D12</f>
        <v>24818.395562695259</v>
      </c>
      <c r="E82" s="441">
        <f t="shared" ref="E82:U82" si="20">E19</f>
        <v>40356.357940543152</v>
      </c>
      <c r="F82" s="441">
        <f t="shared" si="20"/>
        <v>42456.536129570479</v>
      </c>
      <c r="G82" s="441">
        <f t="shared" si="20"/>
        <v>43334.391079683177</v>
      </c>
      <c r="H82" s="441">
        <f t="shared" si="20"/>
        <v>44229.990842554434</v>
      </c>
      <c r="I82" s="441">
        <f t="shared" si="20"/>
        <v>45145.10159007155</v>
      </c>
      <c r="J82" s="441">
        <f t="shared" si="20"/>
        <v>46080.618477000193</v>
      </c>
      <c r="K82" s="441">
        <f t="shared" si="20"/>
        <v>47036.671799207055</v>
      </c>
      <c r="L82" s="441">
        <f t="shared" si="20"/>
        <v>47672.826272120059</v>
      </c>
      <c r="M82" s="441">
        <f t="shared" si="20"/>
        <v>48320.146201854026</v>
      </c>
      <c r="N82" s="441">
        <f t="shared" si="20"/>
        <v>48976.841961927603</v>
      </c>
      <c r="O82" s="441">
        <f t="shared" si="20"/>
        <v>49643.066459249509</v>
      </c>
      <c r="P82" s="441">
        <f t="shared" si="20"/>
        <v>50318.975111458763</v>
      </c>
      <c r="Q82" s="441">
        <f t="shared" si="20"/>
        <v>51114.909985418024</v>
      </c>
      <c r="R82" s="441">
        <f t="shared" si="20"/>
        <v>51923.927837946678</v>
      </c>
      <c r="S82" s="441">
        <f t="shared" si="20"/>
        <v>52746.257935891015</v>
      </c>
      <c r="T82" s="441">
        <f t="shared" si="20"/>
        <v>53582.133956161924</v>
      </c>
      <c r="U82" s="441">
        <f t="shared" si="20"/>
        <v>54431.794080721273</v>
      </c>
      <c r="V82" s="437"/>
      <c r="W82" s="437"/>
      <c r="X82" s="437"/>
      <c r="Y82" s="437"/>
      <c r="Z82" s="437"/>
      <c r="AA82" s="437"/>
      <c r="AB82" s="437"/>
      <c r="AC82" s="428"/>
      <c r="AD82" s="428"/>
      <c r="AE82" s="430"/>
      <c r="AF82" s="430"/>
      <c r="AG82" s="430"/>
      <c r="AH82" s="431"/>
      <c r="AI82" s="431"/>
      <c r="AJ82" s="431"/>
      <c r="AK82" s="431"/>
      <c r="AL82" s="431"/>
      <c r="AM82" s="431"/>
      <c r="AN82" s="431"/>
      <c r="AO82" s="431"/>
      <c r="AP82" s="431"/>
      <c r="AQ82" s="431"/>
      <c r="AR82" s="431"/>
      <c r="AS82" s="431"/>
      <c r="AT82" s="431"/>
      <c r="AU82" s="431"/>
      <c r="AV82" s="431"/>
      <c r="AW82" s="431"/>
      <c r="AX82" s="431"/>
      <c r="AY82" s="431"/>
      <c r="AZ82" s="431"/>
      <c r="BA82" s="431"/>
      <c r="BB82" s="431"/>
      <c r="BC82" s="431"/>
      <c r="BD82" s="431"/>
      <c r="BE82" s="431"/>
      <c r="BF82" s="431"/>
      <c r="BG82" s="431"/>
      <c r="BH82" s="431"/>
      <c r="BI82" s="431"/>
      <c r="BJ82" s="431"/>
      <c r="BK82" s="431"/>
      <c r="BL82" s="431"/>
      <c r="BM82" s="431"/>
      <c r="BN82" s="431"/>
      <c r="BO82" s="431"/>
      <c r="BP82" s="431"/>
      <c r="BQ82" s="431"/>
      <c r="BR82" s="431"/>
      <c r="BS82" s="431"/>
      <c r="BT82" s="431"/>
      <c r="BU82" s="431"/>
      <c r="BV82" s="431"/>
      <c r="BW82" s="431"/>
      <c r="BX82" s="431"/>
      <c r="BY82" s="431"/>
      <c r="BZ82" s="431"/>
      <c r="CA82" s="431"/>
      <c r="CB82" s="431"/>
      <c r="CC82" s="431"/>
      <c r="CD82" s="431"/>
      <c r="CE82" s="431"/>
      <c r="CF82" s="431"/>
      <c r="CG82" s="431"/>
      <c r="CH82" s="431"/>
      <c r="CI82" s="431"/>
      <c r="CJ82" s="431"/>
      <c r="CK82" s="431"/>
      <c r="CL82" s="431"/>
      <c r="CM82" s="431"/>
      <c r="CN82" s="431"/>
      <c r="CO82" s="431"/>
      <c r="CP82" s="431"/>
      <c r="CQ82" s="431"/>
      <c r="CR82" s="431"/>
      <c r="CS82" s="431"/>
      <c r="CT82" s="431"/>
      <c r="CU82" s="431"/>
      <c r="CV82" s="431"/>
      <c r="CW82" s="431"/>
      <c r="CX82" s="431"/>
      <c r="CY82" s="431"/>
      <c r="CZ82" s="431"/>
      <c r="DA82" s="431"/>
      <c r="DB82" s="431"/>
      <c r="DC82" s="431"/>
      <c r="DD82" s="431"/>
      <c r="DE82" s="431"/>
      <c r="DF82" s="431"/>
      <c r="DG82" s="431"/>
      <c r="DH82" s="431"/>
      <c r="DI82" s="431"/>
      <c r="DJ82" s="431"/>
      <c r="DK82" s="431"/>
      <c r="DL82" s="431"/>
      <c r="DM82" s="431"/>
      <c r="DN82" s="431"/>
      <c r="DO82" s="431"/>
      <c r="DP82" s="431"/>
      <c r="DQ82" s="431"/>
      <c r="DR82" s="431"/>
      <c r="DS82" s="431"/>
      <c r="DT82" s="431"/>
      <c r="DU82" s="431"/>
      <c r="DV82" s="431"/>
      <c r="DW82" s="431"/>
      <c r="DX82" s="431"/>
      <c r="DY82" s="431"/>
      <c r="DZ82" s="431"/>
      <c r="EA82" s="431"/>
      <c r="EB82" s="431"/>
      <c r="EC82" s="431"/>
      <c r="ED82" s="431"/>
      <c r="EE82" s="431"/>
      <c r="EF82" s="431"/>
      <c r="EG82" s="431"/>
      <c r="EH82" s="431"/>
      <c r="EI82" s="431"/>
      <c r="EJ82" s="431"/>
      <c r="EK82" s="431"/>
      <c r="EL82" s="431"/>
      <c r="EM82" s="431"/>
      <c r="EN82" s="431"/>
      <c r="EO82" s="431"/>
      <c r="EP82" s="431"/>
      <c r="EQ82" s="431"/>
      <c r="ER82" s="431"/>
      <c r="ES82" s="431"/>
      <c r="ET82" s="431"/>
      <c r="EU82" s="431"/>
      <c r="EV82" s="431"/>
      <c r="EW82" s="431"/>
      <c r="EX82" s="431"/>
      <c r="EY82" s="431"/>
      <c r="EZ82" s="431"/>
      <c r="FA82" s="431"/>
      <c r="FB82" s="431"/>
      <c r="FC82" s="431"/>
      <c r="FD82" s="431"/>
      <c r="FE82" s="431"/>
      <c r="FF82" s="431"/>
      <c r="FG82" s="431"/>
      <c r="FH82" s="431"/>
      <c r="FI82" s="431"/>
      <c r="FJ82" s="431"/>
      <c r="FK82" s="431"/>
      <c r="FL82" s="431"/>
      <c r="FM82" s="431"/>
      <c r="FN82" s="431"/>
      <c r="FO82" s="431"/>
      <c r="FP82" s="431"/>
      <c r="FQ82" s="431"/>
      <c r="FR82" s="431"/>
      <c r="FS82" s="431"/>
      <c r="FT82" s="431"/>
      <c r="FU82" s="431"/>
      <c r="FV82" s="431"/>
      <c r="FW82" s="431"/>
      <c r="FX82" s="431"/>
      <c r="FY82" s="431"/>
      <c r="FZ82" s="431"/>
      <c r="GA82" s="431"/>
      <c r="GB82" s="431"/>
      <c r="GC82" s="431"/>
      <c r="GD82" s="431"/>
      <c r="GE82" s="431"/>
      <c r="GF82" s="431"/>
      <c r="GG82" s="431"/>
      <c r="GH82" s="431"/>
      <c r="GI82" s="431"/>
      <c r="GJ82" s="431"/>
      <c r="GK82" s="431"/>
      <c r="GL82" s="431"/>
      <c r="GM82" s="431"/>
      <c r="GN82" s="431"/>
      <c r="GO82" s="431"/>
      <c r="GP82" s="431"/>
      <c r="GQ82" s="431"/>
      <c r="GR82" s="431"/>
      <c r="GS82" s="431"/>
      <c r="GT82" s="431"/>
      <c r="GU82" s="431"/>
      <c r="GV82" s="431"/>
      <c r="GW82" s="431"/>
      <c r="GX82" s="431"/>
      <c r="GY82" s="431"/>
      <c r="GZ82" s="431"/>
      <c r="HA82" s="431"/>
      <c r="HB82" s="431"/>
      <c r="HC82" s="431"/>
      <c r="HD82" s="431"/>
      <c r="HE82" s="431"/>
      <c r="HF82" s="431"/>
      <c r="HG82" s="431"/>
      <c r="HH82" s="431"/>
      <c r="HI82" s="431"/>
      <c r="HJ82" s="431"/>
      <c r="HK82" s="431"/>
      <c r="HL82" s="431"/>
      <c r="HM82" s="431"/>
      <c r="HN82" s="431"/>
      <c r="HO82" s="431"/>
      <c r="HP82" s="431"/>
      <c r="HQ82" s="431"/>
      <c r="HR82" s="431"/>
      <c r="HS82" s="431"/>
      <c r="HT82" s="431"/>
      <c r="HU82" s="431"/>
      <c r="HV82" s="431"/>
      <c r="HW82" s="431"/>
      <c r="HX82" s="431"/>
      <c r="HY82" s="431"/>
      <c r="HZ82" s="431"/>
      <c r="IA82" s="431"/>
      <c r="IB82" s="431"/>
      <c r="IC82" s="431"/>
      <c r="ID82" s="431"/>
      <c r="IE82" s="431"/>
      <c r="IF82" s="431"/>
      <c r="IG82" s="431"/>
      <c r="IH82" s="431"/>
      <c r="II82" s="431"/>
      <c r="IJ82" s="431"/>
      <c r="IK82" s="431"/>
      <c r="IL82" s="431"/>
      <c r="IM82" s="431"/>
      <c r="IN82" s="431"/>
      <c r="IO82" s="431"/>
      <c r="IP82" s="431"/>
      <c r="IQ82" s="431"/>
      <c r="IR82" s="431"/>
      <c r="IS82" s="431"/>
      <c r="IT82" s="431"/>
      <c r="IU82" s="431"/>
      <c r="IV82" s="431"/>
    </row>
    <row r="83" spans="1:256" s="432" customFormat="1" ht="12" customHeight="1">
      <c r="A83" s="21" t="s">
        <v>176</v>
      </c>
      <c r="B83" s="438">
        <f>Assumptions!$H$41</f>
        <v>1.2E-2</v>
      </c>
      <c r="C83" s="438">
        <f>Assumptions!$H$41</f>
        <v>1.2E-2</v>
      </c>
      <c r="D83" s="438">
        <f>Assumptions!$H$41</f>
        <v>1.2E-2</v>
      </c>
      <c r="E83" s="438">
        <f>Assumptions!$H$41</f>
        <v>1.2E-2</v>
      </c>
      <c r="F83" s="438">
        <f>Assumptions!$H$41</f>
        <v>1.2E-2</v>
      </c>
      <c r="G83" s="438">
        <f>Assumptions!$H$41</f>
        <v>1.2E-2</v>
      </c>
      <c r="H83" s="438">
        <f>Assumptions!$H$41</f>
        <v>1.2E-2</v>
      </c>
      <c r="I83" s="438">
        <f>Assumptions!$H$41</f>
        <v>1.2E-2</v>
      </c>
      <c r="J83" s="438">
        <f>Assumptions!$H$41</f>
        <v>1.2E-2</v>
      </c>
      <c r="K83" s="438">
        <f>Assumptions!$H$41</f>
        <v>1.2E-2</v>
      </c>
      <c r="L83" s="438">
        <f>Assumptions!$H$41</f>
        <v>1.2E-2</v>
      </c>
      <c r="M83" s="438">
        <f>Assumptions!$H$41</f>
        <v>1.2E-2</v>
      </c>
      <c r="N83" s="438">
        <f>Assumptions!$H$41</f>
        <v>1.2E-2</v>
      </c>
      <c r="O83" s="438">
        <f>Assumptions!$H$41</f>
        <v>1.2E-2</v>
      </c>
      <c r="P83" s="438">
        <f>Assumptions!$H$41</f>
        <v>1.2E-2</v>
      </c>
      <c r="Q83" s="438">
        <f>Assumptions!$H$41</f>
        <v>1.2E-2</v>
      </c>
      <c r="R83" s="438">
        <f>Assumptions!$H$41</f>
        <v>1.2E-2</v>
      </c>
      <c r="S83" s="438">
        <f>Assumptions!$H$41</f>
        <v>1.2E-2</v>
      </c>
      <c r="T83" s="438">
        <f>Assumptions!$H$41</f>
        <v>1.2E-2</v>
      </c>
      <c r="U83" s="438">
        <f>Assumptions!$H$41</f>
        <v>1.2E-2</v>
      </c>
      <c r="V83" s="438"/>
      <c r="W83" s="438"/>
      <c r="X83" s="438"/>
      <c r="Y83" s="438"/>
      <c r="Z83" s="438"/>
      <c r="AA83" s="438"/>
      <c r="AB83" s="438"/>
      <c r="AC83" s="428"/>
      <c r="AD83" s="428"/>
      <c r="AE83" s="430"/>
      <c r="AF83" s="430"/>
      <c r="AG83" s="430"/>
      <c r="AH83" s="431"/>
      <c r="AI83" s="431"/>
      <c r="AJ83" s="431"/>
      <c r="AK83" s="431"/>
      <c r="AL83" s="431"/>
      <c r="AM83" s="431"/>
      <c r="AN83" s="431"/>
      <c r="AO83" s="431"/>
      <c r="AP83" s="431"/>
      <c r="AQ83" s="431"/>
      <c r="AR83" s="431"/>
      <c r="AS83" s="431"/>
      <c r="AT83" s="431"/>
      <c r="AU83" s="431"/>
      <c r="AV83" s="431"/>
      <c r="AW83" s="431"/>
      <c r="AX83" s="431"/>
      <c r="AY83" s="431"/>
      <c r="AZ83" s="431"/>
      <c r="BA83" s="431"/>
      <c r="BB83" s="431"/>
      <c r="BC83" s="431"/>
      <c r="BD83" s="431"/>
      <c r="BE83" s="431"/>
      <c r="BF83" s="431"/>
      <c r="BG83" s="431"/>
      <c r="BH83" s="431"/>
      <c r="BI83" s="431"/>
      <c r="BJ83" s="431"/>
      <c r="BK83" s="431"/>
      <c r="BL83" s="431"/>
      <c r="BM83" s="431"/>
      <c r="BN83" s="431"/>
      <c r="BO83" s="431"/>
      <c r="BP83" s="431"/>
      <c r="BQ83" s="431"/>
      <c r="BR83" s="431"/>
      <c r="BS83" s="431"/>
      <c r="BT83" s="431"/>
      <c r="BU83" s="431"/>
      <c r="BV83" s="431"/>
      <c r="BW83" s="431"/>
      <c r="BX83" s="431"/>
      <c r="BY83" s="431"/>
      <c r="BZ83" s="431"/>
      <c r="CA83" s="431"/>
      <c r="CB83" s="431"/>
      <c r="CC83" s="431"/>
      <c r="CD83" s="431"/>
      <c r="CE83" s="431"/>
      <c r="CF83" s="431"/>
      <c r="CG83" s="431"/>
      <c r="CH83" s="431"/>
      <c r="CI83" s="431"/>
      <c r="CJ83" s="431"/>
      <c r="CK83" s="431"/>
      <c r="CL83" s="431"/>
      <c r="CM83" s="431"/>
      <c r="CN83" s="431"/>
      <c r="CO83" s="431"/>
      <c r="CP83" s="431"/>
      <c r="CQ83" s="431"/>
      <c r="CR83" s="431"/>
      <c r="CS83" s="431"/>
      <c r="CT83" s="431"/>
      <c r="CU83" s="431"/>
      <c r="CV83" s="431"/>
      <c r="CW83" s="431"/>
      <c r="CX83" s="431"/>
      <c r="CY83" s="431"/>
      <c r="CZ83" s="431"/>
      <c r="DA83" s="431"/>
      <c r="DB83" s="431"/>
      <c r="DC83" s="431"/>
      <c r="DD83" s="431"/>
      <c r="DE83" s="431"/>
      <c r="DF83" s="431"/>
      <c r="DG83" s="431"/>
      <c r="DH83" s="431"/>
      <c r="DI83" s="431"/>
      <c r="DJ83" s="431"/>
      <c r="DK83" s="431"/>
      <c r="DL83" s="431"/>
      <c r="DM83" s="431"/>
      <c r="DN83" s="431"/>
      <c r="DO83" s="431"/>
      <c r="DP83" s="431"/>
      <c r="DQ83" s="431"/>
      <c r="DR83" s="431"/>
      <c r="DS83" s="431"/>
      <c r="DT83" s="431"/>
      <c r="DU83" s="431"/>
      <c r="DV83" s="431"/>
      <c r="DW83" s="431"/>
      <c r="DX83" s="431"/>
      <c r="DY83" s="431"/>
      <c r="DZ83" s="431"/>
      <c r="EA83" s="431"/>
      <c r="EB83" s="431"/>
      <c r="EC83" s="431"/>
      <c r="ED83" s="431"/>
      <c r="EE83" s="431"/>
      <c r="EF83" s="431"/>
      <c r="EG83" s="431"/>
      <c r="EH83" s="431"/>
      <c r="EI83" s="431"/>
      <c r="EJ83" s="431"/>
      <c r="EK83" s="431"/>
      <c r="EL83" s="431"/>
      <c r="EM83" s="431"/>
      <c r="EN83" s="431"/>
      <c r="EO83" s="431"/>
      <c r="EP83" s="431"/>
      <c r="EQ83" s="431"/>
      <c r="ER83" s="431"/>
      <c r="ES83" s="431"/>
      <c r="ET83" s="431"/>
      <c r="EU83" s="431"/>
      <c r="EV83" s="431"/>
      <c r="EW83" s="431"/>
      <c r="EX83" s="431"/>
      <c r="EY83" s="431"/>
      <c r="EZ83" s="431"/>
      <c r="FA83" s="431"/>
      <c r="FB83" s="431"/>
      <c r="FC83" s="431"/>
      <c r="FD83" s="431"/>
      <c r="FE83" s="431"/>
      <c r="FF83" s="431"/>
      <c r="FG83" s="431"/>
      <c r="FH83" s="431"/>
      <c r="FI83" s="431"/>
      <c r="FJ83" s="431"/>
      <c r="FK83" s="431"/>
      <c r="FL83" s="431"/>
      <c r="FM83" s="431"/>
      <c r="FN83" s="431"/>
      <c r="FO83" s="431"/>
      <c r="FP83" s="431"/>
      <c r="FQ83" s="431"/>
      <c r="FR83" s="431"/>
      <c r="FS83" s="431"/>
      <c r="FT83" s="431"/>
      <c r="FU83" s="431"/>
      <c r="FV83" s="431"/>
      <c r="FW83" s="431"/>
      <c r="FX83" s="431"/>
      <c r="FY83" s="431"/>
      <c r="FZ83" s="431"/>
      <c r="GA83" s="431"/>
      <c r="GB83" s="431"/>
      <c r="GC83" s="431"/>
      <c r="GD83" s="431"/>
      <c r="GE83" s="431"/>
      <c r="GF83" s="431"/>
      <c r="GG83" s="431"/>
      <c r="GH83" s="431"/>
      <c r="GI83" s="431"/>
      <c r="GJ83" s="431"/>
      <c r="GK83" s="431"/>
      <c r="GL83" s="431"/>
      <c r="GM83" s="431"/>
      <c r="GN83" s="431"/>
      <c r="GO83" s="431"/>
      <c r="GP83" s="431"/>
      <c r="GQ83" s="431"/>
      <c r="GR83" s="431"/>
      <c r="GS83" s="431"/>
      <c r="GT83" s="431"/>
      <c r="GU83" s="431"/>
      <c r="GV83" s="431"/>
      <c r="GW83" s="431"/>
      <c r="GX83" s="431"/>
      <c r="GY83" s="431"/>
      <c r="GZ83" s="431"/>
      <c r="HA83" s="431"/>
      <c r="HB83" s="431"/>
      <c r="HC83" s="431"/>
      <c r="HD83" s="431"/>
      <c r="HE83" s="431"/>
      <c r="HF83" s="431"/>
      <c r="HG83" s="431"/>
      <c r="HH83" s="431"/>
      <c r="HI83" s="431"/>
      <c r="HJ83" s="431"/>
      <c r="HK83" s="431"/>
      <c r="HL83" s="431"/>
      <c r="HM83" s="431"/>
      <c r="HN83" s="431"/>
      <c r="HO83" s="431"/>
      <c r="HP83" s="431"/>
      <c r="HQ83" s="431"/>
      <c r="HR83" s="431"/>
      <c r="HS83" s="431"/>
      <c r="HT83" s="431"/>
      <c r="HU83" s="431"/>
      <c r="HV83" s="431"/>
      <c r="HW83" s="431"/>
      <c r="HX83" s="431"/>
      <c r="HY83" s="431"/>
      <c r="HZ83" s="431"/>
      <c r="IA83" s="431"/>
      <c r="IB83" s="431"/>
      <c r="IC83" s="431"/>
      <c r="ID83" s="431"/>
      <c r="IE83" s="431"/>
      <c r="IF83" s="431"/>
      <c r="IG83" s="431"/>
      <c r="IH83" s="431"/>
      <c r="II83" s="431"/>
      <c r="IJ83" s="431"/>
      <c r="IK83" s="431"/>
      <c r="IL83" s="431"/>
      <c r="IM83" s="431"/>
      <c r="IN83" s="431"/>
      <c r="IO83" s="431"/>
      <c r="IP83" s="431"/>
      <c r="IQ83" s="431"/>
      <c r="IR83" s="431"/>
      <c r="IS83" s="431"/>
      <c r="IT83" s="431"/>
      <c r="IU83" s="431"/>
      <c r="IV83" s="431"/>
    </row>
    <row r="84" spans="1:256" s="432" customFormat="1" ht="12" customHeight="1">
      <c r="A84" s="21" t="s">
        <v>177</v>
      </c>
      <c r="B84" s="22">
        <f>B82*B83</f>
        <v>296.48996776542862</v>
      </c>
      <c r="C84" s="22">
        <f t="shared" ref="C84:U84" si="21">C82*C83</f>
        <v>297.14384874839141</v>
      </c>
      <c r="D84" s="22">
        <f t="shared" si="21"/>
        <v>297.8207467523431</v>
      </c>
      <c r="E84" s="22">
        <f t="shared" si="21"/>
        <v>484.27629528651784</v>
      </c>
      <c r="F84" s="22">
        <f t="shared" si="21"/>
        <v>509.47843355484576</v>
      </c>
      <c r="G84" s="22">
        <f t="shared" si="21"/>
        <v>520.01269295619818</v>
      </c>
      <c r="H84" s="22">
        <f t="shared" si="21"/>
        <v>530.75989011065326</v>
      </c>
      <c r="I84" s="22">
        <f t="shared" si="21"/>
        <v>541.74121908085863</v>
      </c>
      <c r="J84" s="22">
        <f t="shared" si="21"/>
        <v>552.96742172400229</v>
      </c>
      <c r="K84" s="22">
        <f t="shared" si="21"/>
        <v>564.44006159048467</v>
      </c>
      <c r="L84" s="22">
        <f t="shared" si="21"/>
        <v>572.07391526544075</v>
      </c>
      <c r="M84" s="22">
        <f t="shared" si="21"/>
        <v>579.8417544222483</v>
      </c>
      <c r="N84" s="22">
        <f t="shared" si="21"/>
        <v>587.7221035431312</v>
      </c>
      <c r="O84" s="22">
        <f t="shared" si="21"/>
        <v>595.71679751099407</v>
      </c>
      <c r="P84" s="22">
        <f t="shared" si="21"/>
        <v>603.82770133750512</v>
      </c>
      <c r="Q84" s="22">
        <f t="shared" si="21"/>
        <v>613.37891982501628</v>
      </c>
      <c r="R84" s="22">
        <f t="shared" si="21"/>
        <v>623.08713405536014</v>
      </c>
      <c r="S84" s="22">
        <f t="shared" si="21"/>
        <v>632.95509523069222</v>
      </c>
      <c r="T84" s="22">
        <f t="shared" si="21"/>
        <v>642.98560747394311</v>
      </c>
      <c r="U84" s="22">
        <f t="shared" si="21"/>
        <v>653.18152896865524</v>
      </c>
      <c r="V84" s="439"/>
      <c r="W84" s="439"/>
      <c r="X84" s="439"/>
      <c r="Y84" s="439"/>
      <c r="Z84" s="439"/>
      <c r="AA84" s="439"/>
      <c r="AB84" s="439"/>
      <c r="AC84" s="428"/>
      <c r="AD84" s="428"/>
      <c r="AE84" s="430"/>
      <c r="AF84" s="430"/>
      <c r="AG84" s="430"/>
      <c r="AH84" s="431"/>
      <c r="AI84" s="431"/>
      <c r="AJ84" s="431"/>
      <c r="AK84" s="431"/>
      <c r="AL84" s="431"/>
      <c r="AM84" s="431"/>
      <c r="AN84" s="431"/>
      <c r="AO84" s="431"/>
      <c r="AP84" s="431"/>
      <c r="AQ84" s="431"/>
      <c r="AR84" s="431"/>
      <c r="AS84" s="431"/>
      <c r="AT84" s="431"/>
      <c r="AU84" s="431"/>
      <c r="AV84" s="431"/>
      <c r="AW84" s="431"/>
      <c r="AX84" s="431"/>
      <c r="AY84" s="431"/>
      <c r="AZ84" s="431"/>
      <c r="BA84" s="431"/>
      <c r="BB84" s="431"/>
      <c r="BC84" s="431"/>
      <c r="BD84" s="431"/>
      <c r="BE84" s="431"/>
      <c r="BF84" s="431"/>
      <c r="BG84" s="431"/>
      <c r="BH84" s="431"/>
      <c r="BI84" s="431"/>
      <c r="BJ84" s="431"/>
      <c r="BK84" s="431"/>
      <c r="BL84" s="431"/>
      <c r="BM84" s="431"/>
      <c r="BN84" s="431"/>
      <c r="BO84" s="431"/>
      <c r="BP84" s="431"/>
      <c r="BQ84" s="431"/>
      <c r="BR84" s="431"/>
      <c r="BS84" s="431"/>
      <c r="BT84" s="431"/>
      <c r="BU84" s="431"/>
      <c r="BV84" s="431"/>
      <c r="BW84" s="431"/>
      <c r="BX84" s="431"/>
      <c r="BY84" s="431"/>
      <c r="BZ84" s="431"/>
      <c r="CA84" s="431"/>
      <c r="CB84" s="431"/>
      <c r="CC84" s="431"/>
      <c r="CD84" s="431"/>
      <c r="CE84" s="431"/>
      <c r="CF84" s="431"/>
      <c r="CG84" s="431"/>
      <c r="CH84" s="431"/>
      <c r="CI84" s="431"/>
      <c r="CJ84" s="431"/>
      <c r="CK84" s="431"/>
      <c r="CL84" s="431"/>
      <c r="CM84" s="431"/>
      <c r="CN84" s="431"/>
      <c r="CO84" s="431"/>
      <c r="CP84" s="431"/>
      <c r="CQ84" s="431"/>
      <c r="CR84" s="431"/>
      <c r="CS84" s="431"/>
      <c r="CT84" s="431"/>
      <c r="CU84" s="431"/>
      <c r="CV84" s="431"/>
      <c r="CW84" s="431"/>
      <c r="CX84" s="431"/>
      <c r="CY84" s="431"/>
      <c r="CZ84" s="431"/>
      <c r="DA84" s="431"/>
      <c r="DB84" s="431"/>
      <c r="DC84" s="431"/>
      <c r="DD84" s="431"/>
      <c r="DE84" s="431"/>
      <c r="DF84" s="431"/>
      <c r="DG84" s="431"/>
      <c r="DH84" s="431"/>
      <c r="DI84" s="431"/>
      <c r="DJ84" s="431"/>
      <c r="DK84" s="431"/>
      <c r="DL84" s="431"/>
      <c r="DM84" s="431"/>
      <c r="DN84" s="431"/>
      <c r="DO84" s="431"/>
      <c r="DP84" s="431"/>
      <c r="DQ84" s="431"/>
      <c r="DR84" s="431"/>
      <c r="DS84" s="431"/>
      <c r="DT84" s="431"/>
      <c r="DU84" s="431"/>
      <c r="DV84" s="431"/>
      <c r="DW84" s="431"/>
      <c r="DX84" s="431"/>
      <c r="DY84" s="431"/>
      <c r="DZ84" s="431"/>
      <c r="EA84" s="431"/>
      <c r="EB84" s="431"/>
      <c r="EC84" s="431"/>
      <c r="ED84" s="431"/>
      <c r="EE84" s="431"/>
      <c r="EF84" s="431"/>
      <c r="EG84" s="431"/>
      <c r="EH84" s="431"/>
      <c r="EI84" s="431"/>
      <c r="EJ84" s="431"/>
      <c r="EK84" s="431"/>
      <c r="EL84" s="431"/>
      <c r="EM84" s="431"/>
      <c r="EN84" s="431"/>
      <c r="EO84" s="431"/>
      <c r="EP84" s="431"/>
      <c r="EQ84" s="431"/>
      <c r="ER84" s="431"/>
      <c r="ES84" s="431"/>
      <c r="ET84" s="431"/>
      <c r="EU84" s="431"/>
      <c r="EV84" s="431"/>
      <c r="EW84" s="431"/>
      <c r="EX84" s="431"/>
      <c r="EY84" s="431"/>
      <c r="EZ84" s="431"/>
      <c r="FA84" s="431"/>
      <c r="FB84" s="431"/>
      <c r="FC84" s="431"/>
      <c r="FD84" s="431"/>
      <c r="FE84" s="431"/>
      <c r="FF84" s="431"/>
      <c r="FG84" s="431"/>
      <c r="FH84" s="431"/>
      <c r="FI84" s="431"/>
      <c r="FJ84" s="431"/>
      <c r="FK84" s="431"/>
      <c r="FL84" s="431"/>
      <c r="FM84" s="431"/>
      <c r="FN84" s="431"/>
      <c r="FO84" s="431"/>
      <c r="FP84" s="431"/>
      <c r="FQ84" s="431"/>
      <c r="FR84" s="431"/>
      <c r="FS84" s="431"/>
      <c r="FT84" s="431"/>
      <c r="FU84" s="431"/>
      <c r="FV84" s="431"/>
      <c r="FW84" s="431"/>
      <c r="FX84" s="431"/>
      <c r="FY84" s="431"/>
      <c r="FZ84" s="431"/>
      <c r="GA84" s="431"/>
      <c r="GB84" s="431"/>
      <c r="GC84" s="431"/>
      <c r="GD84" s="431"/>
      <c r="GE84" s="431"/>
      <c r="GF84" s="431"/>
      <c r="GG84" s="431"/>
      <c r="GH84" s="431"/>
      <c r="GI84" s="431"/>
      <c r="GJ84" s="431"/>
      <c r="GK84" s="431"/>
      <c r="GL84" s="431"/>
      <c r="GM84" s="431"/>
      <c r="GN84" s="431"/>
      <c r="GO84" s="431"/>
      <c r="GP84" s="431"/>
      <c r="GQ84" s="431"/>
      <c r="GR84" s="431"/>
      <c r="GS84" s="431"/>
      <c r="GT84" s="431"/>
      <c r="GU84" s="431"/>
      <c r="GV84" s="431"/>
      <c r="GW84" s="431"/>
      <c r="GX84" s="431"/>
      <c r="GY84" s="431"/>
      <c r="GZ84" s="431"/>
      <c r="HA84" s="431"/>
      <c r="HB84" s="431"/>
      <c r="HC84" s="431"/>
      <c r="HD84" s="431"/>
      <c r="HE84" s="431"/>
      <c r="HF84" s="431"/>
      <c r="HG84" s="431"/>
      <c r="HH84" s="431"/>
      <c r="HI84" s="431"/>
      <c r="HJ84" s="431"/>
      <c r="HK84" s="431"/>
      <c r="HL84" s="431"/>
      <c r="HM84" s="431"/>
      <c r="HN84" s="431"/>
      <c r="HO84" s="431"/>
      <c r="HP84" s="431"/>
      <c r="HQ84" s="431"/>
      <c r="HR84" s="431"/>
      <c r="HS84" s="431"/>
      <c r="HT84" s="431"/>
      <c r="HU84" s="431"/>
      <c r="HV84" s="431"/>
      <c r="HW84" s="431"/>
      <c r="HX84" s="431"/>
      <c r="HY84" s="431"/>
      <c r="HZ84" s="431"/>
      <c r="IA84" s="431"/>
      <c r="IB84" s="431"/>
      <c r="IC84" s="431"/>
      <c r="ID84" s="431"/>
      <c r="IE84" s="431"/>
      <c r="IF84" s="431"/>
      <c r="IG84" s="431"/>
      <c r="IH84" s="431"/>
      <c r="II84" s="431"/>
      <c r="IJ84" s="431"/>
      <c r="IK84" s="431"/>
      <c r="IL84" s="431"/>
      <c r="IM84" s="431"/>
      <c r="IN84" s="431"/>
      <c r="IO84" s="431"/>
      <c r="IP84" s="431"/>
      <c r="IQ84" s="431"/>
      <c r="IR84" s="431"/>
      <c r="IS84" s="431"/>
      <c r="IT84" s="431"/>
      <c r="IU84" s="431"/>
      <c r="IV84" s="431"/>
    </row>
    <row r="85" spans="1:256" s="432" customFormat="1" ht="12" customHeight="1">
      <c r="A85" s="21"/>
      <c r="B85" s="32"/>
      <c r="C85" s="32"/>
      <c r="D85" s="439"/>
      <c r="E85" s="439"/>
      <c r="F85" s="439"/>
      <c r="G85" s="439"/>
      <c r="H85" s="439"/>
      <c r="I85" s="439"/>
      <c r="J85" s="439"/>
      <c r="K85" s="439"/>
      <c r="L85" s="439"/>
      <c r="M85" s="439"/>
      <c r="N85" s="439"/>
      <c r="O85" s="439"/>
      <c r="P85" s="439"/>
      <c r="Q85" s="439"/>
      <c r="R85" s="439"/>
      <c r="S85" s="439"/>
      <c r="T85" s="439"/>
      <c r="U85" s="439"/>
      <c r="V85" s="439"/>
      <c r="W85" s="439"/>
      <c r="X85" s="439"/>
      <c r="Y85" s="439"/>
      <c r="Z85" s="439"/>
      <c r="AA85" s="439"/>
      <c r="AB85" s="439"/>
      <c r="AC85" s="428"/>
      <c r="AD85" s="428"/>
      <c r="AE85" s="430"/>
      <c r="AF85" s="430"/>
      <c r="AG85" s="430"/>
      <c r="AH85" s="431"/>
      <c r="AI85" s="431"/>
      <c r="AJ85" s="431"/>
      <c r="AK85" s="431"/>
      <c r="AL85" s="431"/>
      <c r="AM85" s="431"/>
      <c r="AN85" s="431"/>
      <c r="AO85" s="431"/>
      <c r="AP85" s="431"/>
      <c r="AQ85" s="431"/>
      <c r="AR85" s="431"/>
      <c r="AS85" s="431"/>
      <c r="AT85" s="431"/>
      <c r="AU85" s="431"/>
      <c r="AV85" s="431"/>
      <c r="AW85" s="431"/>
      <c r="AX85" s="431"/>
      <c r="AY85" s="431"/>
      <c r="AZ85" s="431"/>
      <c r="BA85" s="431"/>
      <c r="BB85" s="431"/>
      <c r="BC85" s="431"/>
      <c r="BD85" s="431"/>
      <c r="BE85" s="431"/>
      <c r="BF85" s="431"/>
      <c r="BG85" s="431"/>
      <c r="BH85" s="431"/>
      <c r="BI85" s="431"/>
      <c r="BJ85" s="431"/>
      <c r="BK85" s="431"/>
      <c r="BL85" s="431"/>
      <c r="BM85" s="431"/>
      <c r="BN85" s="431"/>
      <c r="BO85" s="431"/>
      <c r="BP85" s="431"/>
      <c r="BQ85" s="431"/>
      <c r="BR85" s="431"/>
      <c r="BS85" s="431"/>
      <c r="BT85" s="431"/>
      <c r="BU85" s="431"/>
      <c r="BV85" s="431"/>
      <c r="BW85" s="431"/>
      <c r="BX85" s="431"/>
      <c r="BY85" s="431"/>
      <c r="BZ85" s="431"/>
      <c r="CA85" s="431"/>
      <c r="CB85" s="431"/>
      <c r="CC85" s="431"/>
      <c r="CD85" s="431"/>
      <c r="CE85" s="431"/>
      <c r="CF85" s="431"/>
      <c r="CG85" s="431"/>
      <c r="CH85" s="431"/>
      <c r="CI85" s="431"/>
      <c r="CJ85" s="431"/>
      <c r="CK85" s="431"/>
      <c r="CL85" s="431"/>
      <c r="CM85" s="431"/>
      <c r="CN85" s="431"/>
      <c r="CO85" s="431"/>
      <c r="CP85" s="431"/>
      <c r="CQ85" s="431"/>
      <c r="CR85" s="431"/>
      <c r="CS85" s="431"/>
      <c r="CT85" s="431"/>
      <c r="CU85" s="431"/>
      <c r="CV85" s="431"/>
      <c r="CW85" s="431"/>
      <c r="CX85" s="431"/>
      <c r="CY85" s="431"/>
      <c r="CZ85" s="431"/>
      <c r="DA85" s="431"/>
      <c r="DB85" s="431"/>
      <c r="DC85" s="431"/>
      <c r="DD85" s="431"/>
      <c r="DE85" s="431"/>
      <c r="DF85" s="431"/>
      <c r="DG85" s="431"/>
      <c r="DH85" s="431"/>
      <c r="DI85" s="431"/>
      <c r="DJ85" s="431"/>
      <c r="DK85" s="431"/>
      <c r="DL85" s="431"/>
      <c r="DM85" s="431"/>
      <c r="DN85" s="431"/>
      <c r="DO85" s="431"/>
      <c r="DP85" s="431"/>
      <c r="DQ85" s="431"/>
      <c r="DR85" s="431"/>
      <c r="DS85" s="431"/>
      <c r="DT85" s="431"/>
      <c r="DU85" s="431"/>
      <c r="DV85" s="431"/>
      <c r="DW85" s="431"/>
      <c r="DX85" s="431"/>
      <c r="DY85" s="431"/>
      <c r="DZ85" s="431"/>
      <c r="EA85" s="431"/>
      <c r="EB85" s="431"/>
      <c r="EC85" s="431"/>
      <c r="ED85" s="431"/>
      <c r="EE85" s="431"/>
      <c r="EF85" s="431"/>
      <c r="EG85" s="431"/>
      <c r="EH85" s="431"/>
      <c r="EI85" s="431"/>
      <c r="EJ85" s="431"/>
      <c r="EK85" s="431"/>
      <c r="EL85" s="431"/>
      <c r="EM85" s="431"/>
      <c r="EN85" s="431"/>
      <c r="EO85" s="431"/>
      <c r="EP85" s="431"/>
      <c r="EQ85" s="431"/>
      <c r="ER85" s="431"/>
      <c r="ES85" s="431"/>
      <c r="ET85" s="431"/>
      <c r="EU85" s="431"/>
      <c r="EV85" s="431"/>
      <c r="EW85" s="431"/>
      <c r="EX85" s="431"/>
      <c r="EY85" s="431"/>
      <c r="EZ85" s="431"/>
      <c r="FA85" s="431"/>
      <c r="FB85" s="431"/>
      <c r="FC85" s="431"/>
      <c r="FD85" s="431"/>
      <c r="FE85" s="431"/>
      <c r="FF85" s="431"/>
      <c r="FG85" s="431"/>
      <c r="FH85" s="431"/>
      <c r="FI85" s="431"/>
      <c r="FJ85" s="431"/>
      <c r="FK85" s="431"/>
      <c r="FL85" s="431"/>
      <c r="FM85" s="431"/>
      <c r="FN85" s="431"/>
      <c r="FO85" s="431"/>
      <c r="FP85" s="431"/>
      <c r="FQ85" s="431"/>
      <c r="FR85" s="431"/>
      <c r="FS85" s="431"/>
      <c r="FT85" s="431"/>
      <c r="FU85" s="431"/>
      <c r="FV85" s="431"/>
      <c r="FW85" s="431"/>
      <c r="FX85" s="431"/>
      <c r="FY85" s="431"/>
      <c r="FZ85" s="431"/>
      <c r="GA85" s="431"/>
      <c r="GB85" s="431"/>
      <c r="GC85" s="431"/>
      <c r="GD85" s="431"/>
      <c r="GE85" s="431"/>
      <c r="GF85" s="431"/>
      <c r="GG85" s="431"/>
      <c r="GH85" s="431"/>
      <c r="GI85" s="431"/>
      <c r="GJ85" s="431"/>
      <c r="GK85" s="431"/>
      <c r="GL85" s="431"/>
      <c r="GM85" s="431"/>
      <c r="GN85" s="431"/>
      <c r="GO85" s="431"/>
      <c r="GP85" s="431"/>
      <c r="GQ85" s="431"/>
      <c r="GR85" s="431"/>
      <c r="GS85" s="431"/>
      <c r="GT85" s="431"/>
      <c r="GU85" s="431"/>
      <c r="GV85" s="431"/>
      <c r="GW85" s="431"/>
      <c r="GX85" s="431"/>
      <c r="GY85" s="431"/>
      <c r="GZ85" s="431"/>
      <c r="HA85" s="431"/>
      <c r="HB85" s="431"/>
      <c r="HC85" s="431"/>
      <c r="HD85" s="431"/>
      <c r="HE85" s="431"/>
      <c r="HF85" s="431"/>
      <c r="HG85" s="431"/>
      <c r="HH85" s="431"/>
      <c r="HI85" s="431"/>
      <c r="HJ85" s="431"/>
      <c r="HK85" s="431"/>
      <c r="HL85" s="431"/>
      <c r="HM85" s="431"/>
      <c r="HN85" s="431"/>
      <c r="HO85" s="431"/>
      <c r="HP85" s="431"/>
      <c r="HQ85" s="431"/>
      <c r="HR85" s="431"/>
      <c r="HS85" s="431"/>
      <c r="HT85" s="431"/>
      <c r="HU85" s="431"/>
      <c r="HV85" s="431"/>
      <c r="HW85" s="431"/>
      <c r="HX85" s="431"/>
      <c r="HY85" s="431"/>
      <c r="HZ85" s="431"/>
      <c r="IA85" s="431"/>
      <c r="IB85" s="431"/>
      <c r="IC85" s="431"/>
      <c r="ID85" s="431"/>
      <c r="IE85" s="431"/>
      <c r="IF85" s="431"/>
      <c r="IG85" s="431"/>
      <c r="IH85" s="431"/>
      <c r="II85" s="431"/>
      <c r="IJ85" s="431"/>
      <c r="IK85" s="431"/>
      <c r="IL85" s="431"/>
      <c r="IM85" s="431"/>
      <c r="IN85" s="431"/>
      <c r="IO85" s="431"/>
      <c r="IP85" s="431"/>
      <c r="IQ85" s="431"/>
      <c r="IR85" s="431"/>
      <c r="IS85" s="431"/>
      <c r="IT85" s="431"/>
      <c r="IU85" s="431"/>
      <c r="IV85" s="431"/>
    </row>
    <row r="86" spans="1:256" s="432" customFormat="1" ht="12" customHeight="1">
      <c r="A86" s="229" t="s">
        <v>178</v>
      </c>
      <c r="B86" s="481">
        <f>MAX(B84,B79)</f>
        <v>296.48996776542862</v>
      </c>
      <c r="C86" s="481">
        <f t="shared" ref="C86:U86" si="22">MAX(C84,C79)</f>
        <v>297.14384874839141</v>
      </c>
      <c r="D86" s="481">
        <f t="shared" si="22"/>
        <v>297.8207467523431</v>
      </c>
      <c r="E86" s="481">
        <f t="shared" si="22"/>
        <v>577.87762655249787</v>
      </c>
      <c r="F86" s="481">
        <f t="shared" si="22"/>
        <v>657.14198116004729</v>
      </c>
      <c r="G86" s="481">
        <f t="shared" si="22"/>
        <v>694.81866383998556</v>
      </c>
      <c r="H86" s="481">
        <f t="shared" si="22"/>
        <v>733.28991380131765</v>
      </c>
      <c r="I86" s="481">
        <f t="shared" si="22"/>
        <v>775.18553000213717</v>
      </c>
      <c r="J86" s="481">
        <f t="shared" si="22"/>
        <v>825.68598963989234</v>
      </c>
      <c r="K86" s="481">
        <f t="shared" si="22"/>
        <v>881.97381515886832</v>
      </c>
      <c r="L86" s="481">
        <f t="shared" si="22"/>
        <v>921.10008051863258</v>
      </c>
      <c r="M86" s="481">
        <f t="shared" si="22"/>
        <v>968.2388438435413</v>
      </c>
      <c r="N86" s="481">
        <f t="shared" si="22"/>
        <v>1017.0457980338309</v>
      </c>
      <c r="O86" s="481">
        <f t="shared" si="22"/>
        <v>1065.2645276058142</v>
      </c>
      <c r="P86" s="481">
        <f t="shared" si="22"/>
        <v>1114.0394607234696</v>
      </c>
      <c r="Q86" s="481">
        <f t="shared" si="22"/>
        <v>1167.8699958095876</v>
      </c>
      <c r="R86" s="481">
        <f t="shared" si="22"/>
        <v>1223.9484808513353</v>
      </c>
      <c r="S86" s="481">
        <f t="shared" si="22"/>
        <v>1278.326886738741</v>
      </c>
      <c r="T86" s="481">
        <f t="shared" si="22"/>
        <v>1328.337187333881</v>
      </c>
      <c r="U86" s="481">
        <f t="shared" si="22"/>
        <v>1378.5576499661408</v>
      </c>
      <c r="V86" s="439"/>
      <c r="W86" s="439"/>
      <c r="X86" s="481">
        <f>MAX(X84,X79)</f>
        <v>0</v>
      </c>
      <c r="Y86" s="481">
        <f t="shared" ref="Y86:AQ86" si="23">MAX(Y84,Y79)</f>
        <v>0</v>
      </c>
      <c r="Z86" s="481">
        <f t="shared" si="23"/>
        <v>0</v>
      </c>
      <c r="AA86" s="481">
        <f t="shared" si="23"/>
        <v>0</v>
      </c>
      <c r="AB86" s="481">
        <f t="shared" si="23"/>
        <v>0</v>
      </c>
      <c r="AC86" s="481">
        <f t="shared" si="23"/>
        <v>0</v>
      </c>
      <c r="AD86" s="481">
        <f t="shared" si="23"/>
        <v>0</v>
      </c>
      <c r="AE86" s="481">
        <f t="shared" si="23"/>
        <v>0</v>
      </c>
      <c r="AF86" s="481">
        <f t="shared" si="23"/>
        <v>0</v>
      </c>
      <c r="AG86" s="481">
        <f t="shared" si="23"/>
        <v>0</v>
      </c>
      <c r="AH86" s="481">
        <f t="shared" si="23"/>
        <v>0</v>
      </c>
      <c r="AI86" s="481">
        <f t="shared" si="23"/>
        <v>0</v>
      </c>
      <c r="AJ86" s="481">
        <f t="shared" si="23"/>
        <v>0</v>
      </c>
      <c r="AK86" s="481">
        <f t="shared" si="23"/>
        <v>0</v>
      </c>
      <c r="AL86" s="481">
        <f t="shared" si="23"/>
        <v>0</v>
      </c>
      <c r="AM86" s="481">
        <f t="shared" si="23"/>
        <v>0</v>
      </c>
      <c r="AN86" s="481">
        <f t="shared" si="23"/>
        <v>0</v>
      </c>
      <c r="AO86" s="481">
        <f t="shared" si="23"/>
        <v>0</v>
      </c>
      <c r="AP86" s="481">
        <f t="shared" si="23"/>
        <v>0</v>
      </c>
      <c r="AQ86" s="481">
        <f t="shared" si="23"/>
        <v>0</v>
      </c>
      <c r="AR86" s="431"/>
      <c r="AS86" s="431"/>
      <c r="AT86" s="431"/>
      <c r="AU86" s="431"/>
      <c r="AV86" s="431"/>
      <c r="AW86" s="431"/>
      <c r="AX86" s="431"/>
      <c r="AY86" s="431"/>
      <c r="AZ86" s="431"/>
      <c r="BA86" s="431"/>
      <c r="BB86" s="431"/>
      <c r="BC86" s="431"/>
      <c r="BD86" s="431"/>
      <c r="BE86" s="431"/>
      <c r="BF86" s="431"/>
      <c r="BG86" s="431"/>
      <c r="BH86" s="431"/>
      <c r="BI86" s="431"/>
      <c r="BJ86" s="431"/>
      <c r="BK86" s="431"/>
      <c r="BL86" s="431"/>
      <c r="BM86" s="431"/>
      <c r="BN86" s="431"/>
      <c r="BO86" s="431"/>
      <c r="BP86" s="431"/>
      <c r="BQ86" s="431"/>
      <c r="BR86" s="431"/>
      <c r="BS86" s="431"/>
      <c r="BT86" s="431"/>
      <c r="BU86" s="431"/>
      <c r="BV86" s="431"/>
      <c r="BW86" s="431"/>
      <c r="BX86" s="431"/>
      <c r="BY86" s="431"/>
      <c r="BZ86" s="431"/>
      <c r="CA86" s="431"/>
      <c r="CB86" s="431"/>
      <c r="CC86" s="431"/>
      <c r="CD86" s="431"/>
      <c r="CE86" s="431"/>
      <c r="CF86" s="431"/>
      <c r="CG86" s="431"/>
      <c r="CH86" s="431"/>
      <c r="CI86" s="431"/>
      <c r="CJ86" s="431"/>
      <c r="CK86" s="431"/>
      <c r="CL86" s="431"/>
      <c r="CM86" s="431"/>
      <c r="CN86" s="431"/>
      <c r="CO86" s="431"/>
      <c r="CP86" s="431"/>
      <c r="CQ86" s="431"/>
      <c r="CR86" s="431"/>
      <c r="CS86" s="431"/>
      <c r="CT86" s="431"/>
      <c r="CU86" s="431"/>
      <c r="CV86" s="431"/>
      <c r="CW86" s="431"/>
      <c r="CX86" s="431"/>
      <c r="CY86" s="431"/>
      <c r="CZ86" s="431"/>
      <c r="DA86" s="431"/>
      <c r="DB86" s="431"/>
      <c r="DC86" s="431"/>
      <c r="DD86" s="431"/>
      <c r="DE86" s="431"/>
      <c r="DF86" s="431"/>
      <c r="DG86" s="431"/>
      <c r="DH86" s="431"/>
      <c r="DI86" s="431"/>
      <c r="DJ86" s="431"/>
      <c r="DK86" s="431"/>
      <c r="DL86" s="431"/>
      <c r="DM86" s="431"/>
      <c r="DN86" s="431"/>
      <c r="DO86" s="431"/>
      <c r="DP86" s="431"/>
      <c r="DQ86" s="431"/>
      <c r="DR86" s="431"/>
      <c r="DS86" s="431"/>
      <c r="DT86" s="431"/>
      <c r="DU86" s="431"/>
      <c r="DV86" s="431"/>
      <c r="DW86" s="431"/>
      <c r="DX86" s="431"/>
      <c r="DY86" s="431"/>
      <c r="DZ86" s="431"/>
      <c r="EA86" s="431"/>
      <c r="EB86" s="431"/>
      <c r="EC86" s="431"/>
      <c r="ED86" s="431"/>
      <c r="EE86" s="431"/>
      <c r="EF86" s="431"/>
      <c r="EG86" s="431"/>
      <c r="EH86" s="431"/>
      <c r="EI86" s="431"/>
      <c r="EJ86" s="431"/>
      <c r="EK86" s="431"/>
      <c r="EL86" s="431"/>
      <c r="EM86" s="431"/>
      <c r="EN86" s="431"/>
      <c r="EO86" s="431"/>
      <c r="EP86" s="431"/>
      <c r="EQ86" s="431"/>
      <c r="ER86" s="431"/>
      <c r="ES86" s="431"/>
      <c r="ET86" s="431"/>
      <c r="EU86" s="431"/>
      <c r="EV86" s="431"/>
      <c r="EW86" s="431"/>
      <c r="EX86" s="431"/>
      <c r="EY86" s="431"/>
      <c r="EZ86" s="431"/>
      <c r="FA86" s="431"/>
      <c r="FB86" s="431"/>
      <c r="FC86" s="431"/>
      <c r="FD86" s="431"/>
      <c r="FE86" s="431"/>
      <c r="FF86" s="431"/>
      <c r="FG86" s="431"/>
      <c r="FH86" s="431"/>
      <c r="FI86" s="431"/>
      <c r="FJ86" s="431"/>
      <c r="FK86" s="431"/>
      <c r="FL86" s="431"/>
      <c r="FM86" s="431"/>
      <c r="FN86" s="431"/>
      <c r="FO86" s="431"/>
      <c r="FP86" s="431"/>
      <c r="FQ86" s="431"/>
      <c r="FR86" s="431"/>
      <c r="FS86" s="431"/>
      <c r="FT86" s="431"/>
      <c r="FU86" s="431"/>
      <c r="FV86" s="431"/>
      <c r="FW86" s="431"/>
      <c r="FX86" s="431"/>
      <c r="FY86" s="431"/>
      <c r="FZ86" s="431"/>
      <c r="GA86" s="431"/>
      <c r="GB86" s="431"/>
      <c r="GC86" s="431"/>
      <c r="GD86" s="431"/>
      <c r="GE86" s="431"/>
      <c r="GF86" s="431"/>
      <c r="GG86" s="431"/>
      <c r="GH86" s="431"/>
      <c r="GI86" s="431"/>
      <c r="GJ86" s="431"/>
      <c r="GK86" s="431"/>
      <c r="GL86" s="431"/>
      <c r="GM86" s="431"/>
      <c r="GN86" s="431"/>
      <c r="GO86" s="431"/>
      <c r="GP86" s="431"/>
      <c r="GQ86" s="431"/>
      <c r="GR86" s="431"/>
      <c r="GS86" s="431"/>
      <c r="GT86" s="431"/>
      <c r="GU86" s="431"/>
      <c r="GV86" s="431"/>
      <c r="GW86" s="431"/>
      <c r="GX86" s="431"/>
      <c r="GY86" s="431"/>
      <c r="GZ86" s="431"/>
      <c r="HA86" s="431"/>
      <c r="HB86" s="431"/>
      <c r="HC86" s="431"/>
      <c r="HD86" s="431"/>
      <c r="HE86" s="431"/>
      <c r="HF86" s="431"/>
      <c r="HG86" s="431"/>
      <c r="HH86" s="431"/>
      <c r="HI86" s="431"/>
      <c r="HJ86" s="431"/>
      <c r="HK86" s="431"/>
      <c r="HL86" s="431"/>
      <c r="HM86" s="431"/>
      <c r="HN86" s="431"/>
      <c r="HO86" s="431"/>
      <c r="HP86" s="431"/>
      <c r="HQ86" s="431"/>
      <c r="HR86" s="431"/>
      <c r="HS86" s="431"/>
      <c r="HT86" s="431"/>
      <c r="HU86" s="431"/>
      <c r="HV86" s="431"/>
      <c r="HW86" s="431"/>
      <c r="HX86" s="431"/>
      <c r="HY86" s="431"/>
      <c r="HZ86" s="431"/>
      <c r="IA86" s="431"/>
      <c r="IB86" s="431"/>
      <c r="IC86" s="431"/>
      <c r="ID86" s="431"/>
      <c r="IE86" s="431"/>
      <c r="IF86" s="431"/>
      <c r="IG86" s="431"/>
      <c r="IH86" s="431"/>
      <c r="II86" s="431"/>
      <c r="IJ86" s="431"/>
      <c r="IK86" s="431"/>
      <c r="IL86" s="431"/>
      <c r="IM86" s="431"/>
      <c r="IN86" s="431"/>
      <c r="IO86" s="431"/>
      <c r="IP86" s="431"/>
      <c r="IQ86" s="431"/>
      <c r="IR86" s="431"/>
      <c r="IS86" s="431"/>
      <c r="IT86" s="431"/>
      <c r="IU86" s="431"/>
      <c r="IV86" s="431"/>
    </row>
    <row r="87" spans="1:256" s="432" customFormat="1" ht="12" customHeight="1">
      <c r="A87" s="521"/>
      <c r="B87" s="32"/>
      <c r="C87" s="32"/>
      <c r="D87" s="439"/>
      <c r="E87" s="439"/>
      <c r="F87" s="439"/>
      <c r="G87" s="439"/>
      <c r="H87" s="439"/>
      <c r="I87" s="439"/>
      <c r="J87" s="439"/>
      <c r="K87" s="439"/>
      <c r="L87" s="439"/>
      <c r="M87" s="439"/>
      <c r="N87" s="439"/>
      <c r="O87" s="439"/>
      <c r="P87" s="439"/>
      <c r="Q87" s="439"/>
      <c r="R87" s="439"/>
      <c r="S87" s="439"/>
      <c r="T87" s="439"/>
      <c r="U87" s="439"/>
      <c r="V87" s="439"/>
      <c r="W87" s="439"/>
      <c r="X87" s="439"/>
      <c r="Y87" s="439"/>
      <c r="Z87" s="439"/>
      <c r="AA87" s="439"/>
      <c r="AB87" s="439"/>
      <c r="AC87" s="428"/>
      <c r="AD87" s="428"/>
      <c r="AE87" s="430"/>
      <c r="AF87" s="430"/>
      <c r="AG87" s="430"/>
      <c r="AH87" s="431"/>
      <c r="AI87" s="431"/>
      <c r="AJ87" s="431"/>
      <c r="AK87" s="431"/>
      <c r="AL87" s="431"/>
      <c r="AM87" s="431"/>
      <c r="AN87" s="431"/>
      <c r="AO87" s="431"/>
      <c r="AP87" s="431"/>
      <c r="AQ87" s="431"/>
      <c r="AR87" s="431"/>
      <c r="AS87" s="431"/>
      <c r="AT87" s="431"/>
      <c r="AU87" s="431"/>
      <c r="AV87" s="431"/>
      <c r="AW87" s="431"/>
      <c r="AX87" s="431"/>
      <c r="AY87" s="431"/>
      <c r="AZ87" s="431"/>
      <c r="BA87" s="431"/>
      <c r="BB87" s="431"/>
      <c r="BC87" s="431"/>
      <c r="BD87" s="431"/>
      <c r="BE87" s="431"/>
      <c r="BF87" s="431"/>
      <c r="BG87" s="431"/>
      <c r="BH87" s="431"/>
      <c r="BI87" s="431"/>
      <c r="BJ87" s="431"/>
      <c r="BK87" s="431"/>
      <c r="BL87" s="431"/>
      <c r="BM87" s="431"/>
      <c r="BN87" s="431"/>
      <c r="BO87" s="431"/>
      <c r="BP87" s="431"/>
      <c r="BQ87" s="431"/>
      <c r="BR87" s="431"/>
      <c r="BS87" s="431"/>
      <c r="BT87" s="431"/>
      <c r="BU87" s="431"/>
      <c r="BV87" s="431"/>
      <c r="BW87" s="431"/>
      <c r="BX87" s="431"/>
      <c r="BY87" s="431"/>
      <c r="BZ87" s="431"/>
      <c r="CA87" s="431"/>
      <c r="CB87" s="431"/>
      <c r="CC87" s="431"/>
      <c r="CD87" s="431"/>
      <c r="CE87" s="431"/>
      <c r="CF87" s="431"/>
      <c r="CG87" s="431"/>
      <c r="CH87" s="431"/>
      <c r="CI87" s="431"/>
      <c r="CJ87" s="431"/>
      <c r="CK87" s="431"/>
      <c r="CL87" s="431"/>
      <c r="CM87" s="431"/>
      <c r="CN87" s="431"/>
      <c r="CO87" s="431"/>
      <c r="CP87" s="431"/>
      <c r="CQ87" s="431"/>
      <c r="CR87" s="431"/>
      <c r="CS87" s="431"/>
      <c r="CT87" s="431"/>
      <c r="CU87" s="431"/>
      <c r="CV87" s="431"/>
      <c r="CW87" s="431"/>
      <c r="CX87" s="431"/>
      <c r="CY87" s="431"/>
      <c r="CZ87" s="431"/>
      <c r="DA87" s="431"/>
      <c r="DB87" s="431"/>
      <c r="DC87" s="431"/>
      <c r="DD87" s="431"/>
      <c r="DE87" s="431"/>
      <c r="DF87" s="431"/>
      <c r="DG87" s="431"/>
      <c r="DH87" s="431"/>
      <c r="DI87" s="431"/>
      <c r="DJ87" s="431"/>
      <c r="DK87" s="431"/>
      <c r="DL87" s="431"/>
      <c r="DM87" s="431"/>
      <c r="DN87" s="431"/>
      <c r="DO87" s="431"/>
      <c r="DP87" s="431"/>
      <c r="DQ87" s="431"/>
      <c r="DR87" s="431"/>
      <c r="DS87" s="431"/>
      <c r="DT87" s="431"/>
      <c r="DU87" s="431"/>
      <c r="DV87" s="431"/>
      <c r="DW87" s="431"/>
      <c r="DX87" s="431"/>
      <c r="DY87" s="431"/>
      <c r="DZ87" s="431"/>
      <c r="EA87" s="431"/>
      <c r="EB87" s="431"/>
      <c r="EC87" s="431"/>
      <c r="ED87" s="431"/>
      <c r="EE87" s="431"/>
      <c r="EF87" s="431"/>
      <c r="EG87" s="431"/>
      <c r="EH87" s="431"/>
      <c r="EI87" s="431"/>
      <c r="EJ87" s="431"/>
      <c r="EK87" s="431"/>
      <c r="EL87" s="431"/>
      <c r="EM87" s="431"/>
      <c r="EN87" s="431"/>
      <c r="EO87" s="431"/>
      <c r="EP87" s="431"/>
      <c r="EQ87" s="431"/>
      <c r="ER87" s="431"/>
      <c r="ES87" s="431"/>
      <c r="ET87" s="431"/>
      <c r="EU87" s="431"/>
      <c r="EV87" s="431"/>
      <c r="EW87" s="431"/>
      <c r="EX87" s="431"/>
      <c r="EY87" s="431"/>
      <c r="EZ87" s="431"/>
      <c r="FA87" s="431"/>
      <c r="FB87" s="431"/>
      <c r="FC87" s="431"/>
      <c r="FD87" s="431"/>
      <c r="FE87" s="431"/>
      <c r="FF87" s="431"/>
      <c r="FG87" s="431"/>
      <c r="FH87" s="431"/>
      <c r="FI87" s="431"/>
      <c r="FJ87" s="431"/>
      <c r="FK87" s="431"/>
      <c r="FL87" s="431"/>
      <c r="FM87" s="431"/>
      <c r="FN87" s="431"/>
      <c r="FO87" s="431"/>
      <c r="FP87" s="431"/>
      <c r="FQ87" s="431"/>
      <c r="FR87" s="431"/>
      <c r="FS87" s="431"/>
      <c r="FT87" s="431"/>
      <c r="FU87" s="431"/>
      <c r="FV87" s="431"/>
      <c r="FW87" s="431"/>
      <c r="FX87" s="431"/>
      <c r="FY87" s="431"/>
      <c r="FZ87" s="431"/>
      <c r="GA87" s="431"/>
      <c r="GB87" s="431"/>
      <c r="GC87" s="431"/>
      <c r="GD87" s="431"/>
      <c r="GE87" s="431"/>
      <c r="GF87" s="431"/>
      <c r="GG87" s="431"/>
      <c r="GH87" s="431"/>
      <c r="GI87" s="431"/>
      <c r="GJ87" s="431"/>
      <c r="GK87" s="431"/>
      <c r="GL87" s="431"/>
      <c r="GM87" s="431"/>
      <c r="GN87" s="431"/>
      <c r="GO87" s="431"/>
      <c r="GP87" s="431"/>
      <c r="GQ87" s="431"/>
      <c r="GR87" s="431"/>
      <c r="GS87" s="431"/>
      <c r="GT87" s="431"/>
      <c r="GU87" s="431"/>
      <c r="GV87" s="431"/>
      <c r="GW87" s="431"/>
      <c r="GX87" s="431"/>
      <c r="GY87" s="431"/>
      <c r="GZ87" s="431"/>
      <c r="HA87" s="431"/>
      <c r="HB87" s="431"/>
      <c r="HC87" s="431"/>
      <c r="HD87" s="431"/>
      <c r="HE87" s="431"/>
      <c r="HF87" s="431"/>
      <c r="HG87" s="431"/>
      <c r="HH87" s="431"/>
      <c r="HI87" s="431"/>
      <c r="HJ87" s="431"/>
      <c r="HK87" s="431"/>
      <c r="HL87" s="431"/>
      <c r="HM87" s="431"/>
      <c r="HN87" s="431"/>
      <c r="HO87" s="431"/>
      <c r="HP87" s="431"/>
      <c r="HQ87" s="431"/>
      <c r="HR87" s="431"/>
      <c r="HS87" s="431"/>
      <c r="HT87" s="431"/>
      <c r="HU87" s="431"/>
      <c r="HV87" s="431"/>
      <c r="HW87" s="431"/>
      <c r="HX87" s="431"/>
      <c r="HY87" s="431"/>
      <c r="HZ87" s="431"/>
      <c r="IA87" s="431"/>
      <c r="IB87" s="431"/>
      <c r="IC87" s="431"/>
      <c r="ID87" s="431"/>
      <c r="IE87" s="431"/>
      <c r="IF87" s="431"/>
      <c r="IG87" s="431"/>
      <c r="IH87" s="431"/>
      <c r="II87" s="431"/>
      <c r="IJ87" s="431"/>
      <c r="IK87" s="431"/>
      <c r="IL87" s="431"/>
      <c r="IM87" s="431"/>
      <c r="IN87" s="431"/>
      <c r="IO87" s="431"/>
      <c r="IP87" s="431"/>
      <c r="IQ87" s="431"/>
      <c r="IR87" s="431"/>
      <c r="IS87" s="431"/>
      <c r="IT87" s="431"/>
      <c r="IU87" s="431"/>
      <c r="IV87" s="431"/>
    </row>
    <row r="88" spans="1:256" s="429" customFormat="1" ht="12" customHeight="1">
      <c r="A88" s="522"/>
      <c r="B88" s="428"/>
      <c r="C88" s="428"/>
      <c r="D88" s="428"/>
      <c r="E88" s="428"/>
      <c r="F88" s="428"/>
      <c r="G88" s="428"/>
      <c r="H88" s="428"/>
      <c r="I88" s="428"/>
      <c r="J88" s="428"/>
      <c r="K88" s="428"/>
      <c r="L88" s="428"/>
      <c r="M88" s="428"/>
      <c r="N88" s="428"/>
      <c r="O88" s="428"/>
      <c r="P88" s="428"/>
      <c r="Q88" s="428"/>
      <c r="R88" s="428"/>
      <c r="S88" s="428"/>
      <c r="T88" s="428"/>
      <c r="U88" s="428"/>
      <c r="V88" s="428"/>
      <c r="W88" s="428"/>
      <c r="X88" s="428"/>
      <c r="Y88" s="428"/>
      <c r="Z88" s="428"/>
      <c r="AA88" s="428"/>
      <c r="AB88" s="428"/>
      <c r="AC88" s="428"/>
      <c r="AD88" s="428"/>
      <c r="AE88" s="14"/>
      <c r="AF88" s="14"/>
      <c r="AG88" s="14"/>
    </row>
    <row r="89" spans="1:256" s="429" customFormat="1" ht="12" customHeight="1">
      <c r="A89" s="227" t="s">
        <v>83</v>
      </c>
      <c r="B89" s="428"/>
      <c r="C89" s="428"/>
      <c r="D89" s="428"/>
      <c r="E89" s="428"/>
      <c r="F89" s="428"/>
      <c r="G89" s="428"/>
      <c r="H89" s="428"/>
      <c r="I89" s="428"/>
      <c r="J89" s="428"/>
      <c r="K89" s="428"/>
      <c r="L89" s="428"/>
      <c r="M89" s="428"/>
      <c r="N89" s="428"/>
      <c r="O89" s="428"/>
      <c r="P89" s="428"/>
      <c r="Q89" s="428"/>
      <c r="R89" s="428"/>
      <c r="S89" s="428"/>
      <c r="T89" s="428"/>
      <c r="U89" s="428"/>
      <c r="V89" s="428"/>
      <c r="W89" s="428"/>
      <c r="X89" s="428"/>
      <c r="Y89" s="428"/>
      <c r="Z89" s="428"/>
      <c r="AA89" s="428"/>
      <c r="AB89" s="428"/>
      <c r="AC89" s="428"/>
      <c r="AD89" s="428"/>
      <c r="AE89" s="14"/>
      <c r="AF89" s="14"/>
      <c r="AG89" s="14"/>
    </row>
    <row r="90" spans="1:256" s="429" customFormat="1" ht="12" customHeight="1">
      <c r="A90" s="227"/>
      <c r="B90" s="428"/>
      <c r="C90" s="428"/>
      <c r="D90" s="428"/>
      <c r="E90" s="428"/>
      <c r="F90" s="428"/>
      <c r="G90" s="428"/>
      <c r="H90" s="428"/>
      <c r="I90" s="428"/>
      <c r="J90" s="428"/>
      <c r="K90" s="428"/>
      <c r="L90" s="428"/>
      <c r="M90" s="428"/>
      <c r="N90" s="428"/>
      <c r="O90" s="428"/>
      <c r="P90" s="428"/>
      <c r="Q90" s="428"/>
      <c r="R90" s="428"/>
      <c r="S90" s="428"/>
      <c r="T90" s="428"/>
      <c r="U90" s="428"/>
      <c r="V90" s="428"/>
      <c r="W90" s="428"/>
      <c r="X90" s="428"/>
      <c r="Y90" s="428"/>
      <c r="Z90" s="428"/>
      <c r="AA90" s="428"/>
      <c r="AB90" s="428"/>
      <c r="AC90" s="428"/>
      <c r="AD90" s="428"/>
      <c r="AE90" s="14"/>
      <c r="AF90" s="14"/>
      <c r="AG90" s="14"/>
    </row>
    <row r="91" spans="1:256" outlineLevel="1">
      <c r="A91" s="21" t="s">
        <v>277</v>
      </c>
      <c r="B91" s="20">
        <f>B40-B12</f>
        <v>1265.727834588437</v>
      </c>
      <c r="C91" s="20">
        <f>C40-C12</f>
        <v>1295.9175067243996</v>
      </c>
      <c r="D91" s="20">
        <f>D40-D12</f>
        <v>1428.6067898109923</v>
      </c>
      <c r="E91" s="20">
        <f t="shared" ref="E91:U91" si="24">E40</f>
        <v>16996.400780955817</v>
      </c>
      <c r="F91" s="20">
        <f t="shared" si="24"/>
        <v>19327.705328236683</v>
      </c>
      <c r="G91" s="20">
        <f t="shared" si="24"/>
        <v>20435.84305411722</v>
      </c>
      <c r="H91" s="20">
        <f t="shared" si="24"/>
        <v>21567.350405921105</v>
      </c>
      <c r="I91" s="20">
        <f t="shared" si="24"/>
        <v>22799.574411827562</v>
      </c>
      <c r="J91" s="20">
        <f t="shared" si="24"/>
        <v>24284.882048232124</v>
      </c>
      <c r="K91" s="20">
        <f t="shared" si="24"/>
        <v>25940.406328202007</v>
      </c>
      <c r="L91" s="20">
        <f t="shared" si="24"/>
        <v>27091.178838783308</v>
      </c>
      <c r="M91" s="20">
        <f t="shared" si="24"/>
        <v>28477.613054221802</v>
      </c>
      <c r="N91" s="20">
        <f t="shared" si="24"/>
        <v>29913.111706877378</v>
      </c>
      <c r="O91" s="20">
        <f t="shared" si="24"/>
        <v>31331.309635465121</v>
      </c>
      <c r="P91" s="20">
        <f t="shared" si="24"/>
        <v>32765.866491866749</v>
      </c>
      <c r="Q91" s="20">
        <f t="shared" si="24"/>
        <v>34349.117523811401</v>
      </c>
      <c r="R91" s="20">
        <f t="shared" si="24"/>
        <v>35998.48473092162</v>
      </c>
      <c r="S91" s="20">
        <f t="shared" si="24"/>
        <v>37597.84960996297</v>
      </c>
      <c r="T91" s="20">
        <f t="shared" si="24"/>
        <v>39068.740803937675</v>
      </c>
      <c r="U91" s="20">
        <f t="shared" si="24"/>
        <v>40545.813234298257</v>
      </c>
      <c r="W91" s="424">
        <f>SUM(B91:U91)</f>
        <v>492481.5001187626</v>
      </c>
    </row>
    <row r="92" spans="1:256" outlineLevel="1">
      <c r="A92" s="21" t="s">
        <v>133</v>
      </c>
      <c r="B92" s="20">
        <f>B34</f>
        <v>5903.2332392352309</v>
      </c>
      <c r="C92" s="20">
        <f t="shared" ref="C92:U92" si="25">C34</f>
        <v>5903.2332392352309</v>
      </c>
      <c r="D92" s="20">
        <f t="shared" si="25"/>
        <v>5903.2332392352309</v>
      </c>
      <c r="E92" s="20">
        <f t="shared" si="25"/>
        <v>5903.2332392352309</v>
      </c>
      <c r="F92" s="20">
        <f t="shared" si="25"/>
        <v>5903.2332392352309</v>
      </c>
      <c r="G92" s="20">
        <f t="shared" si="25"/>
        <v>5903.2332392352309</v>
      </c>
      <c r="H92" s="20">
        <f t="shared" si="25"/>
        <v>5903.2332392352309</v>
      </c>
      <c r="I92" s="20">
        <f t="shared" si="25"/>
        <v>5903.2332392352309</v>
      </c>
      <c r="J92" s="20">
        <f t="shared" si="25"/>
        <v>5903.2332392352309</v>
      </c>
      <c r="K92" s="20">
        <f t="shared" si="25"/>
        <v>5903.2332392352309</v>
      </c>
      <c r="L92" s="20">
        <f t="shared" si="25"/>
        <v>5903.2332392352309</v>
      </c>
      <c r="M92" s="20">
        <f t="shared" si="25"/>
        <v>5903.2332392352309</v>
      </c>
      <c r="N92" s="20">
        <f t="shared" si="25"/>
        <v>5903.2332392352309</v>
      </c>
      <c r="O92" s="20">
        <f t="shared" si="25"/>
        <v>5903.2332392352309</v>
      </c>
      <c r="P92" s="20">
        <f t="shared" si="25"/>
        <v>5903.2332392352309</v>
      </c>
      <c r="Q92" s="20">
        <f t="shared" si="25"/>
        <v>5903.2332392352309</v>
      </c>
      <c r="R92" s="20">
        <f t="shared" si="25"/>
        <v>5903.2332392352309</v>
      </c>
      <c r="S92" s="20">
        <f t="shared" si="25"/>
        <v>5903.2332392352309</v>
      </c>
      <c r="T92" s="20">
        <f t="shared" si="25"/>
        <v>5903.2332392352309</v>
      </c>
      <c r="U92" s="20">
        <f t="shared" si="25"/>
        <v>5903.2332392352309</v>
      </c>
      <c r="W92" s="424">
        <f>SUM(B92:U92)</f>
        <v>118064.66478470458</v>
      </c>
    </row>
    <row r="93" spans="1:256" ht="15" outlineLevel="1">
      <c r="A93" s="21" t="s">
        <v>203</v>
      </c>
      <c r="B93" s="230">
        <f>-Depreciation!C93</f>
        <v>-8398.2990351318585</v>
      </c>
      <c r="C93" s="230">
        <f>-Depreciation!D93</f>
        <v>-15956.768166750531</v>
      </c>
      <c r="D93" s="230">
        <f>-Depreciation!E93</f>
        <v>-14361.09135007548</v>
      </c>
      <c r="E93" s="230">
        <f>-Depreciation!F93</f>
        <v>-12933.380514103063</v>
      </c>
      <c r="F93" s="230">
        <f>-Depreciation!G93</f>
        <v>-11640.042462692756</v>
      </c>
      <c r="G93" s="230">
        <f>-Depreciation!H93</f>
        <v>-10464.280597774296</v>
      </c>
      <c r="H93" s="230">
        <f>-Depreciation!I93</f>
        <v>-9909.992861455592</v>
      </c>
      <c r="I93" s="230">
        <f>-Depreciation!J93</f>
        <v>-9926.7894595258567</v>
      </c>
      <c r="J93" s="230">
        <f>-Depreciation!K93</f>
        <v>-9909.992861455592</v>
      </c>
      <c r="K93" s="230">
        <f>-Depreciation!L93</f>
        <v>-9926.7894595258567</v>
      </c>
      <c r="L93" s="230">
        <f>-Depreciation!M93</f>
        <v>-9909.992861455592</v>
      </c>
      <c r="M93" s="230">
        <f>-Depreciation!N93</f>
        <v>-9926.7894595258567</v>
      </c>
      <c r="N93" s="230">
        <f>-Depreciation!O93</f>
        <v>-9909.992861455592</v>
      </c>
      <c r="O93" s="230">
        <f>-Depreciation!P93</f>
        <v>-9926.7894595258567</v>
      </c>
      <c r="P93" s="230">
        <f>-Depreciation!Q93</f>
        <v>-9909.992861455592</v>
      </c>
      <c r="Q93" s="230">
        <f>-Depreciation!R93</f>
        <v>-4954.996430727796</v>
      </c>
      <c r="R93" s="230">
        <f>-Depreciation!S93</f>
        <v>0</v>
      </c>
      <c r="S93" s="230">
        <f>-Depreciation!T93</f>
        <v>0</v>
      </c>
      <c r="T93" s="230">
        <f>-Depreciation!U93</f>
        <v>0</v>
      </c>
      <c r="U93" s="230">
        <f>-Depreciation!V93</f>
        <v>0</v>
      </c>
      <c r="W93" s="425">
        <f>SUM(B93:U93)</f>
        <v>-167965.9807026372</v>
      </c>
    </row>
    <row r="94" spans="1:256" outlineLevel="1">
      <c r="A94" s="229" t="s">
        <v>132</v>
      </c>
      <c r="B94" s="22">
        <f t="shared" ref="B94:U94" si="26">SUM(B91:B93)</f>
        <v>-1229.3379613081906</v>
      </c>
      <c r="C94" s="22">
        <f t="shared" si="26"/>
        <v>-8757.6174207909007</v>
      </c>
      <c r="D94" s="22">
        <f t="shared" si="26"/>
        <v>-7029.2513210292564</v>
      </c>
      <c r="E94" s="22">
        <f t="shared" si="26"/>
        <v>9966.2535060879873</v>
      </c>
      <c r="F94" s="22">
        <f t="shared" si="26"/>
        <v>13590.89610477916</v>
      </c>
      <c r="G94" s="22">
        <f t="shared" si="26"/>
        <v>15874.795695578157</v>
      </c>
      <c r="H94" s="22">
        <f t="shared" si="26"/>
        <v>17560.590783700747</v>
      </c>
      <c r="I94" s="22">
        <f t="shared" si="26"/>
        <v>18776.018191536939</v>
      </c>
      <c r="J94" s="22">
        <f t="shared" si="26"/>
        <v>20278.122426011767</v>
      </c>
      <c r="K94" s="22">
        <f t="shared" si="26"/>
        <v>21916.850107911385</v>
      </c>
      <c r="L94" s="22">
        <f t="shared" si="26"/>
        <v>23084.41921656295</v>
      </c>
      <c r="M94" s="22">
        <f t="shared" si="26"/>
        <v>24454.056833931179</v>
      </c>
      <c r="N94" s="22">
        <f t="shared" si="26"/>
        <v>25906.352084657017</v>
      </c>
      <c r="O94" s="22">
        <f t="shared" si="26"/>
        <v>27307.753415174499</v>
      </c>
      <c r="P94" s="22">
        <f t="shared" si="26"/>
        <v>28759.106869646392</v>
      </c>
      <c r="Q94" s="22">
        <f t="shared" si="26"/>
        <v>35297.354332318835</v>
      </c>
      <c r="R94" s="22">
        <f t="shared" si="26"/>
        <v>41901.717970156853</v>
      </c>
      <c r="S94" s="22">
        <f t="shared" si="26"/>
        <v>43501.082849198203</v>
      </c>
      <c r="T94" s="22">
        <f t="shared" si="26"/>
        <v>44971.974043172908</v>
      </c>
      <c r="U94" s="22">
        <f t="shared" si="26"/>
        <v>46449.04647353349</v>
      </c>
      <c r="W94" s="424">
        <f>SUM(B94:U94)</f>
        <v>442580.18420083012</v>
      </c>
    </row>
    <row r="95" spans="1:256" outlineLevel="1">
      <c r="A95" s="21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56" outlineLevel="1">
      <c r="A96" s="21" t="s">
        <v>39</v>
      </c>
      <c r="B96" s="422">
        <f>Assumptions!$H$39</f>
        <v>4.4999999999999998E-2</v>
      </c>
      <c r="C96" s="422">
        <f>Assumptions!$H$39</f>
        <v>4.4999999999999998E-2</v>
      </c>
      <c r="D96" s="422">
        <f>Assumptions!$H$39</f>
        <v>4.4999999999999998E-2</v>
      </c>
      <c r="E96" s="422">
        <f>Assumptions!$H$39</f>
        <v>4.4999999999999998E-2</v>
      </c>
      <c r="F96" s="422">
        <f>Assumptions!$H$39</f>
        <v>4.4999999999999998E-2</v>
      </c>
      <c r="G96" s="422">
        <f>Assumptions!$H$39</f>
        <v>4.4999999999999998E-2</v>
      </c>
      <c r="H96" s="422">
        <f>Assumptions!$H$39</f>
        <v>4.4999999999999998E-2</v>
      </c>
      <c r="I96" s="422">
        <f>Assumptions!$H$39</f>
        <v>4.4999999999999998E-2</v>
      </c>
      <c r="J96" s="422">
        <f>Assumptions!$H$39</f>
        <v>4.4999999999999998E-2</v>
      </c>
      <c r="K96" s="422">
        <f>Assumptions!$H$39</f>
        <v>4.4999999999999998E-2</v>
      </c>
      <c r="L96" s="422">
        <f>Assumptions!$H$39</f>
        <v>4.4999999999999998E-2</v>
      </c>
      <c r="M96" s="422">
        <f>Assumptions!$H$39</f>
        <v>4.4999999999999998E-2</v>
      </c>
      <c r="N96" s="422">
        <f>Assumptions!$H$39</f>
        <v>4.4999999999999998E-2</v>
      </c>
      <c r="O96" s="422">
        <f>Assumptions!$H$39</f>
        <v>4.4999999999999998E-2</v>
      </c>
      <c r="P96" s="422">
        <f>Assumptions!$H$39</f>
        <v>4.4999999999999998E-2</v>
      </c>
      <c r="Q96" s="422">
        <f>Assumptions!$H$39</f>
        <v>4.4999999999999998E-2</v>
      </c>
      <c r="R96" s="422">
        <f>Assumptions!$H$39</f>
        <v>4.4999999999999998E-2</v>
      </c>
      <c r="S96" s="422">
        <f>Assumptions!$H$39</f>
        <v>4.4999999999999998E-2</v>
      </c>
      <c r="T96" s="422">
        <f>Assumptions!$H$39</f>
        <v>4.4999999999999998E-2</v>
      </c>
      <c r="U96" s="422">
        <f>Assumptions!$H$39</f>
        <v>4.4999999999999998E-2</v>
      </c>
    </row>
    <row r="97" spans="1:23" outlineLevel="1">
      <c r="A97" s="21" t="s">
        <v>134</v>
      </c>
      <c r="B97" s="20">
        <f>B94*B96</f>
        <v>-55.320208258868576</v>
      </c>
      <c r="C97" s="20">
        <f t="shared" ref="C97:U97" si="27">C94*C96</f>
        <v>-394.09278393559055</v>
      </c>
      <c r="D97" s="20">
        <f t="shared" si="27"/>
        <v>-316.31630944631655</v>
      </c>
      <c r="E97" s="20">
        <f t="shared" si="27"/>
        <v>448.4814077739594</v>
      </c>
      <c r="F97" s="20">
        <f t="shared" si="27"/>
        <v>611.59032471506214</v>
      </c>
      <c r="G97" s="20">
        <f t="shared" si="27"/>
        <v>714.36580630101707</v>
      </c>
      <c r="H97" s="20">
        <f t="shared" si="27"/>
        <v>790.22658526653356</v>
      </c>
      <c r="I97" s="20">
        <f t="shared" si="27"/>
        <v>844.92081861916222</v>
      </c>
      <c r="J97" s="20">
        <f t="shared" si="27"/>
        <v>912.51550917052953</v>
      </c>
      <c r="K97" s="20">
        <f t="shared" si="27"/>
        <v>986.25825485601229</v>
      </c>
      <c r="L97" s="20">
        <f t="shared" si="27"/>
        <v>1038.7988647453328</v>
      </c>
      <c r="M97" s="20">
        <f t="shared" si="27"/>
        <v>1100.4325575269031</v>
      </c>
      <c r="N97" s="20">
        <f t="shared" si="27"/>
        <v>1165.7858438095657</v>
      </c>
      <c r="O97" s="20">
        <f t="shared" si="27"/>
        <v>1228.8489036828523</v>
      </c>
      <c r="P97" s="20">
        <f t="shared" si="27"/>
        <v>1294.1598091340875</v>
      </c>
      <c r="Q97" s="20">
        <f t="shared" si="27"/>
        <v>1588.3809449543476</v>
      </c>
      <c r="R97" s="20">
        <f t="shared" si="27"/>
        <v>1885.5773086570582</v>
      </c>
      <c r="S97" s="20">
        <f t="shared" si="27"/>
        <v>1957.548728213919</v>
      </c>
      <c r="T97" s="20">
        <f t="shared" si="27"/>
        <v>2023.7388319427807</v>
      </c>
      <c r="U97" s="20">
        <f t="shared" si="27"/>
        <v>2090.207091309007</v>
      </c>
    </row>
    <row r="98" spans="1:23" outlineLevel="1">
      <c r="A98" s="21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</row>
    <row r="99" spans="1:23" outlineLevel="1">
      <c r="A99" s="21" t="s">
        <v>135</v>
      </c>
      <c r="B99" s="20">
        <v>0</v>
      </c>
      <c r="C99" s="20">
        <f t="shared" ref="C99:U99" si="28">B103</f>
        <v>55.320208258868576</v>
      </c>
      <c r="D99" s="20">
        <f t="shared" si="28"/>
        <v>449.41299219445909</v>
      </c>
      <c r="E99" s="20">
        <f t="shared" si="28"/>
        <v>765.7293016407757</v>
      </c>
      <c r="F99" s="20">
        <f t="shared" si="28"/>
        <v>317.2478938668163</v>
      </c>
      <c r="G99" s="20">
        <f t="shared" si="28"/>
        <v>0</v>
      </c>
      <c r="H99" s="20">
        <f t="shared" si="28"/>
        <v>0</v>
      </c>
      <c r="I99" s="20">
        <f t="shared" si="28"/>
        <v>0</v>
      </c>
      <c r="J99" s="20">
        <f t="shared" si="28"/>
        <v>0</v>
      </c>
      <c r="K99" s="20">
        <f t="shared" si="28"/>
        <v>0</v>
      </c>
      <c r="L99" s="20">
        <f t="shared" si="28"/>
        <v>0</v>
      </c>
      <c r="M99" s="20">
        <f t="shared" si="28"/>
        <v>0</v>
      </c>
      <c r="N99" s="20">
        <f>M103</f>
        <v>0</v>
      </c>
      <c r="O99" s="20">
        <f t="shared" si="28"/>
        <v>0</v>
      </c>
      <c r="P99" s="20">
        <f t="shared" si="28"/>
        <v>0</v>
      </c>
      <c r="Q99" s="20">
        <f t="shared" si="28"/>
        <v>0</v>
      </c>
      <c r="R99" s="20">
        <v>0</v>
      </c>
      <c r="S99" s="20">
        <f t="shared" si="28"/>
        <v>0</v>
      </c>
      <c r="T99" s="20">
        <f t="shared" si="28"/>
        <v>0</v>
      </c>
      <c r="U99" s="20">
        <f t="shared" si="28"/>
        <v>0</v>
      </c>
    </row>
    <row r="100" spans="1:23" outlineLevel="1">
      <c r="A100" s="21" t="s">
        <v>136</v>
      </c>
      <c r="B100" s="241">
        <f t="shared" ref="B100:U100" si="29">IF(B69&gt;2020,0,IF(B97&lt;0,-B97,0))</f>
        <v>55.320208258868576</v>
      </c>
      <c r="C100" s="241">
        <f t="shared" si="29"/>
        <v>394.09278393559055</v>
      </c>
      <c r="D100" s="241">
        <f t="shared" si="29"/>
        <v>316.31630944631655</v>
      </c>
      <c r="E100" s="241">
        <f t="shared" si="29"/>
        <v>0</v>
      </c>
      <c r="F100" s="241">
        <f t="shared" si="29"/>
        <v>0</v>
      </c>
      <c r="G100" s="241">
        <f t="shared" si="29"/>
        <v>0</v>
      </c>
      <c r="H100" s="241">
        <f t="shared" si="29"/>
        <v>0</v>
      </c>
      <c r="I100" s="241">
        <f t="shared" si="29"/>
        <v>0</v>
      </c>
      <c r="J100" s="241">
        <f t="shared" si="29"/>
        <v>0</v>
      </c>
      <c r="K100" s="241">
        <f t="shared" si="29"/>
        <v>0</v>
      </c>
      <c r="L100" s="241">
        <f t="shared" si="29"/>
        <v>0</v>
      </c>
      <c r="M100" s="241">
        <f t="shared" si="29"/>
        <v>0</v>
      </c>
      <c r="N100" s="241">
        <f t="shared" si="29"/>
        <v>0</v>
      </c>
      <c r="O100" s="241">
        <f t="shared" si="29"/>
        <v>0</v>
      </c>
      <c r="P100" s="241">
        <f t="shared" si="29"/>
        <v>0</v>
      </c>
      <c r="Q100" s="241">
        <f t="shared" si="29"/>
        <v>0</v>
      </c>
      <c r="R100" s="241">
        <f t="shared" si="29"/>
        <v>0</v>
      </c>
      <c r="S100" s="241">
        <f t="shared" si="29"/>
        <v>0</v>
      </c>
      <c r="T100" s="241">
        <f t="shared" si="29"/>
        <v>0</v>
      </c>
      <c r="U100" s="241">
        <f t="shared" si="29"/>
        <v>0</v>
      </c>
    </row>
    <row r="101" spans="1:23" outlineLevel="1">
      <c r="A101" s="21" t="s">
        <v>137</v>
      </c>
      <c r="B101" s="231">
        <v>0</v>
      </c>
      <c r="C101" s="231">
        <v>0</v>
      </c>
      <c r="D101" s="231">
        <v>0</v>
      </c>
      <c r="E101" s="231">
        <v>0</v>
      </c>
      <c r="F101" s="231">
        <v>0</v>
      </c>
      <c r="G101" s="231">
        <v>0</v>
      </c>
      <c r="H101" s="231">
        <v>0</v>
      </c>
      <c r="I101" s="231">
        <v>0</v>
      </c>
      <c r="J101" s="231">
        <v>0</v>
      </c>
      <c r="K101" s="231">
        <v>0</v>
      </c>
      <c r="L101" s="231">
        <v>0</v>
      </c>
      <c r="M101" s="231">
        <v>0</v>
      </c>
      <c r="N101" s="231">
        <v>0</v>
      </c>
      <c r="O101" s="231">
        <v>0</v>
      </c>
      <c r="P101" s="231">
        <v>0</v>
      </c>
      <c r="Q101" s="231">
        <v>0</v>
      </c>
      <c r="R101" s="231">
        <v>0</v>
      </c>
      <c r="S101" s="231">
        <v>0</v>
      </c>
      <c r="T101" s="20">
        <f>IF(L100&gt;(SUM(M102:S102)+SUM(L101:S101))*-1,L100-(SUM(L102:S102)+SUM(L101:S101))*-1,0)</f>
        <v>0</v>
      </c>
      <c r="U101" s="20">
        <f>IF(M100&gt;(SUM(N102:T102)+SUM(M101:T101))*-1,M100-(SUM(M102:T102)+SUM(M101:T101))*-1,0)</f>
        <v>0</v>
      </c>
    </row>
    <row r="102" spans="1:23" outlineLevel="1">
      <c r="A102" s="17" t="s">
        <v>138</v>
      </c>
      <c r="B102" s="232">
        <f t="shared" ref="B102:T102" si="30">IF(B97&lt;0,0,IF(B99&gt;B97,-B97,-B99))</f>
        <v>0</v>
      </c>
      <c r="C102" s="232">
        <f t="shared" si="30"/>
        <v>0</v>
      </c>
      <c r="D102" s="232">
        <f t="shared" si="30"/>
        <v>0</v>
      </c>
      <c r="E102" s="232">
        <f t="shared" si="30"/>
        <v>-448.4814077739594</v>
      </c>
      <c r="F102" s="232">
        <f t="shared" si="30"/>
        <v>-317.2478938668163</v>
      </c>
      <c r="G102" s="232">
        <f t="shared" si="30"/>
        <v>0</v>
      </c>
      <c r="H102" s="232">
        <f t="shared" si="30"/>
        <v>0</v>
      </c>
      <c r="I102" s="232">
        <f t="shared" si="30"/>
        <v>0</v>
      </c>
      <c r="J102" s="232">
        <f t="shared" si="30"/>
        <v>0</v>
      </c>
      <c r="K102" s="232">
        <f t="shared" si="30"/>
        <v>0</v>
      </c>
      <c r="L102" s="232">
        <f t="shared" si="30"/>
        <v>0</v>
      </c>
      <c r="M102" s="232">
        <f t="shared" si="30"/>
        <v>0</v>
      </c>
      <c r="N102" s="232">
        <f t="shared" si="30"/>
        <v>0</v>
      </c>
      <c r="O102" s="232">
        <f t="shared" si="30"/>
        <v>0</v>
      </c>
      <c r="P102" s="232">
        <f t="shared" si="30"/>
        <v>0</v>
      </c>
      <c r="Q102" s="232">
        <f t="shared" si="30"/>
        <v>0</v>
      </c>
      <c r="R102" s="232">
        <f t="shared" si="30"/>
        <v>0</v>
      </c>
      <c r="S102" s="232">
        <f t="shared" si="30"/>
        <v>0</v>
      </c>
      <c r="T102" s="232">
        <f t="shared" si="30"/>
        <v>0</v>
      </c>
      <c r="U102" s="232">
        <f>IF(U97&lt;0,0,IF(U99&gt;U97,-U97,-U99))</f>
        <v>0</v>
      </c>
    </row>
    <row r="103" spans="1:23" outlineLevel="1">
      <c r="A103" s="17" t="s">
        <v>139</v>
      </c>
      <c r="B103" s="232">
        <f t="shared" ref="B103:U103" si="31">SUM(B99:B102)</f>
        <v>55.320208258868576</v>
      </c>
      <c r="C103" s="232">
        <f t="shared" si="31"/>
        <v>449.41299219445909</v>
      </c>
      <c r="D103" s="232">
        <f t="shared" si="31"/>
        <v>765.7293016407757</v>
      </c>
      <c r="E103" s="232">
        <f t="shared" si="31"/>
        <v>317.2478938668163</v>
      </c>
      <c r="F103" s="232">
        <f t="shared" si="31"/>
        <v>0</v>
      </c>
      <c r="G103" s="232">
        <f t="shared" si="31"/>
        <v>0</v>
      </c>
      <c r="H103" s="232">
        <f t="shared" si="31"/>
        <v>0</v>
      </c>
      <c r="I103" s="232">
        <f t="shared" si="31"/>
        <v>0</v>
      </c>
      <c r="J103" s="232">
        <f t="shared" si="31"/>
        <v>0</v>
      </c>
      <c r="K103" s="232">
        <f t="shared" si="31"/>
        <v>0</v>
      </c>
      <c r="L103" s="232">
        <f t="shared" si="31"/>
        <v>0</v>
      </c>
      <c r="M103" s="232">
        <f t="shared" si="31"/>
        <v>0</v>
      </c>
      <c r="N103" s="232">
        <f t="shared" si="31"/>
        <v>0</v>
      </c>
      <c r="O103" s="232">
        <f t="shared" si="31"/>
        <v>0</v>
      </c>
      <c r="P103" s="232">
        <f t="shared" si="31"/>
        <v>0</v>
      </c>
      <c r="Q103" s="232">
        <f t="shared" si="31"/>
        <v>0</v>
      </c>
      <c r="R103" s="232">
        <f t="shared" si="31"/>
        <v>0</v>
      </c>
      <c r="S103" s="232">
        <f t="shared" si="31"/>
        <v>0</v>
      </c>
      <c r="T103" s="232">
        <f t="shared" si="31"/>
        <v>0</v>
      </c>
      <c r="U103" s="232">
        <f t="shared" si="31"/>
        <v>0</v>
      </c>
    </row>
    <row r="104" spans="1:23" outlineLevel="1">
      <c r="A104" s="17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</row>
    <row r="105" spans="1:23" ht="13.5" outlineLevel="1" thickBot="1">
      <c r="A105" s="32" t="s">
        <v>131</v>
      </c>
      <c r="B105" s="412">
        <f>IF(B97&lt;0,0,B97+B102)</f>
        <v>0</v>
      </c>
      <c r="C105" s="412">
        <f t="shared" ref="C105:U105" si="32">IF(C97&lt;0,0,C97+C102)</f>
        <v>0</v>
      </c>
      <c r="D105" s="412">
        <f t="shared" si="32"/>
        <v>0</v>
      </c>
      <c r="E105" s="412">
        <f t="shared" si="32"/>
        <v>0</v>
      </c>
      <c r="F105" s="412">
        <f t="shared" si="32"/>
        <v>294.34243084824584</v>
      </c>
      <c r="G105" s="412">
        <f t="shared" si="32"/>
        <v>714.36580630101707</v>
      </c>
      <c r="H105" s="412">
        <f t="shared" si="32"/>
        <v>790.22658526653356</v>
      </c>
      <c r="I105" s="412">
        <f t="shared" si="32"/>
        <v>844.92081861916222</v>
      </c>
      <c r="J105" s="412">
        <f t="shared" si="32"/>
        <v>912.51550917052953</v>
      </c>
      <c r="K105" s="412">
        <f t="shared" si="32"/>
        <v>986.25825485601229</v>
      </c>
      <c r="L105" s="412">
        <f t="shared" si="32"/>
        <v>1038.7988647453328</v>
      </c>
      <c r="M105" s="412">
        <f t="shared" si="32"/>
        <v>1100.4325575269031</v>
      </c>
      <c r="N105" s="412">
        <f t="shared" si="32"/>
        <v>1165.7858438095657</v>
      </c>
      <c r="O105" s="412">
        <f t="shared" si="32"/>
        <v>1228.8489036828523</v>
      </c>
      <c r="P105" s="412">
        <f t="shared" si="32"/>
        <v>1294.1598091340875</v>
      </c>
      <c r="Q105" s="412">
        <f t="shared" si="32"/>
        <v>1588.3809449543476</v>
      </c>
      <c r="R105" s="412">
        <f t="shared" si="32"/>
        <v>1885.5773086570582</v>
      </c>
      <c r="S105" s="412">
        <f t="shared" si="32"/>
        <v>1957.548728213919</v>
      </c>
      <c r="T105" s="412">
        <f t="shared" si="32"/>
        <v>2023.7388319427807</v>
      </c>
      <c r="U105" s="412">
        <f t="shared" si="32"/>
        <v>2090.207091309007</v>
      </c>
      <c r="W105" s="404">
        <f>SUM(B105:U105)</f>
        <v>19916.108289037355</v>
      </c>
    </row>
    <row r="106" spans="1:23" ht="14.25" customHeight="1" outlineLevel="1" thickTop="1">
      <c r="A106" s="80"/>
      <c r="B106" s="69"/>
      <c r="C106" s="6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</row>
    <row r="107" spans="1:23" ht="13.5" outlineLevel="1" thickBot="1">
      <c r="A107" s="32" t="s">
        <v>249</v>
      </c>
      <c r="B107" s="412">
        <f>B86+B105</f>
        <v>296.48996776542862</v>
      </c>
      <c r="C107" s="412">
        <f t="shared" ref="C107:U107" si="33">C86+C105</f>
        <v>297.14384874839141</v>
      </c>
      <c r="D107" s="412">
        <f t="shared" si="33"/>
        <v>297.8207467523431</v>
      </c>
      <c r="E107" s="412">
        <f t="shared" si="33"/>
        <v>577.87762655249787</v>
      </c>
      <c r="F107" s="412">
        <f t="shared" si="33"/>
        <v>951.48441200829313</v>
      </c>
      <c r="G107" s="412">
        <f t="shared" si="33"/>
        <v>1409.1844701410027</v>
      </c>
      <c r="H107" s="412">
        <f t="shared" si="33"/>
        <v>1523.5164990678513</v>
      </c>
      <c r="I107" s="412">
        <f t="shared" si="33"/>
        <v>1620.1063486212993</v>
      </c>
      <c r="J107" s="412">
        <f t="shared" si="33"/>
        <v>1738.201498810422</v>
      </c>
      <c r="K107" s="412">
        <f t="shared" si="33"/>
        <v>1868.2320700148807</v>
      </c>
      <c r="L107" s="412">
        <f t="shared" si="33"/>
        <v>1959.8989452639653</v>
      </c>
      <c r="M107" s="412">
        <f t="shared" si="33"/>
        <v>2068.6714013704445</v>
      </c>
      <c r="N107" s="412">
        <f t="shared" si="33"/>
        <v>2182.8316418433965</v>
      </c>
      <c r="O107" s="412">
        <f t="shared" si="33"/>
        <v>2294.1134312886666</v>
      </c>
      <c r="P107" s="412">
        <f t="shared" si="33"/>
        <v>2408.1992698575568</v>
      </c>
      <c r="Q107" s="412">
        <f t="shared" si="33"/>
        <v>2756.2509407639354</v>
      </c>
      <c r="R107" s="412">
        <f t="shared" si="33"/>
        <v>3109.5257895083932</v>
      </c>
      <c r="S107" s="412">
        <f t="shared" si="33"/>
        <v>3235.8756149526598</v>
      </c>
      <c r="T107" s="412">
        <f t="shared" si="33"/>
        <v>3352.076019276662</v>
      </c>
      <c r="U107" s="412">
        <f t="shared" si="33"/>
        <v>3468.7647412751476</v>
      </c>
      <c r="W107" s="404">
        <f>SUM(B107:U107)</f>
        <v>37416.265283883236</v>
      </c>
    </row>
    <row r="108" spans="1:23" ht="13.5" outlineLevel="1" thickTop="1">
      <c r="A108" s="80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</row>
    <row r="109" spans="1:23" outlineLevel="1">
      <c r="A109" s="83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</row>
    <row r="110" spans="1:23" outlineLevel="1">
      <c r="A110" s="83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</row>
    <row r="111" spans="1:23" outlineLevel="1">
      <c r="A111" s="524"/>
      <c r="B111" s="524"/>
      <c r="C111" s="524"/>
      <c r="D111" s="524"/>
      <c r="E111" s="524"/>
      <c r="F111" s="524"/>
      <c r="G111" s="524"/>
      <c r="H111" s="524"/>
      <c r="I111" s="524"/>
      <c r="J111" s="524"/>
      <c r="K111" s="524"/>
      <c r="L111" s="524"/>
      <c r="M111" s="524"/>
      <c r="N111" s="524"/>
      <c r="O111" s="524"/>
      <c r="P111" s="524"/>
      <c r="Q111" s="524"/>
      <c r="R111" s="524"/>
      <c r="S111" s="524"/>
      <c r="T111" s="524"/>
      <c r="U111" s="524"/>
    </row>
    <row r="112" spans="1:23" outlineLevel="1">
      <c r="A112" s="78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</row>
    <row r="113" spans="1:21" outlineLevel="1">
      <c r="A113" s="527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</row>
    <row r="114" spans="1:21" outlineLevel="1">
      <c r="A114" s="528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</row>
    <row r="115" spans="1:21" outlineLevel="1">
      <c r="A115" s="7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</row>
    <row r="116" spans="1:21" ht="18.75" outlineLevel="1">
      <c r="A116" s="84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</row>
    <row r="117" spans="1:21" outlineLevel="1">
      <c r="A117" s="57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</row>
    <row r="118" spans="1:21" outlineLevel="1">
      <c r="A118" s="57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</row>
    <row r="119" spans="1:21" outlineLevel="1">
      <c r="A119" s="7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</row>
    <row r="120" spans="1:21" outlineLevel="1">
      <c r="A120" s="7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</row>
    <row r="121" spans="1:21" outlineLevel="1">
      <c r="A121" s="2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</row>
    <row r="122" spans="1:21" outlineLevel="1">
      <c r="A122" s="80"/>
      <c r="B122" s="69"/>
      <c r="C122" s="6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</row>
    <row r="123" spans="1:21" outlineLevel="1">
      <c r="A123" s="79"/>
      <c r="B123" s="69"/>
      <c r="C123" s="6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</row>
    <row r="124" spans="1:21" outlineLevel="1">
      <c r="A124" s="79"/>
      <c r="B124" s="69"/>
      <c r="C124" s="6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</row>
    <row r="125" spans="1:21" outlineLevel="1">
      <c r="A125" s="78"/>
      <c r="B125" s="69"/>
      <c r="C125" s="6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</row>
    <row r="126" spans="1:21" outlineLevel="1">
      <c r="A126" s="69"/>
      <c r="B126" s="69"/>
      <c r="C126" s="6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</row>
    <row r="127" spans="1:21" outlineLevel="1">
      <c r="A127" s="80"/>
      <c r="B127" s="69"/>
      <c r="C127" s="6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</row>
    <row r="128" spans="1:21" outlineLevel="1">
      <c r="A128" s="79"/>
      <c r="B128" s="69"/>
      <c r="C128" s="6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</row>
    <row r="129" spans="1:21" outlineLevel="1">
      <c r="A129" s="79"/>
      <c r="B129" s="69"/>
      <c r="C129" s="6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</row>
    <row r="130" spans="1:21" outlineLevel="1">
      <c r="A130" s="79"/>
      <c r="B130" s="69"/>
      <c r="C130" s="6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</row>
    <row r="131" spans="1:21" outlineLevel="1">
      <c r="A131" s="79"/>
      <c r="B131" s="69"/>
      <c r="C131" s="6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</row>
    <row r="132" spans="1:21" outlineLevel="1">
      <c r="A132" s="69"/>
      <c r="B132" s="69"/>
      <c r="C132" s="6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</row>
    <row r="133" spans="1:21" outlineLevel="1">
      <c r="A133" s="80"/>
      <c r="B133" s="69"/>
      <c r="C133" s="6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</row>
    <row r="134" spans="1:21" outlineLevel="1">
      <c r="A134" s="69"/>
      <c r="B134" s="69"/>
      <c r="C134" s="6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</row>
    <row r="135" spans="1:21" outlineLevel="1">
      <c r="A135" s="80"/>
      <c r="B135" s="69"/>
      <c r="C135" s="6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</row>
    <row r="136" spans="1:21" outlineLevel="1">
      <c r="A136" s="79"/>
      <c r="B136" s="69"/>
      <c r="C136" s="6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</row>
    <row r="137" spans="1:21" outlineLevel="1">
      <c r="A137" s="80"/>
      <c r="B137" s="69"/>
      <c r="C137" s="6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</row>
    <row r="138" spans="1:21" outlineLevel="1">
      <c r="A138" s="82"/>
      <c r="B138" s="69"/>
      <c r="C138" s="6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</row>
    <row r="139" spans="1:21" outlineLevel="1">
      <c r="A139" s="79"/>
      <c r="B139" s="69"/>
      <c r="C139" s="6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</row>
    <row r="140" spans="1:21" outlineLevel="1">
      <c r="A140" s="78"/>
      <c r="B140" s="69"/>
      <c r="C140" s="6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</row>
    <row r="141" spans="1:21" outlineLevel="1">
      <c r="A141" s="79"/>
      <c r="B141" s="69"/>
      <c r="C141" s="6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</row>
    <row r="142" spans="1:21" outlineLevel="1">
      <c r="A142" s="78"/>
      <c r="B142" s="69"/>
      <c r="C142" s="6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</row>
    <row r="143" spans="1:21" outlineLevel="1">
      <c r="A143" s="79"/>
      <c r="B143" s="69"/>
      <c r="C143" s="6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</row>
    <row r="144" spans="1:21" outlineLevel="1">
      <c r="A144" s="79"/>
      <c r="B144" s="69"/>
      <c r="C144" s="6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</row>
    <row r="145" spans="1:21" outlineLevel="1">
      <c r="A145" s="79"/>
      <c r="B145" s="69"/>
      <c r="C145" s="6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</row>
    <row r="146" spans="1:21" outlineLevel="1">
      <c r="A146" s="79"/>
      <c r="B146" s="69"/>
      <c r="C146" s="6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</row>
    <row r="147" spans="1:21" outlineLevel="1">
      <c r="A147" s="79"/>
      <c r="B147" s="69"/>
      <c r="C147" s="6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</row>
    <row r="148" spans="1:21" outlineLevel="1">
      <c r="A148" s="79"/>
      <c r="B148" s="69"/>
      <c r="C148" s="6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</row>
    <row r="149" spans="1:21" outlineLevel="1">
      <c r="A149" s="80"/>
      <c r="B149" s="69"/>
      <c r="C149" s="6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</row>
    <row r="150" spans="1:21" outlineLevel="1">
      <c r="A150" s="81"/>
      <c r="B150" s="69"/>
      <c r="C150" s="6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</row>
    <row r="151" spans="1:21" outlineLevel="1">
      <c r="A151" s="79"/>
      <c r="B151" s="69"/>
      <c r="C151" s="6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</row>
    <row r="152" spans="1:21" outlineLevel="1">
      <c r="A152" s="82"/>
      <c r="B152" s="69"/>
      <c r="C152" s="6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</row>
    <row r="153" spans="1:21" outlineLevel="1">
      <c r="A153" s="82"/>
      <c r="B153" s="69"/>
      <c r="C153" s="6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</row>
    <row r="154" spans="1:21" outlineLevel="1">
      <c r="A154" s="79"/>
      <c r="B154" s="69"/>
      <c r="C154" s="6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</row>
    <row r="155" spans="1:21" outlineLevel="1">
      <c r="A155" s="79"/>
      <c r="B155" s="69"/>
      <c r="C155" s="6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</row>
    <row r="156" spans="1:21" outlineLevel="1">
      <c r="A156" s="78"/>
      <c r="B156" s="69"/>
      <c r="C156" s="6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</row>
    <row r="157" spans="1:21" outlineLevel="1">
      <c r="A157" s="80"/>
      <c r="B157" s="69"/>
      <c r="C157" s="6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</row>
    <row r="158" spans="1:21" outlineLevel="1">
      <c r="A158" s="80"/>
      <c r="B158" s="69"/>
      <c r="C158" s="6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</row>
    <row r="159" spans="1:21" outlineLevel="1">
      <c r="A159" s="80"/>
      <c r="B159" s="69"/>
      <c r="C159" s="6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</row>
    <row r="160" spans="1:21" outlineLevel="1">
      <c r="A160" s="80"/>
      <c r="B160" s="69"/>
      <c r="C160" s="6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</row>
    <row r="161" spans="1:21" outlineLevel="1">
      <c r="A161" s="80"/>
      <c r="B161" s="69"/>
      <c r="C161" s="6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</row>
    <row r="162" spans="1:21" outlineLevel="1">
      <c r="A162" s="80"/>
      <c r="B162" s="69"/>
      <c r="C162" s="6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</row>
    <row r="163" spans="1:21" outlineLevel="1">
      <c r="A163" s="80"/>
      <c r="B163" s="69"/>
      <c r="C163" s="6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</row>
    <row r="164" spans="1:21" outlineLevel="1">
      <c r="A164" s="7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</row>
    <row r="165" spans="1:21" outlineLevel="1">
      <c r="A165" s="7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</row>
    <row r="166" spans="1:21" outlineLevel="1">
      <c r="A166" s="7"/>
      <c r="B166" s="7"/>
      <c r="C166" s="7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</row>
    <row r="167" spans="1:21" ht="18.75" outlineLevel="1">
      <c r="A167" s="8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</row>
    <row r="168" spans="1:21" outlineLevel="1">
      <c r="A168" s="5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 spans="1:21" outlineLevel="1">
      <c r="A169" s="5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</row>
    <row r="170" spans="1:21" outlineLevel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 spans="1:21" outlineLevel="1">
      <c r="A171" s="2"/>
      <c r="B171" s="9"/>
      <c r="C171" s="9"/>
      <c r="D171" s="9"/>
      <c r="E171" s="9"/>
      <c r="F171" s="9"/>
      <c r="G171" s="9"/>
      <c r="H171" s="9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</row>
    <row r="172" spans="1:21" outlineLevel="1">
      <c r="A172" s="5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 spans="1:21" outlineLevel="1">
      <c r="A173" s="86"/>
      <c r="B173" s="87"/>
      <c r="C173" s="87"/>
      <c r="D173" s="87"/>
      <c r="E173" s="87"/>
      <c r="F173" s="87"/>
      <c r="G173" s="87"/>
      <c r="H173" s="87"/>
      <c r="I173" s="7"/>
      <c r="J173" s="8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</row>
    <row r="174" spans="1:21" outlineLevel="1">
      <c r="A174" s="86"/>
      <c r="B174" s="87"/>
      <c r="C174" s="87"/>
      <c r="D174" s="87"/>
      <c r="E174" s="87"/>
      <c r="F174" s="87"/>
      <c r="G174" s="87"/>
      <c r="H174" s="87"/>
      <c r="I174" s="7"/>
      <c r="J174" s="8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 spans="1:21" outlineLevel="1">
      <c r="A175" s="86"/>
      <c r="B175" s="87"/>
      <c r="C175" s="87"/>
      <c r="D175" s="87"/>
      <c r="E175" s="87"/>
      <c r="F175" s="87"/>
      <c r="G175" s="87"/>
      <c r="H175" s="87"/>
      <c r="I175" s="7"/>
      <c r="J175" s="8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</row>
    <row r="176" spans="1:21" outlineLevel="1">
      <c r="A176" s="86"/>
      <c r="B176" s="87"/>
      <c r="C176" s="87"/>
      <c r="D176" s="87"/>
      <c r="E176" s="87"/>
      <c r="F176" s="87"/>
      <c r="G176" s="87"/>
      <c r="H176" s="87"/>
      <c r="I176" s="7"/>
      <c r="J176" s="8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 spans="1:21" outlineLevel="1">
      <c r="A177" s="86"/>
      <c r="B177" s="87"/>
      <c r="C177" s="87"/>
      <c r="D177" s="87"/>
      <c r="E177" s="87"/>
      <c r="F177" s="87"/>
      <c r="G177" s="87"/>
      <c r="H177" s="87"/>
      <c r="I177" s="7"/>
      <c r="J177" s="8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</row>
    <row r="178" spans="1:21" outlineLevel="1">
      <c r="A178" s="7"/>
      <c r="B178" s="87"/>
      <c r="C178" s="87"/>
      <c r="D178" s="87"/>
      <c r="E178" s="87"/>
      <c r="F178" s="87"/>
      <c r="G178" s="87"/>
      <c r="H178" s="87"/>
      <c r="I178" s="7"/>
      <c r="J178" s="8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 spans="1:21" outlineLevel="1">
      <c r="A179" s="57"/>
      <c r="B179" s="87"/>
      <c r="C179" s="87"/>
      <c r="D179" s="87"/>
      <c r="E179" s="87"/>
      <c r="F179" s="87"/>
      <c r="G179" s="87"/>
      <c r="H179" s="87"/>
      <c r="I179" s="7"/>
      <c r="J179" s="8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</row>
    <row r="180" spans="1:21" outlineLevel="1">
      <c r="A180" s="86"/>
      <c r="B180" s="87"/>
      <c r="C180" s="87"/>
      <c r="D180" s="87"/>
      <c r="E180" s="87"/>
      <c r="F180" s="87"/>
      <c r="G180" s="87"/>
      <c r="H180" s="87"/>
      <c r="I180" s="7"/>
      <c r="J180" s="8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 spans="1:21" outlineLevel="1">
      <c r="A181" s="86"/>
      <c r="B181" s="87"/>
      <c r="C181" s="87"/>
      <c r="D181" s="87"/>
      <c r="E181" s="87"/>
      <c r="F181" s="87"/>
      <c r="G181" s="87"/>
      <c r="H181" s="87"/>
      <c r="I181" s="7"/>
      <c r="J181" s="8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</row>
    <row r="182" spans="1:21" outlineLevel="1">
      <c r="A182" s="86"/>
      <c r="B182" s="87"/>
      <c r="C182" s="87"/>
      <c r="D182" s="87"/>
      <c r="E182" s="87"/>
      <c r="F182" s="87"/>
      <c r="G182" s="87"/>
      <c r="H182" s="87"/>
      <c r="I182" s="7"/>
      <c r="J182" s="8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 spans="1:21" outlineLevel="1">
      <c r="A183" s="86"/>
      <c r="B183" s="87"/>
      <c r="C183" s="87"/>
      <c r="D183" s="87"/>
      <c r="E183" s="87"/>
      <c r="F183" s="87"/>
      <c r="G183" s="87"/>
      <c r="H183" s="87"/>
      <c r="I183" s="7"/>
      <c r="J183" s="8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</row>
    <row r="184" spans="1:21" outlineLevel="1">
      <c r="A184" s="86"/>
      <c r="B184" s="87"/>
      <c r="C184" s="87"/>
      <c r="D184" s="87"/>
      <c r="E184" s="87"/>
      <c r="F184" s="87"/>
      <c r="G184" s="87"/>
      <c r="H184" s="87"/>
      <c r="I184" s="7"/>
      <c r="J184" s="8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</row>
    <row r="185" spans="1:21" outlineLevel="1">
      <c r="A185" s="86"/>
      <c r="B185" s="87"/>
      <c r="C185" s="87"/>
      <c r="D185" s="87"/>
      <c r="E185" s="87"/>
      <c r="F185" s="87"/>
      <c r="G185" s="87"/>
      <c r="H185" s="87"/>
      <c r="I185" s="7"/>
      <c r="J185" s="8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</row>
    <row r="186" spans="1:21" outlineLevel="1">
      <c r="A186" s="86"/>
      <c r="B186" s="87"/>
      <c r="C186" s="87"/>
      <c r="D186" s="87"/>
      <c r="E186" s="87"/>
      <c r="F186" s="87"/>
      <c r="G186" s="87"/>
      <c r="H186" s="87"/>
      <c r="I186" s="7"/>
      <c r="J186" s="8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</row>
    <row r="187" spans="1:21" outlineLevel="1">
      <c r="A187" s="86"/>
      <c r="B187" s="87"/>
      <c r="C187" s="87"/>
      <c r="D187" s="87"/>
      <c r="E187" s="87"/>
      <c r="F187" s="87"/>
      <c r="G187" s="87"/>
      <c r="H187" s="87"/>
      <c r="I187" s="7"/>
      <c r="J187" s="8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</row>
    <row r="188" spans="1:21" outlineLevel="1">
      <c r="A188" s="86"/>
      <c r="B188" s="87"/>
      <c r="C188" s="87"/>
      <c r="D188" s="87"/>
      <c r="E188" s="87"/>
      <c r="F188" s="87"/>
      <c r="G188" s="87"/>
      <c r="H188" s="87"/>
      <c r="I188" s="7"/>
      <c r="J188" s="8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</row>
    <row r="189" spans="1:21" outlineLevel="1">
      <c r="A189" s="86"/>
      <c r="B189" s="87"/>
      <c r="C189" s="87"/>
      <c r="D189" s="87"/>
      <c r="E189" s="87"/>
      <c r="F189" s="87"/>
      <c r="G189" s="87"/>
      <c r="H189" s="87"/>
      <c r="I189" s="7"/>
      <c r="J189" s="8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</row>
    <row r="190" spans="1:21" outlineLevel="1">
      <c r="A190" s="86"/>
      <c r="B190" s="87"/>
      <c r="C190" s="87"/>
      <c r="D190" s="87"/>
      <c r="E190" s="87"/>
      <c r="F190" s="87"/>
      <c r="G190" s="87"/>
      <c r="H190" s="87"/>
      <c r="I190" s="7"/>
      <c r="J190" s="8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</row>
    <row r="191" spans="1:21" outlineLevel="1">
      <c r="A191" s="57"/>
      <c r="B191" s="87"/>
      <c r="C191" s="87"/>
      <c r="D191" s="87"/>
      <c r="E191" s="87"/>
      <c r="F191" s="87"/>
      <c r="G191" s="87"/>
      <c r="H191" s="87"/>
      <c r="I191" s="7"/>
      <c r="J191" s="8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</row>
    <row r="192" spans="1:21" outlineLevel="1">
      <c r="A192" s="86"/>
      <c r="B192" s="87"/>
      <c r="C192" s="87"/>
      <c r="D192" s="87"/>
      <c r="E192" s="87"/>
      <c r="F192" s="87"/>
      <c r="G192" s="87"/>
      <c r="H192" s="87"/>
      <c r="I192" s="7"/>
      <c r="J192" s="8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</row>
    <row r="193" spans="1:21" outlineLevel="1">
      <c r="A193" s="86"/>
      <c r="B193" s="87"/>
      <c r="C193" s="87"/>
      <c r="D193" s="87"/>
      <c r="E193" s="87"/>
      <c r="F193" s="87"/>
      <c r="G193" s="87"/>
      <c r="H193" s="87"/>
      <c r="I193" s="7"/>
      <c r="J193" s="8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</row>
    <row r="194" spans="1:21" outlineLevel="1">
      <c r="A194" s="57"/>
      <c r="B194" s="87"/>
      <c r="C194" s="87"/>
      <c r="D194" s="87"/>
      <c r="E194" s="87"/>
      <c r="F194" s="87"/>
      <c r="G194" s="87"/>
      <c r="H194" s="87"/>
      <c r="I194" s="7"/>
      <c r="J194" s="8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</row>
    <row r="195" spans="1:21" outlineLevel="1">
      <c r="A195" s="57"/>
      <c r="B195" s="87"/>
      <c r="C195" s="87"/>
      <c r="D195" s="87"/>
      <c r="E195" s="87"/>
      <c r="F195" s="87"/>
      <c r="G195" s="87"/>
      <c r="H195" s="87"/>
      <c r="I195" s="7"/>
      <c r="J195" s="8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</row>
    <row r="196" spans="1:21" outlineLevel="1">
      <c r="A196" s="7"/>
      <c r="B196" s="87"/>
      <c r="C196" s="87"/>
      <c r="D196" s="87"/>
      <c r="E196" s="87"/>
      <c r="F196" s="87"/>
      <c r="G196" s="87"/>
      <c r="H196" s="87"/>
      <c r="I196" s="7"/>
      <c r="J196" s="8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</row>
    <row r="197" spans="1:21" outlineLevel="1">
      <c r="A197" s="7"/>
      <c r="B197" s="87"/>
      <c r="C197" s="87"/>
      <c r="D197" s="87"/>
      <c r="E197" s="87"/>
      <c r="F197" s="87"/>
      <c r="G197" s="87"/>
      <c r="H197" s="87"/>
      <c r="I197" s="7"/>
      <c r="J197" s="8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</row>
    <row r="198" spans="1:21" outlineLevel="1">
      <c r="A198" s="57"/>
      <c r="B198" s="87"/>
      <c r="C198" s="87"/>
      <c r="D198" s="87"/>
      <c r="E198" s="87"/>
      <c r="F198" s="87"/>
      <c r="G198" s="87"/>
      <c r="H198" s="87"/>
      <c r="I198" s="7"/>
      <c r="J198" s="8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</row>
    <row r="199" spans="1:21" outlineLevel="1">
      <c r="A199" s="86"/>
      <c r="B199" s="87"/>
      <c r="C199" s="87"/>
      <c r="D199" s="87"/>
      <c r="E199" s="87"/>
      <c r="F199" s="87"/>
      <c r="G199" s="87"/>
      <c r="H199" s="87"/>
      <c r="I199" s="7"/>
      <c r="J199" s="8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</row>
    <row r="200" spans="1:21" outlineLevel="1">
      <c r="A200" s="57"/>
      <c r="B200" s="87"/>
      <c r="C200" s="87"/>
      <c r="D200" s="87"/>
      <c r="E200" s="87"/>
      <c r="F200" s="87"/>
      <c r="G200" s="87"/>
      <c r="H200" s="87"/>
      <c r="I200" s="7"/>
      <c r="J200" s="8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</row>
    <row r="201" spans="1:21" outlineLevel="1">
      <c r="A201" s="7"/>
      <c r="B201" s="87"/>
      <c r="C201" s="87"/>
      <c r="D201" s="87"/>
      <c r="E201" s="87"/>
      <c r="F201" s="87"/>
      <c r="G201" s="87"/>
      <c r="H201" s="87"/>
      <c r="I201" s="7"/>
      <c r="J201" s="8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</row>
    <row r="202" spans="1:21" outlineLevel="1">
      <c r="A202" s="57"/>
      <c r="B202" s="87"/>
      <c r="C202" s="87"/>
      <c r="D202" s="87"/>
      <c r="E202" s="87"/>
      <c r="F202" s="87"/>
      <c r="G202" s="87"/>
      <c r="H202" s="87"/>
      <c r="I202" s="7"/>
      <c r="J202" s="8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spans="1:21" outlineLevel="1">
      <c r="A203" s="86"/>
      <c r="B203" s="87"/>
      <c r="C203" s="87"/>
      <c r="D203" s="87"/>
      <c r="E203" s="87"/>
      <c r="F203" s="87"/>
      <c r="G203" s="87"/>
      <c r="H203" s="87"/>
      <c r="I203" s="7"/>
      <c r="J203" s="8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 spans="1:21" outlineLevel="1">
      <c r="A204" s="86"/>
      <c r="B204" s="87"/>
      <c r="C204" s="87"/>
      <c r="D204" s="87"/>
      <c r="E204" s="87"/>
      <c r="F204" s="87"/>
      <c r="G204" s="87"/>
      <c r="H204" s="87"/>
      <c r="I204" s="7"/>
      <c r="J204" s="8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 spans="1:21" outlineLevel="1">
      <c r="A205" s="86"/>
      <c r="B205" s="87"/>
      <c r="C205" s="87"/>
      <c r="D205" s="87"/>
      <c r="E205" s="87"/>
      <c r="F205" s="87"/>
      <c r="G205" s="87"/>
      <c r="H205" s="87"/>
      <c r="I205" s="7"/>
      <c r="J205" s="8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</row>
    <row r="206" spans="1:21" outlineLevel="1">
      <c r="A206" s="86"/>
      <c r="B206" s="87"/>
      <c r="C206" s="87"/>
      <c r="D206" s="87"/>
      <c r="E206" s="87"/>
      <c r="F206" s="87"/>
      <c r="G206" s="87"/>
      <c r="H206" s="87"/>
      <c r="I206" s="7"/>
      <c r="J206" s="8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spans="1:21" outlineLevel="1">
      <c r="A207" s="86"/>
      <c r="B207" s="87"/>
      <c r="C207" s="87"/>
      <c r="D207" s="87"/>
      <c r="E207" s="87"/>
      <c r="F207" s="87"/>
      <c r="G207" s="87"/>
      <c r="H207" s="87"/>
      <c r="I207" s="7"/>
      <c r="J207" s="8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</row>
    <row r="208" spans="1:21" outlineLevel="1">
      <c r="A208" s="86"/>
      <c r="B208" s="87"/>
      <c r="C208" s="87"/>
      <c r="D208" s="87"/>
      <c r="E208" s="87"/>
      <c r="F208" s="87"/>
      <c r="G208" s="87"/>
      <c r="H208" s="87"/>
      <c r="I208" s="7"/>
      <c r="J208" s="8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spans="1:21" outlineLevel="1">
      <c r="A209" s="57"/>
      <c r="B209" s="87"/>
      <c r="C209" s="87"/>
      <c r="D209" s="87"/>
      <c r="E209" s="87"/>
      <c r="F209" s="87"/>
      <c r="G209" s="87"/>
      <c r="H209" s="87"/>
      <c r="I209" s="7"/>
      <c r="J209" s="8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 spans="1:21" outlineLevel="1">
      <c r="A210" s="57"/>
      <c r="B210" s="87"/>
      <c r="C210" s="87"/>
      <c r="D210" s="87"/>
      <c r="E210" s="87"/>
      <c r="F210" s="87"/>
      <c r="G210" s="87"/>
      <c r="H210" s="87"/>
      <c r="I210" s="7"/>
      <c r="J210" s="8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spans="1:21" outlineLevel="1">
      <c r="A211" s="7"/>
      <c r="B211" s="87"/>
      <c r="C211" s="87"/>
      <c r="D211" s="87"/>
      <c r="E211" s="87"/>
      <c r="F211" s="87"/>
      <c r="G211" s="87"/>
      <c r="H211" s="87"/>
      <c r="I211" s="7"/>
      <c r="J211" s="8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 spans="1:21" outlineLevel="1">
      <c r="A212" s="57"/>
      <c r="B212" s="87"/>
      <c r="C212" s="87"/>
      <c r="D212" s="87"/>
      <c r="E212" s="87"/>
      <c r="F212" s="87"/>
      <c r="G212" s="87"/>
      <c r="H212" s="87"/>
      <c r="I212" s="7"/>
      <c r="J212" s="8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spans="1:21" outlineLevel="1">
      <c r="A213" s="57"/>
      <c r="B213" s="87"/>
      <c r="C213" s="87"/>
      <c r="D213" s="87"/>
      <c r="E213" s="87"/>
      <c r="F213" s="87"/>
      <c r="G213" s="87"/>
      <c r="H213" s="87"/>
      <c r="I213" s="7"/>
      <c r="J213" s="8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spans="1:21" outlineLevel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21" outlineLevel="1">
      <c r="A215" s="57"/>
      <c r="B215" s="7"/>
      <c r="C215" s="59"/>
      <c r="D215" s="59"/>
      <c r="E215" s="59"/>
      <c r="F215" s="59"/>
      <c r="G215" s="59"/>
      <c r="H215" s="59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spans="1:21" outlineLevel="1">
      <c r="A216" s="57"/>
      <c r="B216" s="7"/>
      <c r="C216" s="59"/>
      <c r="D216" s="59"/>
      <c r="E216" s="59"/>
      <c r="F216" s="59"/>
      <c r="G216" s="59"/>
      <c r="H216" s="59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spans="1:21" outlineLevel="1">
      <c r="A217" s="57"/>
      <c r="B217" s="7"/>
      <c r="C217" s="59"/>
      <c r="D217" s="59"/>
      <c r="E217" s="59"/>
      <c r="F217" s="59"/>
      <c r="G217" s="59"/>
      <c r="H217" s="59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</row>
    <row r="218" spans="1:21" outlineLevel="1">
      <c r="A218" s="57"/>
      <c r="B218" s="7"/>
      <c r="C218" s="59"/>
      <c r="D218" s="59"/>
      <c r="E218" s="59"/>
      <c r="F218" s="59"/>
      <c r="G218" s="59"/>
      <c r="H218" s="59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 outlineLevel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</row>
    <row r="220" spans="1:21" ht="18.75" outlineLevel="1">
      <c r="A220" s="84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 spans="1:21" outlineLevel="1">
      <c r="A221" s="5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</row>
    <row r="222" spans="1:21" outlineLevel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21" outlineLevel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 spans="1:21" s="90" customFormat="1" outlineLevel="1">
      <c r="A224" s="89"/>
    </row>
    <row r="225" spans="1:21" outlineLevel="1">
      <c r="A225" s="5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 spans="1:21" outlineLevel="1">
      <c r="A226" s="57"/>
      <c r="B226" s="7"/>
      <c r="C226" s="91"/>
      <c r="D226" s="91"/>
      <c r="E226" s="91"/>
      <c r="F226" s="91"/>
      <c r="G226" s="91"/>
      <c r="H226" s="91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 outlineLevel="1">
      <c r="A227" s="57"/>
      <c r="B227" s="7"/>
      <c r="C227" s="91"/>
      <c r="D227" s="91"/>
      <c r="E227" s="91"/>
      <c r="F227" s="91"/>
      <c r="G227" s="91"/>
      <c r="H227" s="91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 spans="1:21" outlineLevel="1">
      <c r="A228" s="7"/>
      <c r="B228" s="7"/>
      <c r="C228" s="93"/>
      <c r="D228" s="93"/>
      <c r="E228" s="93"/>
      <c r="F228" s="93"/>
      <c r="G228" s="93"/>
      <c r="H228" s="93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spans="1:21" outlineLevel="1">
      <c r="A229" s="5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 spans="1:21" outlineLevel="1">
      <c r="A230" s="89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 outlineLevel="1">
      <c r="A231" s="94"/>
      <c r="B231" s="7"/>
      <c r="C231" s="59"/>
      <c r="D231" s="59"/>
      <c r="E231" s="59"/>
      <c r="F231" s="59"/>
      <c r="G231" s="59"/>
      <c r="H231" s="59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 spans="1:21" outlineLevel="1">
      <c r="A232" s="94"/>
      <c r="B232" s="7"/>
      <c r="C232" s="59"/>
      <c r="D232" s="59"/>
      <c r="E232" s="59"/>
      <c r="F232" s="59"/>
      <c r="G232" s="59"/>
      <c r="H232" s="59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 outlineLevel="1">
      <c r="A233" s="94"/>
      <c r="B233" s="7"/>
      <c r="C233" s="59"/>
      <c r="D233" s="59"/>
      <c r="E233" s="59"/>
      <c r="F233" s="59"/>
      <c r="G233" s="59"/>
      <c r="H233" s="59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</row>
    <row r="234" spans="1:21" outlineLevel="1">
      <c r="A234" s="94"/>
      <c r="B234" s="7"/>
      <c r="C234" s="59"/>
      <c r="D234" s="59"/>
      <c r="E234" s="59"/>
      <c r="F234" s="59"/>
      <c r="G234" s="59"/>
      <c r="H234" s="59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 spans="1:21" outlineLevel="1">
      <c r="A235" s="94"/>
      <c r="B235" s="7"/>
      <c r="C235" s="91"/>
      <c r="D235" s="91"/>
      <c r="E235" s="91"/>
      <c r="F235" s="91"/>
      <c r="G235" s="91"/>
      <c r="H235" s="91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 spans="1:21" outlineLevel="1">
      <c r="A236" s="57"/>
      <c r="B236" s="7"/>
      <c r="C236" s="95"/>
      <c r="D236" s="95"/>
      <c r="E236" s="95"/>
      <c r="F236" s="95"/>
      <c r="G236" s="95"/>
      <c r="H236" s="95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 outlineLevel="1">
      <c r="A237" s="94"/>
      <c r="B237" s="7"/>
      <c r="C237" s="96"/>
      <c r="D237" s="96"/>
      <c r="E237" s="96"/>
      <c r="F237" s="96"/>
      <c r="G237" s="96"/>
      <c r="H237" s="96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 spans="1:21" outlineLevel="1">
      <c r="A238" s="94"/>
      <c r="B238" s="7"/>
      <c r="C238" s="96"/>
      <c r="D238" s="96"/>
      <c r="E238" s="96"/>
      <c r="F238" s="96"/>
      <c r="G238" s="96"/>
      <c r="H238" s="96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 spans="1:21" outlineLevel="1">
      <c r="A239" s="94"/>
      <c r="B239" s="7"/>
      <c r="C239" s="96"/>
      <c r="D239" s="96"/>
      <c r="E239" s="96"/>
      <c r="F239" s="96"/>
      <c r="G239" s="96"/>
      <c r="H239" s="96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</row>
    <row r="240" spans="1:21" outlineLevel="1">
      <c r="A240" s="94"/>
      <c r="B240" s="7"/>
      <c r="C240" s="96"/>
      <c r="D240" s="96"/>
      <c r="E240" s="96"/>
      <c r="F240" s="96"/>
      <c r="G240" s="96"/>
      <c r="H240" s="96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 outlineLevel="1">
      <c r="A241" s="94"/>
      <c r="B241" s="7"/>
      <c r="C241" s="95"/>
      <c r="D241" s="95"/>
      <c r="E241" s="95"/>
      <c r="F241" s="95"/>
      <c r="G241" s="95"/>
      <c r="H241" s="95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 spans="1:21" outlineLevel="1">
      <c r="A242" s="5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 spans="1:21" outlineLevel="1">
      <c r="A243" s="7"/>
      <c r="B243" s="7"/>
      <c r="C243" s="59"/>
      <c r="D243" s="59"/>
      <c r="E243" s="59"/>
      <c r="F243" s="59"/>
      <c r="G243" s="59"/>
      <c r="H243" s="59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 spans="1:21" outlineLevel="1">
      <c r="A244" s="7"/>
      <c r="B244" s="7"/>
      <c r="C244" s="59"/>
      <c r="D244" s="59"/>
      <c r="E244" s="59"/>
      <c r="F244" s="59"/>
      <c r="G244" s="59"/>
      <c r="H244" s="59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 outlineLevel="1">
      <c r="A245" s="7"/>
      <c r="B245" s="7"/>
      <c r="C245" s="59"/>
      <c r="D245" s="59"/>
      <c r="E245" s="59"/>
      <c r="F245" s="59"/>
      <c r="G245" s="59"/>
      <c r="H245" s="59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 spans="1:21" outlineLevel="1">
      <c r="A246" s="7"/>
      <c r="B246" s="97"/>
      <c r="C246" s="59"/>
      <c r="D246" s="59"/>
      <c r="E246" s="59"/>
      <c r="F246" s="59"/>
      <c r="G246" s="59"/>
      <c r="H246" s="59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spans="1:21" outlineLevel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</row>
    <row r="248" spans="1:21" outlineLevel="1">
      <c r="A248" s="5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 outlineLevel="1">
      <c r="A249" s="7"/>
      <c r="B249" s="7"/>
      <c r="C249" s="91"/>
      <c r="D249" s="91"/>
      <c r="E249" s="91"/>
      <c r="F249" s="91"/>
      <c r="G249" s="91"/>
      <c r="H249" s="91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 spans="1:21" outlineLevel="1">
      <c r="A250" s="94"/>
      <c r="B250" s="7"/>
      <c r="C250" s="91"/>
      <c r="D250" s="91"/>
      <c r="E250" s="91"/>
      <c r="F250" s="91"/>
      <c r="G250" s="91"/>
      <c r="H250" s="91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spans="1:21" outlineLevel="1">
      <c r="A251" s="94"/>
      <c r="B251" s="7"/>
      <c r="C251" s="91"/>
      <c r="D251" s="91"/>
      <c r="E251" s="91"/>
      <c r="F251" s="91"/>
      <c r="G251" s="91"/>
      <c r="H251" s="91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</row>
    <row r="252" spans="1:21" outlineLevel="1">
      <c r="A252" s="94"/>
      <c r="B252" s="97"/>
      <c r="C252" s="91"/>
      <c r="D252" s="91"/>
      <c r="E252" s="91"/>
      <c r="F252" s="91"/>
      <c r="G252" s="91"/>
      <c r="H252" s="91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 outlineLevel="1">
      <c r="A253" s="7"/>
      <c r="B253" s="7"/>
      <c r="C253" s="91"/>
      <c r="D253" s="91"/>
      <c r="E253" s="91"/>
      <c r="F253" s="91"/>
      <c r="G253" s="91"/>
      <c r="H253" s="91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 spans="1:21" outlineLevel="1">
      <c r="A254" s="7"/>
      <c r="B254" s="7"/>
      <c r="C254" s="91"/>
      <c r="D254" s="91"/>
      <c r="E254" s="91"/>
      <c r="F254" s="91"/>
      <c r="G254" s="91"/>
      <c r="H254" s="91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 outlineLevel="1">
      <c r="A255" s="7"/>
      <c r="B255" s="7"/>
      <c r="C255" s="91"/>
      <c r="D255" s="91"/>
      <c r="E255" s="91"/>
      <c r="F255" s="91"/>
      <c r="G255" s="91"/>
      <c r="H255" s="91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 spans="1:21" outlineLevel="1">
      <c r="A256" s="7"/>
      <c r="B256" s="7"/>
      <c r="C256" s="91"/>
      <c r="D256" s="91"/>
      <c r="E256" s="91"/>
      <c r="F256" s="91"/>
      <c r="G256" s="91"/>
      <c r="H256" s="91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 outlineLevel="1">
      <c r="A257" s="7"/>
      <c r="B257" s="7"/>
      <c r="C257" s="91"/>
      <c r="D257" s="91"/>
      <c r="E257" s="91"/>
      <c r="F257" s="91"/>
      <c r="G257" s="91"/>
      <c r="H257" s="91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 spans="1:21" outlineLevel="1">
      <c r="A258" s="7"/>
      <c r="B258" s="7"/>
      <c r="C258" s="91"/>
      <c r="D258" s="91"/>
      <c r="E258" s="91"/>
      <c r="F258" s="91"/>
      <c r="G258" s="91"/>
      <c r="H258" s="91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</row>
    <row r="259" spans="1:21" outlineLevel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</row>
    <row r="260" spans="1:21" outlineLevel="1">
      <c r="A260" s="57"/>
      <c r="B260" s="98"/>
      <c r="C260" s="98"/>
      <c r="D260" s="98"/>
      <c r="E260" s="98"/>
      <c r="F260" s="98"/>
      <c r="G260" s="98"/>
      <c r="H260" s="98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 outlineLevel="1">
      <c r="A261" s="57"/>
      <c r="B261" s="97"/>
      <c r="C261" s="98"/>
      <c r="D261" s="98"/>
      <c r="E261" s="98"/>
      <c r="F261" s="98"/>
      <c r="G261" s="98"/>
      <c r="H261" s="98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</row>
    <row r="262" spans="1:21" outlineLevel="1">
      <c r="A262" s="57"/>
      <c r="B262" s="98"/>
      <c r="C262" s="98"/>
      <c r="D262" s="98"/>
      <c r="E262" s="98"/>
      <c r="F262" s="98"/>
      <c r="G262" s="98"/>
      <c r="H262" s="98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 outlineLevel="1">
      <c r="A263" s="57"/>
      <c r="B263" s="7"/>
      <c r="C263" s="98"/>
      <c r="D263" s="98"/>
      <c r="E263" s="98"/>
      <c r="F263" s="98"/>
      <c r="G263" s="98"/>
      <c r="H263" s="98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 spans="1:21" outlineLevel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 outlineLevel="1">
      <c r="A265" s="5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 spans="1:21" outlineLevel="1">
      <c r="A266" s="5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spans="1:21" outlineLevel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</row>
    <row r="268" spans="1:21" outlineLevel="1">
      <c r="A268" s="7"/>
      <c r="B268" s="7"/>
      <c r="C268" s="87"/>
      <c r="D268" s="87"/>
      <c r="E268" s="87"/>
      <c r="F268" s="87"/>
      <c r="G268" s="87"/>
      <c r="H268" s="8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 outlineLevel="1">
      <c r="A269" s="7"/>
      <c r="B269" s="7"/>
      <c r="C269" s="98"/>
      <c r="D269" s="98"/>
      <c r="E269" s="98"/>
      <c r="F269" s="98"/>
      <c r="G269" s="98"/>
      <c r="H269" s="98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 spans="1:21" outlineLevel="1">
      <c r="A270" s="7"/>
      <c r="B270" s="7"/>
      <c r="C270" s="99"/>
      <c r="D270" s="99"/>
      <c r="E270" s="99"/>
      <c r="F270" s="99"/>
      <c r="G270" s="99"/>
      <c r="H270" s="99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spans="1:21" outlineLevel="1">
      <c r="A271" s="7"/>
      <c r="B271" s="7"/>
      <c r="C271" s="87"/>
      <c r="D271" s="87"/>
      <c r="E271" s="87"/>
      <c r="F271" s="87"/>
      <c r="G271" s="87"/>
      <c r="H271" s="8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</row>
    <row r="272" spans="1:21" outlineLevel="1">
      <c r="A272" s="7"/>
      <c r="B272" s="7"/>
      <c r="C272" s="99"/>
      <c r="D272" s="99"/>
      <c r="E272" s="99"/>
      <c r="F272" s="99"/>
      <c r="G272" s="99"/>
      <c r="H272" s="99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6" outlineLevel="1">
      <c r="A273" s="7"/>
      <c r="B273" s="7"/>
      <c r="C273" s="100"/>
      <c r="D273" s="100"/>
      <c r="E273" s="100"/>
      <c r="F273" s="100"/>
      <c r="G273" s="100"/>
      <c r="H273" s="100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 spans="1:26" outlineLevel="1">
      <c r="A274" s="7"/>
      <c r="B274" s="7"/>
      <c r="C274" s="100"/>
      <c r="D274" s="100"/>
      <c r="E274" s="100"/>
      <c r="F274" s="100"/>
      <c r="G274" s="100"/>
      <c r="H274" s="100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 spans="1:26" ht="18.75" hidden="1" outlineLevel="2">
      <c r="A275" s="84"/>
      <c r="B275" s="7"/>
      <c r="C275" s="100"/>
      <c r="D275" s="100"/>
      <c r="E275" s="100"/>
      <c r="F275" s="100"/>
      <c r="G275" s="100"/>
      <c r="H275" s="100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 spans="1:26" hidden="1" outlineLevel="2">
      <c r="A276" s="57"/>
      <c r="B276" s="7"/>
      <c r="C276" s="100"/>
      <c r="D276" s="100"/>
      <c r="E276" s="100"/>
      <c r="F276" s="100"/>
      <c r="G276" s="100"/>
      <c r="H276" s="100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spans="1:26" hidden="1" outlineLevel="2">
      <c r="A277" s="7"/>
      <c r="B277" s="7"/>
      <c r="C277" s="100"/>
      <c r="D277" s="100"/>
      <c r="E277" s="100"/>
      <c r="F277" s="100"/>
      <c r="G277" s="100"/>
      <c r="H277" s="100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 spans="1:26" hidden="1" outlineLevel="2">
      <c r="A278" s="57"/>
      <c r="B278" s="11"/>
      <c r="C278" s="11"/>
      <c r="D278" s="10"/>
      <c r="E278" s="10"/>
      <c r="F278" s="11"/>
      <c r="G278" s="11"/>
      <c r="H278" s="10"/>
      <c r="I278" s="11"/>
      <c r="J278" s="11"/>
      <c r="K278" s="11"/>
      <c r="L278" s="10"/>
      <c r="M278" s="11"/>
      <c r="N278" s="11"/>
      <c r="O278" s="7"/>
      <c r="P278" s="7"/>
      <c r="Q278" s="7"/>
      <c r="R278" s="7"/>
      <c r="S278" s="7"/>
      <c r="T278" s="11"/>
      <c r="U278" s="7"/>
    </row>
    <row r="279" spans="1:26" hidden="1" outlineLevel="2">
      <c r="A279" s="5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 spans="1:26" hidden="1" outlineLevel="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spans="1:26" hidden="1" outlineLevel="2">
      <c r="A281" s="7"/>
      <c r="B281" s="8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7"/>
      <c r="P281" s="7"/>
      <c r="Q281" s="7"/>
      <c r="R281" s="7"/>
      <c r="S281" s="7"/>
      <c r="T281" s="87"/>
      <c r="U281" s="7"/>
    </row>
    <row r="282" spans="1:26" hidden="1" outlineLevel="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spans="1:26" hidden="1" outlineLevel="2">
      <c r="A283" s="7"/>
      <c r="B283" s="98"/>
      <c r="C283" s="98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7"/>
      <c r="P283" s="7"/>
      <c r="Q283" s="7"/>
      <c r="R283" s="7"/>
      <c r="S283" s="7"/>
      <c r="T283" s="87"/>
      <c r="U283" s="7"/>
    </row>
    <row r="284" spans="1:26" hidden="1" outlineLevel="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spans="1:26" hidden="1" outlineLevel="2">
      <c r="A285" s="7"/>
      <c r="B285" s="87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7"/>
      <c r="P285" s="7"/>
      <c r="Q285" s="7"/>
      <c r="R285" s="7"/>
      <c r="S285" s="7"/>
      <c r="T285" s="87"/>
      <c r="U285" s="87"/>
      <c r="V285" s="87"/>
      <c r="W285" s="87"/>
      <c r="X285" s="87"/>
      <c r="Y285" s="87"/>
      <c r="Z285" s="87"/>
    </row>
    <row r="286" spans="1:26" hidden="1" outlineLevel="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6" hidden="1" outlineLevel="2">
      <c r="A287" s="7"/>
      <c r="B287" s="87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7"/>
      <c r="P287" s="7"/>
      <c r="Q287" s="7"/>
      <c r="R287" s="7"/>
      <c r="S287" s="7"/>
      <c r="T287" s="87"/>
      <c r="U287" s="7"/>
    </row>
    <row r="288" spans="1:26" hidden="1" outlineLevel="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 hidden="1" outlineLevel="2">
      <c r="A289" s="7"/>
      <c r="B289" s="87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7"/>
      <c r="P289" s="7"/>
      <c r="Q289" s="7"/>
      <c r="R289" s="7"/>
      <c r="S289" s="7"/>
      <c r="T289" s="87"/>
      <c r="U289" s="87"/>
    </row>
    <row r="290" spans="1:21" hidden="1" outlineLevel="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 hidden="1" outlineLevel="2">
      <c r="A291" s="7"/>
      <c r="B291" s="8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7"/>
      <c r="P291" s="7"/>
      <c r="Q291" s="7"/>
      <c r="R291" s="7"/>
      <c r="S291" s="7"/>
      <c r="T291" s="87"/>
      <c r="U291" s="87"/>
    </row>
    <row r="292" spans="1:21" hidden="1" outlineLevel="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 outlineLevel="1" collapsed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 spans="1:21" outlineLevel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 outlineLevel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</row>
    <row r="296" spans="1:21" ht="18.75" outlineLevel="1">
      <c r="A296" s="8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 spans="1:21" outlineLevel="1">
      <c r="A297" s="5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</row>
    <row r="298" spans="1:21" outlineLevel="1">
      <c r="A298" s="5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 spans="1:21" outlineLevel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</row>
    <row r="300" spans="1:21" outlineLevel="1">
      <c r="A300" s="2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</row>
    <row r="301" spans="1:21" outlineLevel="1">
      <c r="A301" s="5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</row>
    <row r="302" spans="1:21" outlineLevel="1">
      <c r="A302" s="86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</row>
    <row r="303" spans="1:21" outlineLevel="1">
      <c r="A303" s="86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</row>
    <row r="304" spans="1:21" outlineLevel="1">
      <c r="A304" s="86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</row>
    <row r="305" spans="1:21" outlineLevel="1">
      <c r="A305" s="86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</row>
    <row r="306" spans="1:21" outlineLevel="1">
      <c r="A306" s="86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</row>
    <row r="307" spans="1:21" outlineLevel="1">
      <c r="A307" s="7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</row>
    <row r="308" spans="1:21" outlineLevel="1">
      <c r="A308" s="57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</row>
    <row r="309" spans="1:21" outlineLevel="1">
      <c r="A309" s="86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</row>
    <row r="310" spans="1:21" outlineLevel="1">
      <c r="A310" s="86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</row>
    <row r="311" spans="1:21" outlineLevel="1">
      <c r="A311" s="86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</row>
    <row r="312" spans="1:21" outlineLevel="1">
      <c r="A312" s="86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</row>
    <row r="313" spans="1:21" outlineLevel="1">
      <c r="A313" s="86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</row>
    <row r="314" spans="1:21" outlineLevel="1">
      <c r="A314" s="86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</row>
    <row r="315" spans="1:21" outlineLevel="1">
      <c r="A315" s="86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</row>
    <row r="316" spans="1:21" outlineLevel="1">
      <c r="A316" s="86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</row>
    <row r="317" spans="1:21" outlineLevel="1">
      <c r="A317" s="86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</row>
    <row r="318" spans="1:21" outlineLevel="1">
      <c r="A318" s="86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</row>
    <row r="319" spans="1:21" outlineLevel="1">
      <c r="A319" s="86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</row>
    <row r="320" spans="1:21" outlineLevel="1">
      <c r="A320" s="57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</row>
    <row r="321" spans="1:21" outlineLevel="1">
      <c r="A321" s="86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</row>
    <row r="322" spans="1:21" outlineLevel="1">
      <c r="A322" s="57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</row>
    <row r="323" spans="1:21" outlineLevel="1">
      <c r="A323" s="86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</row>
    <row r="324" spans="1:21" outlineLevel="1">
      <c r="A324" s="57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</row>
    <row r="325" spans="1:21" outlineLevel="1">
      <c r="A325" s="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</row>
    <row r="326" spans="1:21" outlineLevel="1">
      <c r="A326" s="57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</row>
    <row r="327" spans="1:21" outlineLevel="1">
      <c r="A327" s="86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</row>
    <row r="328" spans="1:21" outlineLevel="1">
      <c r="A328" s="86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</row>
    <row r="329" spans="1:21" outlineLevel="1">
      <c r="A329" s="86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</row>
    <row r="330" spans="1:21" outlineLevel="1">
      <c r="A330" s="86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</row>
    <row r="331" spans="1:21" outlineLevel="1">
      <c r="A331" s="57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</row>
    <row r="332" spans="1:21" outlineLevel="1">
      <c r="A332" s="57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</row>
    <row r="333" spans="1:21" outlineLevel="1">
      <c r="A333" s="86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</row>
    <row r="334" spans="1:21" outlineLevel="1">
      <c r="A334" s="86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</row>
    <row r="335" spans="1:21" outlineLevel="1">
      <c r="A335" s="86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</row>
    <row r="336" spans="1:21" outlineLevel="1">
      <c r="A336" s="86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</row>
    <row r="337" spans="1:21" outlineLevel="1">
      <c r="A337" s="86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</row>
    <row r="338" spans="1:21" outlineLevel="1">
      <c r="A338" s="2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</row>
    <row r="339" spans="1:21" outlineLevel="1">
      <c r="A339" s="57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</row>
    <row r="340" spans="1:21" outlineLevel="1">
      <c r="A340" s="7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</row>
    <row r="341" spans="1:21" outlineLevel="1">
      <c r="A341" s="57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</row>
    <row r="342" spans="1:21" outlineLevel="1">
      <c r="A342" s="57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</row>
    <row r="343" spans="1:21" outlineLevel="1">
      <c r="A343" s="57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</row>
    <row r="344" spans="1:21" outlineLevel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</row>
    <row r="345" spans="1:21" outlineLevel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</row>
    <row r="346" spans="1:21" ht="18.75" outlineLevel="1">
      <c r="A346" s="8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</row>
    <row r="347" spans="1:21" outlineLevel="1">
      <c r="A347" s="5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</row>
    <row r="348" spans="1:21" outlineLevel="1">
      <c r="A348" s="5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</row>
    <row r="349" spans="1:21" outlineLevel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</row>
    <row r="350" spans="1:21" outlineLevel="1">
      <c r="A350" s="2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7"/>
      <c r="P350" s="7"/>
      <c r="Q350" s="7"/>
      <c r="R350" s="7"/>
      <c r="S350" s="7"/>
      <c r="T350" s="7"/>
      <c r="U350" s="7"/>
    </row>
    <row r="351" spans="1:21" outlineLevel="1">
      <c r="A351" s="5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</row>
    <row r="352" spans="1:21" outlineLevel="1">
      <c r="A352" s="86"/>
      <c r="B352" s="101"/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7"/>
      <c r="P352" s="7"/>
      <c r="Q352" s="7"/>
      <c r="R352" s="7"/>
      <c r="S352" s="7"/>
      <c r="T352" s="7"/>
      <c r="U352" s="7"/>
    </row>
    <row r="353" spans="1:21" outlineLevel="1">
      <c r="A353" s="86"/>
      <c r="B353" s="101"/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7"/>
      <c r="P353" s="7"/>
      <c r="Q353" s="7"/>
      <c r="R353" s="7"/>
      <c r="S353" s="7"/>
      <c r="T353" s="7"/>
      <c r="U353" s="7"/>
    </row>
    <row r="354" spans="1:21" outlineLevel="1">
      <c r="A354" s="86"/>
      <c r="B354" s="101"/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7"/>
      <c r="P354" s="7"/>
      <c r="Q354" s="7"/>
      <c r="R354" s="7"/>
      <c r="S354" s="7"/>
      <c r="T354" s="7"/>
      <c r="U354" s="7"/>
    </row>
    <row r="355" spans="1:21" outlineLevel="1">
      <c r="A355" s="86"/>
      <c r="B355" s="101"/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7"/>
      <c r="P355" s="7"/>
      <c r="Q355" s="7"/>
      <c r="R355" s="7"/>
      <c r="S355" s="7"/>
      <c r="T355" s="7"/>
      <c r="U355" s="7"/>
    </row>
    <row r="356" spans="1:21" outlineLevel="1">
      <c r="A356" s="86"/>
      <c r="B356" s="101"/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7"/>
      <c r="P356" s="7"/>
      <c r="Q356" s="7"/>
      <c r="R356" s="7"/>
      <c r="S356" s="7"/>
      <c r="T356" s="7"/>
      <c r="U356" s="7"/>
    </row>
    <row r="357" spans="1:21" outlineLevel="1">
      <c r="A357" s="86"/>
      <c r="B357" s="101"/>
      <c r="C357" s="101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7"/>
      <c r="P357" s="7"/>
      <c r="Q357" s="7"/>
      <c r="R357" s="7"/>
      <c r="S357" s="7"/>
      <c r="T357" s="7"/>
      <c r="U357" s="7"/>
    </row>
    <row r="358" spans="1:21" outlineLevel="1">
      <c r="A358" s="57"/>
      <c r="B358" s="101"/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7"/>
      <c r="P358" s="7"/>
      <c r="Q358" s="7"/>
      <c r="R358" s="7"/>
      <c r="S358" s="7"/>
      <c r="T358" s="7"/>
      <c r="U358" s="7"/>
    </row>
    <row r="359" spans="1:21" outlineLevel="1">
      <c r="A359" s="86"/>
      <c r="B359" s="101"/>
      <c r="C359" s="101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7"/>
      <c r="P359" s="7"/>
      <c r="Q359" s="7"/>
      <c r="R359" s="7"/>
      <c r="S359" s="7"/>
      <c r="T359" s="7"/>
      <c r="U359" s="7"/>
    </row>
    <row r="360" spans="1:21" outlineLevel="1">
      <c r="A360" s="86"/>
      <c r="B360" s="101"/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7"/>
      <c r="P360" s="7"/>
      <c r="Q360" s="7"/>
      <c r="R360" s="7"/>
      <c r="S360" s="7"/>
      <c r="T360" s="7"/>
      <c r="U360" s="7"/>
    </row>
    <row r="361" spans="1:21" outlineLevel="1">
      <c r="A361" s="86"/>
      <c r="B361" s="101"/>
      <c r="C361" s="101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7"/>
      <c r="P361" s="7"/>
      <c r="Q361" s="7"/>
      <c r="R361" s="7"/>
      <c r="S361" s="7"/>
      <c r="T361" s="7"/>
      <c r="U361" s="7"/>
    </row>
    <row r="362" spans="1:21" outlineLevel="1">
      <c r="A362" s="86"/>
      <c r="B362" s="101"/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7"/>
      <c r="P362" s="7"/>
      <c r="Q362" s="7"/>
      <c r="R362" s="7"/>
      <c r="S362" s="7"/>
      <c r="T362" s="7"/>
      <c r="U362" s="7"/>
    </row>
    <row r="363" spans="1:21" outlineLevel="1">
      <c r="A363" s="86"/>
      <c r="B363" s="101"/>
      <c r="C363" s="101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7"/>
      <c r="P363" s="7"/>
      <c r="Q363" s="7"/>
      <c r="R363" s="7"/>
      <c r="S363" s="7"/>
      <c r="T363" s="7"/>
      <c r="U363" s="7"/>
    </row>
    <row r="364" spans="1:21" outlineLevel="1">
      <c r="A364" s="86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7"/>
      <c r="P364" s="7"/>
      <c r="Q364" s="7"/>
      <c r="R364" s="7"/>
      <c r="S364" s="7"/>
      <c r="T364" s="7"/>
      <c r="U364" s="7"/>
    </row>
    <row r="365" spans="1:21" outlineLevel="1">
      <c r="A365" s="86"/>
      <c r="B365" s="101"/>
      <c r="C365" s="101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7"/>
      <c r="P365" s="7"/>
      <c r="Q365" s="7"/>
      <c r="R365" s="7"/>
      <c r="S365" s="7"/>
      <c r="T365" s="7"/>
      <c r="U365" s="7"/>
    </row>
    <row r="366" spans="1:21" outlineLevel="1">
      <c r="A366" s="86"/>
      <c r="B366" s="101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7"/>
      <c r="P366" s="7"/>
      <c r="Q366" s="7"/>
      <c r="R366" s="7"/>
      <c r="S366" s="7"/>
      <c r="T366" s="7"/>
      <c r="U366" s="7"/>
    </row>
    <row r="367" spans="1:21" outlineLevel="1">
      <c r="A367" s="86"/>
      <c r="B367" s="101"/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7"/>
      <c r="P367" s="7"/>
      <c r="Q367" s="7"/>
      <c r="R367" s="7"/>
      <c r="S367" s="7"/>
      <c r="T367" s="7"/>
      <c r="U367" s="7"/>
    </row>
    <row r="368" spans="1:21" outlineLevel="1">
      <c r="A368" s="86"/>
      <c r="B368" s="101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7"/>
      <c r="P368" s="7"/>
      <c r="Q368" s="7"/>
      <c r="R368" s="7"/>
      <c r="S368" s="7"/>
      <c r="T368" s="7"/>
      <c r="U368" s="7"/>
    </row>
    <row r="369" spans="1:21" outlineLevel="1">
      <c r="A369" s="86"/>
      <c r="B369" s="101"/>
      <c r="C369" s="101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7"/>
      <c r="P369" s="7"/>
      <c r="Q369" s="7"/>
      <c r="R369" s="7"/>
      <c r="S369" s="7"/>
      <c r="T369" s="7"/>
      <c r="U369" s="7"/>
    </row>
    <row r="370" spans="1:21" outlineLevel="1">
      <c r="A370" s="86"/>
      <c r="B370" s="101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7"/>
      <c r="P370" s="7"/>
      <c r="Q370" s="7"/>
      <c r="R370" s="7"/>
      <c r="S370" s="7"/>
      <c r="T370" s="7"/>
      <c r="U370" s="7"/>
    </row>
    <row r="371" spans="1:21" outlineLevel="1">
      <c r="A371" s="57"/>
      <c r="B371" s="101"/>
      <c r="C371" s="101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7"/>
      <c r="P371" s="7"/>
      <c r="Q371" s="7"/>
      <c r="R371" s="7"/>
      <c r="S371" s="7"/>
      <c r="T371" s="7"/>
      <c r="U371" s="7"/>
    </row>
    <row r="372" spans="1:21" outlineLevel="1">
      <c r="A372" s="7"/>
      <c r="B372" s="101"/>
      <c r="C372" s="101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7"/>
      <c r="P372" s="7"/>
      <c r="Q372" s="7"/>
      <c r="R372" s="7"/>
      <c r="S372" s="7"/>
      <c r="T372" s="7"/>
      <c r="U372" s="7"/>
    </row>
    <row r="373" spans="1:21" outlineLevel="1">
      <c r="A373" s="86"/>
      <c r="B373" s="101"/>
      <c r="C373" s="101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7"/>
      <c r="P373" s="7"/>
      <c r="Q373" s="7"/>
      <c r="R373" s="7"/>
      <c r="S373" s="7"/>
      <c r="T373" s="7"/>
      <c r="U373" s="7"/>
    </row>
    <row r="374" spans="1:21" outlineLevel="1">
      <c r="A374" s="57"/>
      <c r="B374" s="101"/>
      <c r="C374" s="101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7"/>
      <c r="P374" s="7"/>
      <c r="Q374" s="7"/>
      <c r="R374" s="7"/>
      <c r="S374" s="7"/>
      <c r="T374" s="7"/>
      <c r="U374" s="7"/>
    </row>
    <row r="375" spans="1:21" outlineLevel="1">
      <c r="A375" s="86"/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7"/>
      <c r="P375" s="7"/>
      <c r="Q375" s="7"/>
      <c r="R375" s="7"/>
      <c r="S375" s="7"/>
      <c r="T375" s="7"/>
      <c r="U375" s="7"/>
    </row>
    <row r="376" spans="1:21" outlineLevel="1">
      <c r="A376" s="57"/>
      <c r="B376" s="101"/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7"/>
      <c r="P376" s="7"/>
      <c r="Q376" s="7"/>
      <c r="R376" s="7"/>
      <c r="S376" s="7"/>
      <c r="T376" s="7"/>
      <c r="U376" s="7"/>
    </row>
    <row r="377" spans="1:21" outlineLevel="1">
      <c r="A377" s="57"/>
      <c r="B377" s="101"/>
      <c r="C377" s="101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7"/>
      <c r="P377" s="7"/>
      <c r="Q377" s="7"/>
      <c r="R377" s="7"/>
      <c r="S377" s="7"/>
      <c r="T377" s="7"/>
      <c r="U377" s="7"/>
    </row>
    <row r="378" spans="1:21" outlineLevel="1">
      <c r="A378" s="57"/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7"/>
      <c r="P378" s="7"/>
      <c r="Q378" s="7"/>
      <c r="R378" s="7"/>
      <c r="S378" s="7"/>
      <c r="T378" s="7"/>
      <c r="U378" s="7"/>
    </row>
    <row r="379" spans="1:21" outlineLevel="1">
      <c r="A379" s="57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7"/>
      <c r="P379" s="7"/>
      <c r="Q379" s="7"/>
      <c r="R379" s="7"/>
      <c r="S379" s="7"/>
      <c r="T379" s="7"/>
      <c r="U379" s="7"/>
    </row>
    <row r="380" spans="1:21" outlineLevel="1">
      <c r="A380" s="57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7"/>
      <c r="P380" s="7"/>
      <c r="Q380" s="7"/>
      <c r="R380" s="7"/>
      <c r="S380" s="7"/>
      <c r="T380" s="7"/>
      <c r="U380" s="7"/>
    </row>
    <row r="381" spans="1:21" outlineLevel="1">
      <c r="A381" s="57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7"/>
      <c r="P381" s="7"/>
      <c r="Q381" s="7"/>
      <c r="R381" s="7"/>
      <c r="S381" s="7"/>
      <c r="T381" s="7"/>
      <c r="U381" s="7"/>
    </row>
    <row r="382" spans="1:21" outlineLevel="1">
      <c r="A382" s="57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7"/>
      <c r="P382" s="7"/>
      <c r="Q382" s="7"/>
      <c r="R382" s="7"/>
      <c r="S382" s="7"/>
      <c r="T382" s="7"/>
      <c r="U382" s="7"/>
    </row>
    <row r="383" spans="1:21" outlineLevel="1">
      <c r="A383" s="57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7"/>
      <c r="P383" s="7"/>
      <c r="Q383" s="7"/>
      <c r="R383" s="7"/>
      <c r="S383" s="7"/>
      <c r="T383" s="7"/>
      <c r="U383" s="7"/>
    </row>
    <row r="384" spans="1:21" outlineLevel="1">
      <c r="A384" s="7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</row>
    <row r="385" spans="1:21" outlineLevel="1">
      <c r="A385" s="7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</row>
    <row r="386" spans="1:21" outlineLevel="1">
      <c r="A386" s="7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</row>
    <row r="387" spans="1:21" outlineLevel="1">
      <c r="A387" s="7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</row>
    <row r="388" spans="1:21" outlineLevel="1">
      <c r="A388" s="7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</row>
    <row r="389" spans="1:21" outlineLevel="1">
      <c r="A389" s="7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</row>
    <row r="390" spans="1:21" outlineLevel="1">
      <c r="A390" s="57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</row>
    <row r="391" spans="1:21" outlineLevel="1">
      <c r="A391" s="7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</row>
    <row r="392" spans="1:21" outlineLevel="1">
      <c r="A392" s="7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</row>
    <row r="393" spans="1:21" outlineLevel="1">
      <c r="A393" s="57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</row>
    <row r="394" spans="1:21" outlineLevel="1">
      <c r="A394" s="57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</row>
    <row r="395" spans="1:21" outlineLevel="1">
      <c r="A395" s="7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</row>
    <row r="396" spans="1:21" outlineLevel="1">
      <c r="A396" s="7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</row>
    <row r="397" spans="1:21" outlineLevel="1">
      <c r="A397" s="7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</row>
    <row r="398" spans="1:21" outlineLevel="1">
      <c r="A398" s="7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</row>
    <row r="399" spans="1:21" outlineLevel="1">
      <c r="A399" s="7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</row>
    <row r="400" spans="1:21" outlineLevel="1">
      <c r="A400" s="7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</row>
    <row r="401" spans="1:21" outlineLevel="1">
      <c r="A401" s="7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</row>
    <row r="402" spans="1:21" outlineLevel="1">
      <c r="A402" s="7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7"/>
      <c r="P402" s="7"/>
      <c r="Q402" s="7"/>
      <c r="R402" s="7"/>
      <c r="S402" s="7"/>
      <c r="T402" s="7"/>
      <c r="U402" s="7"/>
    </row>
    <row r="403" spans="1:21" outlineLevel="1">
      <c r="A403" s="57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7"/>
      <c r="P403" s="7"/>
      <c r="Q403" s="7"/>
      <c r="R403" s="7"/>
      <c r="S403" s="7"/>
      <c r="T403" s="7"/>
      <c r="U403" s="7"/>
    </row>
    <row r="404" spans="1:21" outlineLevel="1">
      <c r="A404" s="57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7"/>
      <c r="P404" s="7"/>
      <c r="Q404" s="7"/>
      <c r="R404" s="7"/>
      <c r="S404" s="7"/>
      <c r="T404" s="7"/>
      <c r="U404" s="7"/>
    </row>
    <row r="405" spans="1:21" outlineLevel="1">
      <c r="A405" s="57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7"/>
      <c r="P405" s="7"/>
      <c r="Q405" s="7"/>
      <c r="R405" s="7"/>
      <c r="S405" s="7"/>
      <c r="T405" s="7"/>
      <c r="U405" s="7"/>
    </row>
    <row r="406" spans="1:21" outlineLevel="1">
      <c r="A406" s="57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7"/>
      <c r="P406" s="7"/>
      <c r="Q406" s="7"/>
      <c r="R406" s="7"/>
      <c r="S406" s="7"/>
      <c r="T406" s="7"/>
      <c r="U406" s="7"/>
    </row>
    <row r="407" spans="1:21" outlineLevel="1">
      <c r="A407" s="57"/>
      <c r="B407" s="102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7"/>
      <c r="P407" s="7"/>
      <c r="Q407" s="7"/>
      <c r="R407" s="7"/>
      <c r="S407" s="7"/>
      <c r="T407" s="7"/>
      <c r="U407" s="7"/>
    </row>
    <row r="408" spans="1:21" outlineLevel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</row>
    <row r="409" spans="1:21" ht="18.75" outlineLevel="1">
      <c r="A409" s="84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</row>
    <row r="410" spans="1:21" outlineLevel="1">
      <c r="A410" s="5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</row>
    <row r="411" spans="1:21" outlineLevel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</row>
    <row r="412" spans="1:21" outlineLevel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</row>
    <row r="413" spans="1:21" outlineLevel="1">
      <c r="A413" s="2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</row>
    <row r="414" spans="1:21" outlineLevel="1">
      <c r="A414" s="7"/>
      <c r="B414" s="7"/>
      <c r="C414" s="73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</row>
    <row r="415" spans="1:21" outlineLevel="1">
      <c r="A415" s="57"/>
      <c r="B415" s="7"/>
      <c r="C415" s="73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7"/>
      <c r="P415" s="7"/>
      <c r="Q415" s="7"/>
      <c r="R415" s="7"/>
      <c r="S415" s="7"/>
      <c r="T415" s="7"/>
      <c r="U415" s="7"/>
    </row>
    <row r="416" spans="1:21" outlineLevel="1">
      <c r="A416" s="7"/>
      <c r="B416" s="7"/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"/>
      <c r="P416" s="7"/>
      <c r="Q416" s="7"/>
      <c r="R416" s="7"/>
      <c r="S416" s="7"/>
      <c r="T416" s="7"/>
      <c r="U416" s="7"/>
    </row>
    <row r="417" spans="1:21" outlineLevel="1">
      <c r="A417" s="7"/>
      <c r="B417" s="7"/>
      <c r="C417" s="73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7"/>
      <c r="P417" s="7"/>
      <c r="Q417" s="7"/>
      <c r="R417" s="7"/>
      <c r="S417" s="7"/>
      <c r="T417" s="7"/>
      <c r="U417" s="7"/>
    </row>
    <row r="418" spans="1:21" outlineLevel="1">
      <c r="A418" s="7"/>
      <c r="B418" s="7"/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"/>
      <c r="P418" s="7"/>
      <c r="Q418" s="7"/>
      <c r="R418" s="7"/>
      <c r="S418" s="7"/>
      <c r="T418" s="7"/>
      <c r="U418" s="7"/>
    </row>
    <row r="419" spans="1:21" outlineLevel="1">
      <c r="A419" s="7"/>
      <c r="B419" s="7"/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"/>
      <c r="P419" s="7"/>
      <c r="Q419" s="7"/>
      <c r="R419" s="7"/>
      <c r="S419" s="7"/>
      <c r="T419" s="7"/>
      <c r="U419" s="7"/>
    </row>
    <row r="420" spans="1:21" outlineLevel="1">
      <c r="A420" s="94"/>
      <c r="B420" s="7"/>
      <c r="C420" s="73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7"/>
      <c r="P420" s="7"/>
      <c r="Q420" s="7"/>
      <c r="R420" s="7"/>
      <c r="S420" s="7"/>
      <c r="T420" s="7"/>
      <c r="U420" s="7"/>
    </row>
    <row r="421" spans="1:21" outlineLevel="1">
      <c r="A421" s="94"/>
      <c r="B421" s="7"/>
      <c r="C421" s="73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7"/>
      <c r="P421" s="7"/>
      <c r="Q421" s="7"/>
      <c r="R421" s="7"/>
      <c r="S421" s="7"/>
      <c r="T421" s="7"/>
      <c r="U421" s="7"/>
    </row>
    <row r="422" spans="1:21" outlineLevel="1">
      <c r="A422" s="57"/>
      <c r="B422" s="7"/>
      <c r="C422" s="73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</row>
    <row r="423" spans="1:21" outlineLevel="1">
      <c r="A423" s="7"/>
      <c r="B423" s="102"/>
      <c r="C423" s="103"/>
      <c r="D423" s="103"/>
      <c r="E423" s="103"/>
      <c r="F423" s="103"/>
      <c r="G423" s="103"/>
      <c r="H423" s="103"/>
      <c r="I423" s="103"/>
      <c r="J423" s="103"/>
      <c r="K423" s="103"/>
      <c r="L423" s="103"/>
      <c r="M423" s="103"/>
      <c r="N423" s="103"/>
      <c r="O423" s="7"/>
      <c r="P423" s="7"/>
      <c r="Q423" s="7"/>
      <c r="R423" s="7"/>
      <c r="S423" s="7"/>
      <c r="T423" s="7"/>
      <c r="U423" s="7"/>
    </row>
    <row r="424" spans="1:21" outlineLevel="1">
      <c r="A424" s="7"/>
      <c r="B424" s="7"/>
      <c r="C424" s="73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</row>
    <row r="425" spans="1:21" outlineLevel="1">
      <c r="A425" s="57"/>
      <c r="B425" s="7"/>
      <c r="C425" s="73"/>
      <c r="D425" s="98"/>
      <c r="E425" s="98"/>
      <c r="F425" s="98"/>
      <c r="G425" s="98"/>
      <c r="H425" s="98"/>
      <c r="I425" s="98"/>
      <c r="J425" s="98"/>
      <c r="K425" s="98"/>
      <c r="L425" s="98"/>
      <c r="M425" s="98"/>
      <c r="N425" s="98"/>
      <c r="O425" s="7"/>
      <c r="P425" s="7"/>
      <c r="Q425" s="7"/>
      <c r="R425" s="7"/>
      <c r="S425" s="7"/>
      <c r="T425" s="7"/>
      <c r="U425" s="7"/>
    </row>
    <row r="426" spans="1:21" outlineLevel="1">
      <c r="A426" s="7"/>
      <c r="B426" s="7"/>
      <c r="C426" s="73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7"/>
      <c r="P426" s="7"/>
      <c r="Q426" s="7"/>
      <c r="R426" s="7"/>
      <c r="S426" s="7"/>
      <c r="T426" s="7"/>
      <c r="U426" s="7"/>
    </row>
    <row r="427" spans="1:21" outlineLevel="1">
      <c r="A427" s="57"/>
      <c r="B427" s="7"/>
      <c r="C427" s="73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7"/>
      <c r="P427" s="7"/>
      <c r="Q427" s="7"/>
      <c r="R427" s="7"/>
      <c r="S427" s="7"/>
      <c r="T427" s="7"/>
      <c r="U427" s="7"/>
    </row>
    <row r="428" spans="1:21" outlineLevel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</row>
    <row r="429" spans="1:21" outlineLevel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</row>
    <row r="430" spans="1:21" s="106" customFormat="1" ht="18.75" outlineLevel="1">
      <c r="A430" s="104"/>
      <c r="B430" s="105"/>
      <c r="C430" s="105"/>
    </row>
    <row r="431" spans="1:21" s="106" customFormat="1" outlineLevel="1">
      <c r="A431" s="105"/>
      <c r="B431" s="107"/>
      <c r="C431" s="108"/>
      <c r="D431" s="105"/>
      <c r="E431" s="109"/>
    </row>
    <row r="432" spans="1:21" s="106" customFormat="1" outlineLevel="1">
      <c r="A432" s="105"/>
      <c r="B432" s="110"/>
      <c r="C432" s="88"/>
      <c r="D432" s="88"/>
      <c r="E432" s="109"/>
    </row>
    <row r="433" spans="1:21" s="106" customFormat="1" outlineLevel="1">
      <c r="A433" s="105"/>
      <c r="B433" s="88"/>
      <c r="C433" s="109"/>
      <c r="D433" s="88"/>
      <c r="E433" s="110"/>
    </row>
    <row r="434" spans="1:21" s="106" customFormat="1" outlineLevel="1">
      <c r="A434" s="111"/>
      <c r="B434" s="107"/>
      <c r="C434" s="107"/>
      <c r="D434" s="107"/>
      <c r="E434" s="107"/>
      <c r="F434" s="107"/>
      <c r="G434" s="107"/>
      <c r="H434" s="107"/>
      <c r="I434" s="107"/>
      <c r="J434" s="107"/>
      <c r="K434" s="107"/>
      <c r="L434" s="107"/>
      <c r="M434" s="107"/>
      <c r="N434" s="107"/>
      <c r="O434" s="107"/>
      <c r="P434" s="107"/>
      <c r="Q434" s="107"/>
      <c r="R434" s="107"/>
      <c r="S434" s="107"/>
      <c r="T434" s="107"/>
      <c r="U434" s="107"/>
    </row>
    <row r="435" spans="1:21" s="106" customFormat="1" outlineLevel="1">
      <c r="A435" s="80"/>
      <c r="B435" s="105"/>
      <c r="C435" s="112"/>
      <c r="D435" s="112"/>
      <c r="E435" s="112"/>
      <c r="F435" s="112"/>
      <c r="G435" s="112"/>
      <c r="H435" s="112"/>
      <c r="I435" s="112"/>
      <c r="J435" s="112"/>
      <c r="K435" s="112"/>
      <c r="L435" s="112"/>
      <c r="M435" s="112"/>
      <c r="N435" s="112"/>
      <c r="O435" s="112"/>
      <c r="P435" s="112"/>
      <c r="Q435" s="112"/>
      <c r="R435" s="112"/>
      <c r="S435" s="112"/>
      <c r="T435" s="112"/>
      <c r="U435" s="112"/>
    </row>
    <row r="436" spans="1:21" s="106" customFormat="1" outlineLevel="1">
      <c r="A436" s="79"/>
      <c r="B436" s="112"/>
      <c r="C436" s="112"/>
      <c r="D436" s="112"/>
      <c r="E436" s="112"/>
      <c r="F436" s="112"/>
      <c r="G436" s="112"/>
      <c r="H436" s="112"/>
      <c r="I436" s="112"/>
      <c r="J436" s="112"/>
      <c r="K436" s="112"/>
      <c r="L436" s="112"/>
      <c r="M436" s="112"/>
      <c r="N436" s="112"/>
      <c r="O436" s="112"/>
      <c r="P436" s="112"/>
      <c r="Q436" s="112"/>
      <c r="R436" s="112"/>
      <c r="S436" s="112"/>
      <c r="T436" s="112"/>
      <c r="U436" s="112"/>
    </row>
    <row r="437" spans="1:21" s="106" customFormat="1" outlineLevel="1">
      <c r="A437" s="79"/>
      <c r="B437" s="112"/>
      <c r="C437" s="112"/>
      <c r="D437" s="112"/>
      <c r="E437" s="112"/>
      <c r="F437" s="112"/>
      <c r="G437" s="112"/>
      <c r="H437" s="112"/>
      <c r="I437" s="112"/>
      <c r="J437" s="112"/>
      <c r="K437" s="112"/>
      <c r="L437" s="112"/>
      <c r="M437" s="112"/>
      <c r="N437" s="112"/>
      <c r="O437" s="112"/>
      <c r="P437" s="112"/>
      <c r="Q437" s="112"/>
      <c r="R437" s="112"/>
      <c r="S437" s="112"/>
      <c r="T437" s="112"/>
      <c r="U437" s="112"/>
    </row>
    <row r="438" spans="1:21" s="106" customFormat="1" outlineLevel="1">
      <c r="A438" s="79"/>
      <c r="B438" s="112"/>
      <c r="C438" s="112"/>
      <c r="D438" s="112"/>
      <c r="E438" s="112"/>
      <c r="F438" s="112"/>
      <c r="G438" s="112"/>
      <c r="H438" s="112"/>
      <c r="I438" s="112"/>
      <c r="J438" s="112"/>
      <c r="K438" s="112"/>
      <c r="L438" s="112"/>
      <c r="M438" s="112"/>
      <c r="N438" s="112"/>
      <c r="O438" s="112"/>
      <c r="P438" s="112"/>
      <c r="Q438" s="112"/>
      <c r="R438" s="112"/>
      <c r="S438" s="112"/>
      <c r="T438" s="112"/>
      <c r="U438" s="112"/>
    </row>
    <row r="439" spans="1:21" s="106" customFormat="1" outlineLevel="1">
      <c r="A439" s="78"/>
      <c r="B439" s="112"/>
      <c r="C439" s="112"/>
      <c r="D439" s="112"/>
      <c r="E439" s="112"/>
      <c r="F439" s="112"/>
      <c r="G439" s="112"/>
      <c r="H439" s="112"/>
      <c r="I439" s="112"/>
      <c r="J439" s="112"/>
      <c r="K439" s="112"/>
      <c r="L439" s="112"/>
      <c r="M439" s="112"/>
      <c r="N439" s="112"/>
      <c r="O439" s="112"/>
      <c r="P439" s="112"/>
      <c r="Q439" s="112"/>
      <c r="R439" s="112"/>
      <c r="S439" s="112"/>
      <c r="T439" s="112"/>
      <c r="U439" s="112"/>
    </row>
    <row r="440" spans="1:21" s="106" customFormat="1" outlineLevel="1">
      <c r="A440" s="69"/>
      <c r="B440" s="112"/>
      <c r="C440" s="112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2"/>
      <c r="Q440" s="112"/>
      <c r="R440" s="112"/>
      <c r="S440" s="112"/>
      <c r="T440" s="112"/>
      <c r="U440" s="112"/>
    </row>
    <row r="441" spans="1:21" s="106" customFormat="1" outlineLevel="1">
      <c r="A441" s="80"/>
      <c r="B441" s="112"/>
      <c r="C441" s="112"/>
      <c r="D441" s="112"/>
      <c r="E441" s="112"/>
      <c r="F441" s="112"/>
      <c r="G441" s="112"/>
      <c r="H441" s="112"/>
      <c r="I441" s="112"/>
      <c r="J441" s="112"/>
      <c r="K441" s="112"/>
      <c r="L441" s="112"/>
      <c r="M441" s="112"/>
      <c r="N441" s="112"/>
      <c r="O441" s="112"/>
      <c r="P441" s="112"/>
      <c r="Q441" s="112"/>
      <c r="R441" s="112"/>
      <c r="S441" s="112"/>
      <c r="T441" s="112"/>
      <c r="U441" s="112"/>
    </row>
    <row r="442" spans="1:21" s="106" customFormat="1" outlineLevel="1">
      <c r="A442" s="113"/>
      <c r="B442" s="112"/>
      <c r="C442" s="112"/>
      <c r="D442" s="112"/>
      <c r="E442" s="112"/>
      <c r="F442" s="112"/>
      <c r="G442" s="112"/>
      <c r="H442" s="112"/>
      <c r="I442" s="112"/>
      <c r="J442" s="112"/>
      <c r="K442" s="112"/>
      <c r="L442" s="112"/>
      <c r="M442" s="112"/>
      <c r="N442" s="112"/>
      <c r="O442" s="112"/>
      <c r="P442" s="112"/>
      <c r="Q442" s="112"/>
      <c r="R442" s="112"/>
      <c r="S442" s="112"/>
      <c r="T442" s="112"/>
      <c r="U442" s="112"/>
    </row>
    <row r="443" spans="1:21" s="106" customFormat="1" outlineLevel="1">
      <c r="A443" s="113"/>
      <c r="B443" s="112"/>
      <c r="C443" s="112"/>
      <c r="D443" s="112"/>
      <c r="E443" s="112"/>
      <c r="F443" s="112"/>
      <c r="G443" s="112"/>
      <c r="H443" s="112"/>
      <c r="I443" s="112"/>
      <c r="J443" s="112"/>
      <c r="K443" s="112"/>
      <c r="L443" s="112"/>
      <c r="M443" s="112"/>
      <c r="N443" s="112"/>
      <c r="O443" s="112"/>
      <c r="P443" s="112"/>
      <c r="Q443" s="112"/>
      <c r="R443" s="112"/>
      <c r="S443" s="112"/>
      <c r="T443" s="112"/>
      <c r="U443" s="112"/>
    </row>
    <row r="444" spans="1:21" s="106" customFormat="1" outlineLevel="1">
      <c r="A444" s="113"/>
      <c r="B444" s="112"/>
      <c r="C444" s="112"/>
      <c r="D444" s="112"/>
      <c r="E444" s="112"/>
      <c r="F444" s="112"/>
      <c r="G444" s="112"/>
      <c r="H444" s="112"/>
      <c r="I444" s="112"/>
      <c r="J444" s="112"/>
      <c r="K444" s="112"/>
      <c r="L444" s="112"/>
      <c r="M444" s="112"/>
      <c r="N444" s="112"/>
      <c r="O444" s="112"/>
      <c r="P444" s="112"/>
      <c r="Q444" s="112"/>
      <c r="R444" s="112"/>
      <c r="S444" s="112"/>
      <c r="T444" s="112"/>
      <c r="U444" s="112"/>
    </row>
    <row r="445" spans="1:21" s="106" customFormat="1" outlineLevel="1">
      <c r="A445" s="113"/>
      <c r="B445" s="112"/>
      <c r="C445" s="112"/>
      <c r="D445" s="112"/>
      <c r="E445" s="112"/>
      <c r="F445" s="112"/>
      <c r="G445" s="112"/>
      <c r="H445" s="112"/>
      <c r="I445" s="112"/>
      <c r="J445" s="112"/>
      <c r="K445" s="112"/>
      <c r="L445" s="112"/>
      <c r="M445" s="112"/>
      <c r="N445" s="112"/>
      <c r="O445" s="112"/>
      <c r="P445" s="112"/>
      <c r="Q445" s="112"/>
      <c r="R445" s="112"/>
      <c r="S445" s="112"/>
      <c r="T445" s="112"/>
      <c r="U445" s="112"/>
    </row>
    <row r="446" spans="1:21" s="106" customFormat="1" outlineLevel="1">
      <c r="A446" s="113"/>
      <c r="B446" s="112"/>
      <c r="C446" s="112"/>
      <c r="D446" s="112"/>
      <c r="E446" s="112"/>
      <c r="F446" s="112"/>
      <c r="G446" s="112"/>
      <c r="H446" s="112"/>
      <c r="I446" s="112"/>
      <c r="J446" s="112"/>
      <c r="K446" s="112"/>
      <c r="L446" s="112"/>
      <c r="M446" s="112"/>
      <c r="N446" s="112"/>
      <c r="O446" s="112"/>
      <c r="P446" s="112"/>
      <c r="Q446" s="112"/>
      <c r="R446" s="112"/>
      <c r="S446" s="112"/>
      <c r="T446" s="112"/>
      <c r="U446" s="112"/>
    </row>
    <row r="447" spans="1:21" s="106" customFormat="1" outlineLevel="1">
      <c r="A447" s="83"/>
      <c r="B447" s="112"/>
      <c r="C447" s="112"/>
      <c r="D447" s="112"/>
      <c r="E447" s="112"/>
      <c r="F447" s="112"/>
      <c r="G447" s="112"/>
      <c r="H447" s="112"/>
      <c r="I447" s="112"/>
      <c r="J447" s="112"/>
      <c r="K447" s="112"/>
      <c r="L447" s="112"/>
      <c r="M447" s="112"/>
      <c r="N447" s="112"/>
      <c r="O447" s="112"/>
      <c r="P447" s="112"/>
      <c r="Q447" s="112"/>
      <c r="R447" s="112"/>
      <c r="S447" s="112"/>
      <c r="T447" s="112"/>
      <c r="U447" s="112"/>
    </row>
    <row r="448" spans="1:21" s="106" customFormat="1" outlineLevel="1">
      <c r="A448" s="113"/>
      <c r="B448" s="112"/>
      <c r="C448" s="112"/>
      <c r="D448" s="112"/>
      <c r="E448" s="112"/>
      <c r="F448" s="112"/>
      <c r="G448" s="112"/>
      <c r="H448" s="112"/>
      <c r="I448" s="112"/>
      <c r="J448" s="112"/>
      <c r="K448" s="112"/>
      <c r="L448" s="112"/>
      <c r="M448" s="112"/>
      <c r="N448" s="112"/>
      <c r="O448" s="112"/>
      <c r="P448" s="112"/>
      <c r="Q448" s="112"/>
      <c r="R448" s="112"/>
      <c r="S448" s="112"/>
      <c r="T448" s="112"/>
      <c r="U448" s="112"/>
    </row>
    <row r="449" spans="1:21" s="106" customFormat="1" outlineLevel="1">
      <c r="A449" s="113"/>
      <c r="B449" s="112"/>
      <c r="C449" s="112"/>
      <c r="D449" s="112"/>
      <c r="E449" s="112"/>
      <c r="F449" s="112"/>
      <c r="G449" s="112"/>
      <c r="H449" s="112"/>
      <c r="I449" s="112"/>
      <c r="J449" s="112"/>
      <c r="K449" s="112"/>
      <c r="L449" s="112"/>
      <c r="M449" s="112"/>
      <c r="N449" s="112"/>
      <c r="O449" s="112"/>
      <c r="P449" s="112"/>
      <c r="Q449" s="112"/>
      <c r="R449" s="112"/>
      <c r="S449" s="112"/>
      <c r="T449" s="112"/>
      <c r="U449" s="112"/>
    </row>
    <row r="450" spans="1:21" s="106" customFormat="1" outlineLevel="1">
      <c r="A450" s="113"/>
      <c r="B450" s="112"/>
      <c r="C450" s="112"/>
      <c r="D450" s="112"/>
      <c r="E450" s="112"/>
      <c r="F450" s="112"/>
      <c r="G450" s="112"/>
      <c r="H450" s="112"/>
      <c r="I450" s="112"/>
      <c r="J450" s="112"/>
      <c r="K450" s="112"/>
      <c r="L450" s="112"/>
      <c r="M450" s="112"/>
      <c r="N450" s="112"/>
      <c r="O450" s="112"/>
      <c r="P450" s="112"/>
      <c r="Q450" s="112"/>
      <c r="R450" s="112"/>
      <c r="S450" s="112"/>
      <c r="T450" s="112"/>
      <c r="U450" s="112"/>
    </row>
    <row r="451" spans="1:21" s="106" customFormat="1" outlineLevel="1">
      <c r="A451" s="113"/>
      <c r="B451" s="112"/>
      <c r="C451" s="112"/>
      <c r="D451" s="112"/>
      <c r="E451" s="112"/>
      <c r="F451" s="112"/>
      <c r="G451" s="112"/>
      <c r="H451" s="112"/>
      <c r="I451" s="112"/>
      <c r="J451" s="112"/>
      <c r="K451" s="112"/>
      <c r="L451" s="112"/>
      <c r="M451" s="112"/>
      <c r="N451" s="112"/>
      <c r="O451" s="112"/>
      <c r="P451" s="112"/>
      <c r="Q451" s="112"/>
      <c r="R451" s="112"/>
      <c r="S451" s="112"/>
      <c r="T451" s="112"/>
      <c r="U451" s="112"/>
    </row>
    <row r="452" spans="1:21" s="106" customFormat="1" outlineLevel="1">
      <c r="A452" s="113"/>
      <c r="B452" s="112"/>
      <c r="C452" s="112"/>
      <c r="D452" s="112"/>
      <c r="E452" s="112"/>
      <c r="F452" s="112"/>
      <c r="G452" s="112"/>
      <c r="H452" s="112"/>
      <c r="I452" s="112"/>
      <c r="J452" s="112"/>
      <c r="K452" s="112"/>
      <c r="L452" s="112"/>
      <c r="M452" s="112"/>
      <c r="N452" s="112"/>
      <c r="O452" s="112"/>
      <c r="P452" s="112"/>
      <c r="Q452" s="112"/>
      <c r="R452" s="112"/>
      <c r="S452" s="112"/>
      <c r="T452" s="112"/>
      <c r="U452" s="112"/>
    </row>
    <row r="453" spans="1:21" s="106" customFormat="1" outlineLevel="1">
      <c r="A453" s="80"/>
      <c r="B453" s="112"/>
      <c r="C453" s="112"/>
      <c r="D453" s="112"/>
      <c r="E453" s="112"/>
      <c r="F453" s="112"/>
      <c r="G453" s="112"/>
      <c r="H453" s="112"/>
      <c r="I453" s="112"/>
      <c r="J453" s="112"/>
      <c r="K453" s="112"/>
      <c r="L453" s="112"/>
      <c r="M453" s="112"/>
      <c r="N453" s="112"/>
      <c r="O453" s="112"/>
      <c r="P453" s="112"/>
      <c r="Q453" s="112"/>
      <c r="R453" s="112"/>
      <c r="S453" s="112"/>
      <c r="T453" s="112"/>
      <c r="U453" s="112"/>
    </row>
    <row r="454" spans="1:21" s="106" customFormat="1" outlineLevel="1">
      <c r="A454" s="80"/>
      <c r="B454" s="112"/>
      <c r="C454" s="112"/>
      <c r="D454" s="112"/>
      <c r="E454" s="112"/>
      <c r="F454" s="112"/>
      <c r="G454" s="112"/>
      <c r="H454" s="112"/>
      <c r="I454" s="112"/>
      <c r="J454" s="112"/>
      <c r="K454" s="112"/>
      <c r="L454" s="112"/>
      <c r="M454" s="112"/>
      <c r="N454" s="112"/>
      <c r="O454" s="112"/>
      <c r="P454" s="112"/>
      <c r="Q454" s="112"/>
      <c r="R454" s="112"/>
      <c r="S454" s="112"/>
      <c r="T454" s="112"/>
      <c r="U454" s="112"/>
    </row>
    <row r="455" spans="1:21" s="106" customFormat="1" outlineLevel="1">
      <c r="A455" s="80"/>
      <c r="B455" s="112"/>
      <c r="C455" s="112"/>
      <c r="D455" s="112"/>
      <c r="E455" s="112"/>
      <c r="F455" s="112"/>
      <c r="G455" s="112"/>
      <c r="H455" s="112"/>
      <c r="I455" s="112"/>
      <c r="J455" s="112"/>
      <c r="K455" s="112"/>
      <c r="L455" s="112"/>
      <c r="M455" s="112"/>
      <c r="N455" s="112"/>
      <c r="O455" s="112"/>
      <c r="P455" s="112"/>
      <c r="Q455" s="112"/>
      <c r="R455" s="112"/>
      <c r="S455" s="112"/>
      <c r="T455" s="112"/>
      <c r="U455" s="112"/>
    </row>
    <row r="456" spans="1:21" s="106" customFormat="1" outlineLevel="1">
      <c r="A456" s="80"/>
      <c r="B456" s="112"/>
      <c r="C456" s="112"/>
      <c r="D456" s="112"/>
      <c r="E456" s="112"/>
      <c r="F456" s="112"/>
      <c r="G456" s="112"/>
      <c r="H456" s="112"/>
      <c r="I456" s="112"/>
      <c r="J456" s="112"/>
      <c r="K456" s="112"/>
      <c r="L456" s="112"/>
      <c r="M456" s="112"/>
      <c r="N456" s="112"/>
      <c r="O456" s="112"/>
      <c r="P456" s="112"/>
      <c r="Q456" s="112"/>
      <c r="R456" s="112"/>
      <c r="S456" s="112"/>
      <c r="T456" s="112"/>
      <c r="U456" s="112"/>
    </row>
    <row r="457" spans="1:21" s="106" customFormat="1" outlineLevel="1">
      <c r="A457" s="79"/>
      <c r="B457" s="112"/>
      <c r="C457" s="112"/>
      <c r="D457" s="112"/>
      <c r="E457" s="112"/>
      <c r="F457" s="112"/>
      <c r="G457" s="112"/>
      <c r="H457" s="112"/>
      <c r="I457" s="112"/>
      <c r="J457" s="112"/>
      <c r="K457" s="112"/>
      <c r="L457" s="112"/>
      <c r="M457" s="112"/>
      <c r="N457" s="112"/>
      <c r="O457" s="112"/>
      <c r="P457" s="112"/>
      <c r="Q457" s="112"/>
      <c r="R457" s="112"/>
      <c r="S457" s="112"/>
      <c r="T457" s="112"/>
      <c r="U457" s="112"/>
    </row>
    <row r="458" spans="1:21" s="106" customFormat="1" outlineLevel="1">
      <c r="A458" s="79"/>
      <c r="B458" s="112"/>
      <c r="C458" s="112"/>
      <c r="D458" s="112"/>
      <c r="E458" s="112"/>
      <c r="F458" s="112"/>
      <c r="G458" s="112"/>
      <c r="H458" s="112"/>
      <c r="I458" s="112"/>
      <c r="J458" s="112"/>
      <c r="K458" s="112"/>
      <c r="L458" s="112"/>
      <c r="M458" s="112"/>
      <c r="N458" s="112"/>
      <c r="O458" s="112"/>
      <c r="P458" s="112"/>
      <c r="Q458" s="112"/>
      <c r="R458" s="112"/>
      <c r="S458" s="112"/>
      <c r="T458" s="112"/>
      <c r="U458" s="112"/>
    </row>
    <row r="459" spans="1:21" s="106" customFormat="1" outlineLevel="1">
      <c r="A459" s="80"/>
      <c r="B459" s="112"/>
      <c r="C459" s="112"/>
      <c r="D459" s="112"/>
      <c r="E459" s="112"/>
      <c r="F459" s="112"/>
      <c r="G459" s="112"/>
      <c r="H459" s="112"/>
      <c r="I459" s="112"/>
      <c r="J459" s="112"/>
      <c r="K459" s="112"/>
      <c r="L459" s="112"/>
      <c r="M459" s="112"/>
      <c r="N459" s="112"/>
      <c r="O459" s="112"/>
      <c r="P459" s="112"/>
      <c r="Q459" s="112"/>
      <c r="R459" s="112"/>
      <c r="S459" s="112"/>
      <c r="T459" s="112"/>
      <c r="U459" s="112"/>
    </row>
    <row r="460" spans="1:21" s="106" customFormat="1" outlineLevel="1">
      <c r="A460" s="82"/>
      <c r="B460" s="114"/>
      <c r="C460" s="114"/>
      <c r="D460" s="114"/>
      <c r="E460" s="114"/>
      <c r="F460" s="114"/>
      <c r="G460" s="114"/>
      <c r="H460" s="114"/>
      <c r="I460" s="114"/>
      <c r="J460" s="114"/>
      <c r="K460" s="114"/>
      <c r="L460" s="114"/>
      <c r="M460" s="114"/>
      <c r="N460" s="114"/>
      <c r="O460" s="114"/>
      <c r="P460" s="114"/>
      <c r="Q460" s="114"/>
      <c r="R460" s="114"/>
      <c r="S460" s="114"/>
      <c r="T460" s="114"/>
      <c r="U460" s="114"/>
    </row>
    <row r="461" spans="1:21" s="106" customFormat="1" outlineLevel="1">
      <c r="A461" s="79"/>
      <c r="B461" s="112"/>
      <c r="C461" s="112"/>
      <c r="D461" s="112"/>
      <c r="E461" s="112"/>
      <c r="F461" s="112"/>
      <c r="G461" s="112"/>
      <c r="H461" s="112"/>
      <c r="I461" s="112"/>
      <c r="J461" s="112"/>
      <c r="K461" s="112"/>
      <c r="L461" s="112"/>
      <c r="M461" s="112"/>
      <c r="N461" s="112"/>
      <c r="O461" s="112"/>
      <c r="P461" s="112"/>
      <c r="Q461" s="112"/>
      <c r="R461" s="112"/>
      <c r="S461" s="112"/>
      <c r="T461" s="112"/>
      <c r="U461" s="112"/>
    </row>
    <row r="462" spans="1:21" s="106" customFormat="1" ht="13.9" customHeight="1" outlineLevel="1">
      <c r="A462" s="78"/>
      <c r="B462" s="112"/>
      <c r="C462" s="112"/>
      <c r="D462" s="112"/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</row>
    <row r="463" spans="1:21" s="116" customFormat="1" outlineLevel="1">
      <c r="A463" s="115"/>
      <c r="B463" s="112"/>
      <c r="C463" s="112"/>
      <c r="D463" s="112"/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</row>
    <row r="464" spans="1:21" s="106" customFormat="1" outlineLevel="1">
      <c r="A464" s="78"/>
      <c r="B464" s="112"/>
      <c r="C464" s="112"/>
      <c r="D464" s="112"/>
      <c r="E464" s="112"/>
      <c r="F464" s="112"/>
      <c r="G464" s="112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</row>
    <row r="465" spans="1:21" s="106" customFormat="1" outlineLevel="1">
      <c r="A465" s="79"/>
      <c r="B465" s="112"/>
      <c r="C465" s="112"/>
      <c r="D465" s="112"/>
      <c r="E465" s="112"/>
      <c r="F465" s="112"/>
      <c r="G465" s="112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</row>
    <row r="466" spans="1:21" s="106" customFormat="1" outlineLevel="1">
      <c r="A466" s="79"/>
      <c r="B466" s="112"/>
      <c r="C466" s="112"/>
      <c r="D466" s="112"/>
      <c r="E466" s="112"/>
      <c r="F466" s="112"/>
      <c r="G466" s="112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</row>
    <row r="467" spans="1:21" s="106" customFormat="1" outlineLevel="1">
      <c r="A467" s="79"/>
      <c r="B467" s="112"/>
      <c r="C467" s="112"/>
      <c r="D467" s="112"/>
      <c r="E467" s="112"/>
      <c r="F467" s="112"/>
      <c r="G467" s="112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</row>
    <row r="468" spans="1:21" s="106" customFormat="1" outlineLevel="1">
      <c r="A468" s="79"/>
      <c r="B468" s="112"/>
      <c r="C468" s="112"/>
      <c r="D468" s="112"/>
      <c r="E468" s="112"/>
      <c r="F468" s="112"/>
      <c r="G468" s="112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</row>
    <row r="469" spans="1:21" s="106" customFormat="1" outlineLevel="1">
      <c r="A469" s="80"/>
      <c r="B469" s="112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</row>
    <row r="470" spans="1:21" s="116" customFormat="1" outlineLevel="1">
      <c r="A470" s="117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</row>
    <row r="471" spans="1:21" s="106" customFormat="1" outlineLevel="1">
      <c r="A471" s="79"/>
      <c r="B471" s="112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</row>
    <row r="472" spans="1:21" s="106" customFormat="1" outlineLevel="1">
      <c r="A472" s="82"/>
      <c r="B472" s="112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</row>
    <row r="473" spans="1:21" s="106" customFormat="1" outlineLevel="1">
      <c r="A473" s="82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</row>
    <row r="474" spans="1:21" s="106" customFormat="1" outlineLevel="1">
      <c r="A474" s="82"/>
      <c r="B474" s="112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</row>
    <row r="475" spans="1:21" s="106" customFormat="1" outlineLevel="1">
      <c r="A475" s="79"/>
      <c r="B475" s="112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</row>
    <row r="476" spans="1:21" s="116" customFormat="1" outlineLevel="1">
      <c r="A476" s="115"/>
      <c r="B476" s="112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</row>
    <row r="477" spans="1:21" s="106" customFormat="1" outlineLevel="1">
      <c r="A477" s="79"/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</row>
    <row r="478" spans="1:21" s="106" customFormat="1" outlineLevel="1">
      <c r="A478" s="82"/>
      <c r="B478" s="112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</row>
    <row r="479" spans="1:21" s="106" customFormat="1" outlineLevel="1">
      <c r="A479" s="78"/>
      <c r="B479" s="112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</row>
    <row r="480" spans="1:21" s="116" customFormat="1" outlineLevel="1">
      <c r="A480" s="117"/>
      <c r="B480" s="112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</row>
    <row r="481" spans="1:21" s="106" customFormat="1" outlineLevel="1">
      <c r="A481" s="80"/>
      <c r="B481" s="112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</row>
    <row r="482" spans="1:21" s="116" customFormat="1" outlineLevel="1">
      <c r="A482" s="117"/>
      <c r="B482" s="112"/>
      <c r="C482" s="112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</row>
    <row r="483" spans="1:21" s="106" customFormat="1" outlineLevel="1">
      <c r="A483" s="80"/>
      <c r="B483" s="112"/>
      <c r="C483" s="112"/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</row>
    <row r="484" spans="1:21" s="106" customFormat="1" outlineLevel="1">
      <c r="A484" s="80"/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</row>
    <row r="485" spans="1:21" s="106" customFormat="1" outlineLevel="1">
      <c r="A485" s="80"/>
      <c r="B485" s="112"/>
      <c r="C485" s="112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</row>
    <row r="486" spans="1:21" outlineLevel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</row>
    <row r="487" spans="1:21" outlineLevel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</row>
    <row r="488" spans="1:21" outlineLevel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</row>
    <row r="489" spans="1:21" ht="18.75" outlineLevel="1">
      <c r="A489" s="8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</row>
    <row r="490" spans="1:21" outlineLevel="1">
      <c r="A490" s="5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</row>
    <row r="491" spans="1:21" outlineLevel="1">
      <c r="A491" s="118"/>
      <c r="B491" s="92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7"/>
      <c r="N491" s="7"/>
      <c r="O491" s="7"/>
      <c r="P491" s="7"/>
      <c r="Q491" s="7"/>
      <c r="R491" s="7"/>
      <c r="S491" s="7"/>
      <c r="T491" s="7"/>
      <c r="U491" s="7"/>
    </row>
    <row r="492" spans="1:21" outlineLevel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</row>
    <row r="493" spans="1:21" outlineLevel="1">
      <c r="A493" s="2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7"/>
      <c r="N493" s="7"/>
      <c r="O493" s="7"/>
      <c r="P493" s="7"/>
      <c r="Q493" s="7"/>
      <c r="R493" s="7"/>
      <c r="S493" s="7"/>
      <c r="T493" s="7"/>
      <c r="U493" s="7"/>
    </row>
    <row r="494" spans="1:21" hidden="1" outlineLevel="2">
      <c r="A494" s="5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</row>
    <row r="495" spans="1:21" hidden="1" outlineLevel="2">
      <c r="A495" s="86"/>
      <c r="B495" s="8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7"/>
      <c r="N495" s="7"/>
      <c r="O495" s="7"/>
      <c r="P495" s="7"/>
      <c r="Q495" s="7"/>
      <c r="R495" s="7"/>
      <c r="S495" s="7"/>
      <c r="T495" s="7"/>
      <c r="U495" s="7"/>
    </row>
    <row r="496" spans="1:21" hidden="1" outlineLevel="2">
      <c r="A496" s="86"/>
      <c r="B496" s="8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7"/>
      <c r="N496" s="7"/>
      <c r="O496" s="7"/>
      <c r="P496" s="7"/>
      <c r="Q496" s="7"/>
      <c r="R496" s="7"/>
      <c r="S496" s="7"/>
      <c r="T496" s="7"/>
      <c r="U496" s="7"/>
    </row>
    <row r="497" spans="1:21" hidden="1" outlineLevel="2">
      <c r="A497" s="119"/>
      <c r="B497" s="8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7"/>
      <c r="N497" s="7"/>
      <c r="O497" s="7"/>
      <c r="P497" s="7"/>
      <c r="Q497" s="7"/>
      <c r="R497" s="7"/>
      <c r="S497" s="7"/>
      <c r="T497" s="7"/>
      <c r="U497" s="7"/>
    </row>
    <row r="498" spans="1:21" hidden="1" outlineLevel="2">
      <c r="A498" s="86"/>
      <c r="B498" s="8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7"/>
      <c r="N498" s="7"/>
      <c r="O498" s="7"/>
      <c r="P498" s="7"/>
      <c r="Q498" s="7"/>
      <c r="R498" s="7"/>
      <c r="S498" s="7"/>
      <c r="T498" s="7"/>
      <c r="U498" s="7"/>
    </row>
    <row r="499" spans="1:21" hidden="1" outlineLevel="2">
      <c r="A499" s="7"/>
      <c r="B499" s="8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7"/>
      <c r="N499" s="7"/>
      <c r="O499" s="7"/>
      <c r="P499" s="7"/>
      <c r="Q499" s="7"/>
      <c r="R499" s="7"/>
      <c r="S499" s="7"/>
      <c r="T499" s="7"/>
      <c r="U499" s="7"/>
    </row>
    <row r="500" spans="1:21" hidden="1" outlineLevel="2">
      <c r="A500" s="57"/>
      <c r="B500" s="8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7"/>
      <c r="N500" s="7"/>
      <c r="O500" s="7"/>
      <c r="P500" s="7"/>
      <c r="Q500" s="7"/>
      <c r="R500" s="7"/>
      <c r="S500" s="7"/>
      <c r="T500" s="7"/>
      <c r="U500" s="7"/>
    </row>
    <row r="501" spans="1:21" hidden="1" outlineLevel="2">
      <c r="A501" s="86"/>
      <c r="B501" s="8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7"/>
      <c r="N501" s="7"/>
      <c r="O501" s="7"/>
      <c r="P501" s="7"/>
      <c r="Q501" s="7"/>
      <c r="R501" s="7"/>
      <c r="S501" s="7"/>
      <c r="T501" s="7"/>
      <c r="U501" s="7"/>
    </row>
    <row r="502" spans="1:21" hidden="1" outlineLevel="2">
      <c r="A502" s="86"/>
      <c r="B502" s="8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7"/>
      <c r="N502" s="7"/>
      <c r="O502" s="7"/>
      <c r="P502" s="7"/>
      <c r="Q502" s="7"/>
      <c r="R502" s="7"/>
      <c r="S502" s="7"/>
      <c r="T502" s="7"/>
      <c r="U502" s="7"/>
    </row>
    <row r="503" spans="1:21" hidden="1" outlineLevel="2">
      <c r="A503" s="86"/>
      <c r="B503" s="8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7"/>
      <c r="N503" s="7"/>
      <c r="O503" s="7"/>
      <c r="P503" s="7"/>
      <c r="Q503" s="7"/>
      <c r="R503" s="7"/>
      <c r="S503" s="7"/>
      <c r="T503" s="7"/>
      <c r="U503" s="7"/>
    </row>
    <row r="504" spans="1:21" hidden="1" outlineLevel="2">
      <c r="A504" s="86"/>
      <c r="B504" s="8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7"/>
      <c r="N504" s="7"/>
      <c r="O504" s="7"/>
      <c r="P504" s="7"/>
      <c r="Q504" s="7"/>
      <c r="R504" s="7"/>
      <c r="S504" s="7"/>
      <c r="T504" s="7"/>
      <c r="U504" s="7"/>
    </row>
    <row r="505" spans="1:21" hidden="1" outlineLevel="2">
      <c r="A505" s="86"/>
      <c r="B505" s="8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7"/>
      <c r="N505" s="7"/>
      <c r="O505" s="7"/>
      <c r="P505" s="7"/>
      <c r="Q505" s="7"/>
      <c r="R505" s="7"/>
      <c r="S505" s="7"/>
      <c r="T505" s="7"/>
      <c r="U505" s="7"/>
    </row>
    <row r="506" spans="1:21" hidden="1" outlineLevel="2">
      <c r="A506" s="86"/>
      <c r="B506" s="8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7"/>
      <c r="N506" s="7"/>
      <c r="O506" s="7"/>
      <c r="P506" s="7"/>
      <c r="Q506" s="7"/>
      <c r="R506" s="7"/>
      <c r="S506" s="7"/>
      <c r="T506" s="7"/>
      <c r="U506" s="7"/>
    </row>
    <row r="507" spans="1:21" hidden="1" outlineLevel="2">
      <c r="A507" s="86"/>
      <c r="B507" s="8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7"/>
      <c r="N507" s="7"/>
      <c r="O507" s="7"/>
      <c r="P507" s="7"/>
      <c r="Q507" s="7"/>
      <c r="R507" s="7"/>
      <c r="S507" s="7"/>
      <c r="T507" s="7"/>
      <c r="U507" s="7"/>
    </row>
    <row r="508" spans="1:21" hidden="1" outlineLevel="2">
      <c r="A508" s="86"/>
      <c r="B508" s="8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7"/>
      <c r="N508" s="7"/>
      <c r="O508" s="7"/>
      <c r="P508" s="7"/>
      <c r="Q508" s="7"/>
      <c r="R508" s="7"/>
      <c r="S508" s="7"/>
      <c r="T508" s="7"/>
      <c r="U508" s="7"/>
    </row>
    <row r="509" spans="1:21" hidden="1" outlineLevel="2">
      <c r="A509" s="86"/>
      <c r="B509" s="8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7"/>
      <c r="N509" s="7"/>
      <c r="O509" s="7"/>
      <c r="P509" s="7"/>
      <c r="Q509" s="7"/>
      <c r="R509" s="7"/>
      <c r="S509" s="7"/>
      <c r="T509" s="7"/>
      <c r="U509" s="7"/>
    </row>
    <row r="510" spans="1:21" hidden="1" outlineLevel="2">
      <c r="A510" s="86"/>
      <c r="B510" s="8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7"/>
      <c r="N510" s="7"/>
      <c r="O510" s="7"/>
      <c r="P510" s="7"/>
      <c r="Q510" s="7"/>
      <c r="R510" s="7"/>
      <c r="S510" s="7"/>
      <c r="T510" s="7"/>
      <c r="U510" s="7"/>
    </row>
    <row r="511" spans="1:21" hidden="1" outlineLevel="2">
      <c r="A511" s="7"/>
      <c r="B511" s="8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7"/>
      <c r="N511" s="7"/>
      <c r="O511" s="7"/>
      <c r="P511" s="7"/>
      <c r="Q511" s="7"/>
      <c r="R511" s="7"/>
      <c r="S511" s="7"/>
      <c r="T511" s="7"/>
      <c r="U511" s="7"/>
    </row>
    <row r="512" spans="1:21" hidden="1" outlineLevel="2">
      <c r="A512" s="7"/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7"/>
      <c r="N512" s="7"/>
      <c r="O512" s="7"/>
      <c r="P512" s="7"/>
      <c r="Q512" s="7"/>
      <c r="R512" s="7"/>
      <c r="S512" s="7"/>
      <c r="T512" s="7"/>
      <c r="U512" s="7"/>
    </row>
    <row r="513" spans="1:21" hidden="1" outlineLevel="2">
      <c r="A513" s="7"/>
      <c r="B513" s="8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7"/>
      <c r="N513" s="7"/>
      <c r="O513" s="7"/>
      <c r="P513" s="7"/>
      <c r="Q513" s="7"/>
      <c r="R513" s="7"/>
      <c r="S513" s="7"/>
      <c r="T513" s="7"/>
      <c r="U513" s="7"/>
    </row>
    <row r="514" spans="1:21" hidden="1" outlineLevel="2">
      <c r="A514" s="86"/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7"/>
      <c r="N514" s="7"/>
      <c r="O514" s="7"/>
      <c r="P514" s="7"/>
      <c r="Q514" s="7"/>
      <c r="R514" s="7"/>
      <c r="S514" s="7"/>
      <c r="T514" s="7"/>
      <c r="U514" s="7"/>
    </row>
    <row r="515" spans="1:21" hidden="1" outlineLevel="2">
      <c r="A515" s="7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7"/>
      <c r="N515" s="7"/>
      <c r="O515" s="7"/>
      <c r="P515" s="7"/>
      <c r="Q515" s="7"/>
      <c r="R515" s="7"/>
      <c r="S515" s="7"/>
      <c r="T515" s="7"/>
      <c r="U515" s="7"/>
    </row>
    <row r="516" spans="1:21" hidden="1" outlineLevel="2">
      <c r="A516" s="7"/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7"/>
      <c r="N516" s="7"/>
      <c r="O516" s="7"/>
      <c r="P516" s="7"/>
      <c r="Q516" s="7"/>
      <c r="R516" s="7"/>
      <c r="S516" s="7"/>
      <c r="T516" s="7"/>
      <c r="U516" s="7"/>
    </row>
    <row r="517" spans="1:21" hidden="1" outlineLevel="2">
      <c r="A517" s="57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7"/>
      <c r="N517" s="7"/>
      <c r="O517" s="7"/>
      <c r="P517" s="7"/>
      <c r="Q517" s="7"/>
      <c r="R517" s="7"/>
      <c r="S517" s="7"/>
      <c r="T517" s="7"/>
      <c r="U517" s="7"/>
    </row>
    <row r="518" spans="1:21" hidden="1" outlineLevel="2">
      <c r="A518" s="86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7"/>
      <c r="N518" s="7"/>
      <c r="O518" s="7"/>
      <c r="P518" s="7"/>
      <c r="Q518" s="7"/>
      <c r="R518" s="7"/>
      <c r="S518" s="7"/>
      <c r="T518" s="7"/>
      <c r="U518" s="7"/>
    </row>
    <row r="519" spans="1:21" outlineLevel="1" collapsed="1">
      <c r="A519" s="57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7"/>
      <c r="N519" s="7"/>
      <c r="O519" s="7"/>
      <c r="P519" s="7"/>
      <c r="Q519" s="7"/>
      <c r="R519" s="7"/>
      <c r="S519" s="7"/>
      <c r="T519" s="7"/>
      <c r="U519" s="7"/>
    </row>
    <row r="520" spans="1:21" outlineLevel="1">
      <c r="A520" s="57"/>
      <c r="B520" s="8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7"/>
      <c r="N520" s="7"/>
      <c r="O520" s="7"/>
      <c r="P520" s="7"/>
      <c r="Q520" s="7"/>
      <c r="R520" s="7"/>
      <c r="S520" s="7"/>
      <c r="T520" s="7"/>
      <c r="U520" s="7"/>
    </row>
    <row r="521" spans="1:21" outlineLevel="1">
      <c r="A521" s="57"/>
      <c r="B521" s="8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7"/>
      <c r="N521" s="7"/>
      <c r="O521" s="7"/>
      <c r="P521" s="7"/>
      <c r="Q521" s="7"/>
      <c r="R521" s="7"/>
      <c r="S521" s="7"/>
      <c r="T521" s="7"/>
      <c r="U521" s="7"/>
    </row>
    <row r="522" spans="1:21" outlineLevel="1">
      <c r="A522" s="7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7"/>
      <c r="N522" s="7"/>
      <c r="O522" s="7"/>
      <c r="P522" s="7"/>
      <c r="Q522" s="7"/>
      <c r="R522" s="7"/>
      <c r="S522" s="7"/>
      <c r="T522" s="7"/>
      <c r="U522" s="7"/>
    </row>
    <row r="523" spans="1:21" outlineLevel="1">
      <c r="A523" s="7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7"/>
      <c r="N523" s="7"/>
      <c r="O523" s="7"/>
      <c r="P523" s="7"/>
      <c r="Q523" s="7"/>
      <c r="R523" s="7"/>
      <c r="S523" s="7"/>
      <c r="T523" s="7"/>
      <c r="U523" s="7"/>
    </row>
    <row r="524" spans="1:21" outlineLevel="1">
      <c r="A524" s="57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7"/>
      <c r="N524" s="7"/>
      <c r="O524" s="7"/>
      <c r="P524" s="7"/>
      <c r="Q524" s="7"/>
      <c r="R524" s="7"/>
      <c r="S524" s="7"/>
      <c r="T524" s="7"/>
      <c r="U524" s="7"/>
    </row>
    <row r="525" spans="1:21" outlineLevel="1">
      <c r="A525" s="57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7"/>
      <c r="N525" s="7"/>
      <c r="O525" s="7"/>
      <c r="P525" s="7"/>
      <c r="Q525" s="7"/>
      <c r="R525" s="7"/>
      <c r="S525" s="7"/>
      <c r="T525" s="7"/>
      <c r="U525" s="7"/>
    </row>
    <row r="526" spans="1:21" outlineLevel="1">
      <c r="A526" s="57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7"/>
      <c r="N526" s="7"/>
      <c r="O526" s="7"/>
      <c r="P526" s="7"/>
      <c r="Q526" s="7"/>
      <c r="R526" s="7"/>
      <c r="S526" s="7"/>
      <c r="T526" s="7"/>
      <c r="U526" s="7"/>
    </row>
    <row r="527" spans="1:21" outlineLevel="1">
      <c r="A527" s="57"/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7"/>
      <c r="N527" s="7"/>
      <c r="O527" s="7"/>
      <c r="P527" s="7"/>
      <c r="Q527" s="7"/>
      <c r="R527" s="7"/>
      <c r="S527" s="7"/>
      <c r="T527" s="7"/>
      <c r="U527" s="7"/>
    </row>
    <row r="528" spans="1:21">
      <c r="A528" s="7"/>
      <c r="B528" s="7"/>
      <c r="C528" s="7"/>
      <c r="D528" s="87"/>
      <c r="E528" s="87"/>
      <c r="F528" s="87"/>
      <c r="G528" s="87"/>
      <c r="H528" s="87"/>
      <c r="I528" s="87"/>
      <c r="J528" s="87"/>
      <c r="K528" s="87"/>
      <c r="L528" s="87"/>
      <c r="M528" s="7"/>
      <c r="N528" s="7"/>
      <c r="O528" s="7"/>
      <c r="P528" s="7"/>
      <c r="Q528" s="7"/>
      <c r="R528" s="7"/>
      <c r="S528" s="7"/>
      <c r="T528" s="7"/>
      <c r="U528" s="7"/>
    </row>
    <row r="529" spans="1:21">
      <c r="A529" s="7"/>
      <c r="B529" s="7"/>
      <c r="C529" s="7"/>
      <c r="D529" s="87"/>
      <c r="E529" s="87"/>
      <c r="F529" s="87"/>
      <c r="G529" s="87"/>
      <c r="H529" s="87"/>
      <c r="I529" s="87"/>
      <c r="J529" s="87"/>
      <c r="K529" s="87"/>
      <c r="L529" s="87"/>
      <c r="M529" s="7"/>
      <c r="N529" s="7"/>
      <c r="O529" s="7"/>
      <c r="P529" s="7"/>
      <c r="Q529" s="7"/>
      <c r="R529" s="7"/>
      <c r="S529" s="7"/>
      <c r="T529" s="7"/>
      <c r="U529" s="7"/>
    </row>
    <row r="530" spans="1:21">
      <c r="A530" s="7"/>
      <c r="B530" s="7"/>
      <c r="C530" s="7"/>
      <c r="D530" s="87"/>
      <c r="E530" s="87"/>
      <c r="F530" s="87"/>
      <c r="G530" s="87"/>
      <c r="H530" s="87"/>
      <c r="I530" s="87"/>
      <c r="J530" s="87"/>
      <c r="K530" s="87"/>
      <c r="L530" s="87"/>
      <c r="M530" s="7"/>
      <c r="N530" s="7"/>
      <c r="O530" s="7"/>
      <c r="P530" s="7"/>
      <c r="Q530" s="7"/>
      <c r="R530" s="7"/>
      <c r="S530" s="7"/>
      <c r="T530" s="7"/>
      <c r="U530" s="7"/>
    </row>
    <row r="531" spans="1:21">
      <c r="A531" s="7"/>
      <c r="B531" s="7"/>
      <c r="C531" s="7"/>
      <c r="D531" s="87"/>
      <c r="E531" s="87"/>
      <c r="F531" s="87"/>
      <c r="G531" s="87"/>
      <c r="H531" s="87"/>
      <c r="I531" s="87"/>
      <c r="J531" s="87"/>
      <c r="K531" s="87"/>
      <c r="L531" s="87"/>
      <c r="M531" s="7"/>
      <c r="N531" s="7"/>
      <c r="O531" s="7"/>
      <c r="P531" s="7"/>
      <c r="Q531" s="7"/>
      <c r="R531" s="7"/>
      <c r="S531" s="7"/>
      <c r="T531" s="7"/>
      <c r="U531" s="7"/>
    </row>
    <row r="532" spans="1:21">
      <c r="A532" s="7"/>
      <c r="B532" s="7"/>
      <c r="C532" s="7"/>
      <c r="D532" s="87"/>
      <c r="E532" s="87"/>
      <c r="F532" s="87"/>
      <c r="G532" s="87"/>
      <c r="H532" s="87"/>
      <c r="I532" s="87"/>
      <c r="J532" s="87"/>
      <c r="K532" s="87"/>
      <c r="L532" s="87"/>
      <c r="M532" s="7"/>
      <c r="N532" s="7"/>
      <c r="O532" s="7"/>
      <c r="P532" s="7"/>
      <c r="Q532" s="7"/>
      <c r="R532" s="7"/>
      <c r="S532" s="7"/>
      <c r="T532" s="7"/>
      <c r="U532" s="7"/>
    </row>
    <row r="533" spans="1:2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</row>
    <row r="534" spans="1:2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</row>
    <row r="535" spans="1:2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</row>
    <row r="536" spans="1:2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</row>
    <row r="537" spans="1:2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</row>
    <row r="538" spans="1:2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</row>
    <row r="539" spans="1:2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</row>
    <row r="540" spans="1:2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</row>
    <row r="541" spans="1:2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</row>
    <row r="542" spans="1:2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</row>
    <row r="543" spans="1:2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</row>
    <row r="544" spans="1:2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</row>
    <row r="545" spans="1:2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</row>
    <row r="546" spans="1:2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</row>
    <row r="547" spans="1:2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</row>
    <row r="548" spans="1:2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</row>
    <row r="549" spans="1:2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</row>
    <row r="550" spans="1:2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</row>
    <row r="551" spans="1:2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</row>
    <row r="552" spans="1:2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</row>
    <row r="553" spans="1:2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</row>
    <row r="554" spans="1:2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</row>
    <row r="555" spans="1:2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</row>
    <row r="556" spans="1:2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</row>
    <row r="557" spans="1:2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</row>
    <row r="558" spans="1:2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</row>
    <row r="559" spans="1:2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</row>
    <row r="560" spans="1:2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</row>
    <row r="561" spans="1:2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</row>
    <row r="562" spans="1:2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</row>
    <row r="563" spans="1:2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</row>
    <row r="564" spans="1:2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</row>
    <row r="565" spans="1:2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</row>
    <row r="566" spans="1:2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</row>
    <row r="567" spans="1:2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</row>
    <row r="568" spans="1:2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</row>
    <row r="569" spans="1:2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</row>
    <row r="570" spans="1:2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</row>
    <row r="571" spans="1:2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</row>
    <row r="572" spans="1:2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</row>
    <row r="573" spans="1:2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</row>
    <row r="574" spans="1:2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</row>
    <row r="575" spans="1:2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</row>
    <row r="576" spans="1:2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</row>
    <row r="577" spans="1:2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</row>
    <row r="578" spans="1:2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</row>
    <row r="579" spans="1:2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</row>
    <row r="580" spans="1:2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</row>
    <row r="581" spans="1:2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</row>
    <row r="582" spans="1:2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</row>
    <row r="583" spans="1:2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</row>
    <row r="584" spans="1:2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</row>
    <row r="585" spans="1:2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</row>
    <row r="586" spans="1:2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</row>
    <row r="587" spans="1:2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</row>
    <row r="588" spans="1:2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</row>
    <row r="589" spans="1:2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</row>
    <row r="590" spans="1:2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</row>
    <row r="591" spans="1:2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</row>
    <row r="592" spans="1:2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</row>
    <row r="593" spans="1:2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</row>
    <row r="594" spans="1:2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</row>
    <row r="595" spans="1:2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</row>
    <row r="596" spans="1:2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</row>
    <row r="597" spans="1:2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</row>
    <row r="598" spans="1:2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</row>
    <row r="599" spans="1:2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</row>
    <row r="600" spans="1:2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</row>
    <row r="601" spans="1:2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</row>
    <row r="602" spans="1:2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</row>
    <row r="603" spans="1:2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</row>
    <row r="604" spans="1:2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</row>
    <row r="605" spans="1:2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</row>
    <row r="606" spans="1:2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</row>
    <row r="607" spans="1:2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</row>
    <row r="608" spans="1:2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</row>
    <row r="609" spans="1:2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</row>
    <row r="610" spans="1:2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</row>
    <row r="611" spans="1:2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</row>
    <row r="612" spans="1:2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</row>
    <row r="613" spans="1:2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</row>
    <row r="614" spans="1:2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</row>
    <row r="615" spans="1:2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</row>
    <row r="616" spans="1:2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</row>
    <row r="617" spans="1:2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</row>
    <row r="618" spans="1:2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</row>
    <row r="619" spans="1:2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</row>
    <row r="620" spans="1:2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</row>
    <row r="621" spans="1: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</row>
    <row r="622" spans="1:2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</row>
    <row r="623" spans="1:2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</row>
    <row r="624" spans="1:2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</row>
    <row r="625" spans="1:2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</row>
    <row r="626" spans="1:2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</row>
    <row r="627" spans="1:2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</row>
    <row r="628" spans="1:2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</row>
    <row r="629" spans="1:2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</row>
    <row r="630" spans="1:2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</row>
    <row r="631" spans="1:2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</row>
    <row r="632" spans="1:2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</row>
    <row r="633" spans="1:2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</row>
    <row r="634" spans="1:2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</row>
    <row r="635" spans="1:2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</row>
    <row r="636" spans="1:2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</row>
    <row r="637" spans="1:2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</row>
    <row r="638" spans="1:2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</row>
    <row r="639" spans="1:2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</row>
    <row r="640" spans="1:2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</row>
    <row r="641" spans="1:2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</row>
    <row r="642" spans="1:2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</row>
    <row r="643" spans="1:2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</row>
    <row r="644" spans="1:2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</row>
    <row r="645" spans="1:2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</row>
    <row r="646" spans="1:2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</row>
    <row r="647" spans="1:2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</row>
    <row r="648" spans="1:2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</row>
    <row r="649" spans="1:2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</row>
    <row r="650" spans="1:2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</row>
    <row r="651" spans="1:2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</row>
    <row r="652" spans="1:2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</row>
    <row r="653" spans="1:2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</row>
    <row r="654" spans="1:2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</row>
    <row r="655" spans="1:2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</row>
    <row r="656" spans="1:2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</row>
    <row r="657" spans="1:2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</row>
    <row r="658" spans="1:2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</row>
    <row r="659" spans="1:2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</row>
    <row r="660" spans="1:2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</row>
    <row r="661" spans="1:2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</row>
    <row r="662" spans="1:2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</row>
    <row r="663" spans="1:2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</row>
    <row r="664" spans="1:2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</row>
    <row r="665" spans="1:2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</row>
    <row r="666" spans="1:2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</row>
    <row r="667" spans="1:2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</row>
    <row r="668" spans="1:2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</row>
    <row r="669" spans="1:2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</row>
    <row r="670" spans="1:2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</row>
    <row r="671" spans="1:2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</row>
    <row r="672" spans="1:2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</row>
    <row r="673" spans="1:2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</row>
    <row r="674" spans="1:2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</row>
    <row r="675" spans="1:2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</row>
    <row r="676" spans="1:2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</row>
    <row r="677" spans="1:2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</row>
    <row r="678" spans="1:2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</row>
    <row r="679" spans="1:2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</row>
    <row r="680" spans="1:2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</row>
    <row r="681" spans="1:2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</row>
    <row r="682" spans="1:2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</row>
    <row r="683" spans="1:2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</row>
    <row r="684" spans="1:2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</row>
    <row r="685" spans="1:2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</row>
    <row r="686" spans="1:2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</row>
    <row r="687" spans="1:2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</row>
    <row r="688" spans="1:2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</row>
    <row r="689" spans="1:2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</row>
    <row r="690" spans="1:2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</row>
    <row r="691" spans="1:2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</row>
    <row r="692" spans="1:2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</row>
    <row r="693" spans="1:2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</row>
    <row r="694" spans="1:2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</row>
    <row r="695" spans="1:2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</row>
    <row r="696" spans="1:2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</row>
    <row r="697" spans="1:2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</row>
    <row r="698" spans="1:2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</row>
    <row r="699" spans="1:2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</row>
    <row r="700" spans="1:2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</row>
    <row r="701" spans="1:2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</row>
    <row r="702" spans="1:2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</row>
    <row r="703" spans="1:2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</row>
    <row r="704" spans="1:2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</row>
    <row r="705" spans="1:2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</row>
    <row r="706" spans="1:2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</row>
    <row r="707" spans="1:2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</row>
    <row r="708" spans="1:2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</row>
    <row r="709" spans="1:2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</row>
    <row r="710" spans="1:2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</row>
    <row r="711" spans="1:2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</row>
    <row r="712" spans="1:2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</row>
    <row r="713" spans="1:2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</row>
    <row r="714" spans="1:2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</row>
    <row r="715" spans="1:2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</row>
    <row r="716" spans="1:2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</row>
    <row r="717" spans="1:2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</row>
    <row r="718" spans="1:2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</row>
    <row r="719" spans="1:2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</row>
    <row r="720" spans="1:2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</row>
    <row r="721" spans="1: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</row>
    <row r="722" spans="1:2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</row>
    <row r="723" spans="1:2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</row>
    <row r="724" spans="1:2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</row>
    <row r="725" spans="1:2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</row>
    <row r="726" spans="1:2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</row>
    <row r="727" spans="1:2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</row>
    <row r="728" spans="1:2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</row>
    <row r="729" spans="1:2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</row>
    <row r="730" spans="1:2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</row>
    <row r="731" spans="1:2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</row>
    <row r="732" spans="1:2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</row>
    <row r="733" spans="1:2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</row>
    <row r="734" spans="1:2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</row>
    <row r="735" spans="1:2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</row>
    <row r="736" spans="1:2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</row>
    <row r="737" spans="1:2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</row>
    <row r="738" spans="1:2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</row>
    <row r="739" spans="1:2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</row>
    <row r="740" spans="1:2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</row>
    <row r="741" spans="1:2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</row>
  </sheetData>
  <pageMargins left="0.75" right="0.75" top="1" bottom="1" header="0.5" footer="0.5"/>
  <pageSetup scale="35" orientation="landscape" r:id="rId1"/>
  <headerFooter alignWithMargins="0">
    <oddHeader>&amp;L&amp;12Enron's Generation&amp;RCONFIDENTIAL</oddHeader>
    <oddFooter>&amp;L&amp;D&amp;C&amp;F&amp;RPage &amp;P</oddFooter>
  </headerFooter>
  <rowBreaks count="9" manualBreakCount="9">
    <brk id="205" max="65535" man="1"/>
    <brk id="296" max="65535" man="1"/>
    <brk id="347" max="65535" man="1"/>
    <brk id="400" max="65535" man="1"/>
    <brk id="455" max="65535" man="1"/>
    <brk id="476" max="65535" man="1"/>
    <brk id="526" max="65535" man="1"/>
    <brk id="589" max="65535" man="1"/>
    <brk id="610" max="65535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IR734"/>
  <sheetViews>
    <sheetView zoomScale="75" zoomScaleNormal="75" workbookViewId="0"/>
  </sheetViews>
  <sheetFormatPr defaultRowHeight="12.75" outlineLevelRow="2" outlineLevelCol="1"/>
  <cols>
    <col min="1" max="1" width="47.28515625" style="6" customWidth="1"/>
    <col min="2" max="3" width="10.7109375" style="6" customWidth="1" outlineLevel="1"/>
    <col min="4" max="21" width="10.7109375" style="6" customWidth="1"/>
    <col min="22" max="22" width="9.140625" style="7"/>
    <col min="23" max="23" width="11.42578125" style="7" bestFit="1" customWidth="1"/>
    <col min="24" max="16384" width="9.140625" style="7"/>
  </cols>
  <sheetData>
    <row r="1" spans="1:51"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</row>
    <row r="2" spans="1:51" ht="18.75">
      <c r="A2" s="52" t="s">
        <v>95</v>
      </c>
      <c r="B2" s="373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</row>
    <row r="5" spans="1:51" ht="13.5" thickBot="1">
      <c r="A5" s="194" t="s">
        <v>56</v>
      </c>
      <c r="B5" s="8">
        <f>Brownsville!$B$5</f>
        <v>2001</v>
      </c>
      <c r="C5" s="8">
        <f>B5+1</f>
        <v>2002</v>
      </c>
      <c r="D5" s="8">
        <f t="shared" ref="D5:U5" si="0">C5+1</f>
        <v>2003</v>
      </c>
      <c r="E5" s="8">
        <f t="shared" si="0"/>
        <v>2004</v>
      </c>
      <c r="F5" s="8">
        <f t="shared" si="0"/>
        <v>2005</v>
      </c>
      <c r="G5" s="8">
        <f t="shared" si="0"/>
        <v>2006</v>
      </c>
      <c r="H5" s="8">
        <f t="shared" si="0"/>
        <v>2007</v>
      </c>
      <c r="I5" s="8">
        <f t="shared" si="0"/>
        <v>2008</v>
      </c>
      <c r="J5" s="8">
        <f t="shared" si="0"/>
        <v>2009</v>
      </c>
      <c r="K5" s="8">
        <f t="shared" si="0"/>
        <v>2010</v>
      </c>
      <c r="L5" s="8">
        <f t="shared" si="0"/>
        <v>2011</v>
      </c>
      <c r="M5" s="8">
        <f t="shared" si="0"/>
        <v>2012</v>
      </c>
      <c r="N5" s="8">
        <f t="shared" si="0"/>
        <v>2013</v>
      </c>
      <c r="O5" s="8">
        <f t="shared" si="0"/>
        <v>2014</v>
      </c>
      <c r="P5" s="8">
        <f t="shared" si="0"/>
        <v>2015</v>
      </c>
      <c r="Q5" s="8">
        <f t="shared" si="0"/>
        <v>2016</v>
      </c>
      <c r="R5" s="8">
        <f t="shared" si="0"/>
        <v>2017</v>
      </c>
      <c r="S5" s="8">
        <f t="shared" si="0"/>
        <v>2018</v>
      </c>
      <c r="T5" s="8">
        <f t="shared" si="0"/>
        <v>2019</v>
      </c>
      <c r="U5" s="8">
        <f t="shared" si="0"/>
        <v>2020</v>
      </c>
    </row>
    <row r="6" spans="1:51">
      <c r="A6" s="2"/>
      <c r="B6" s="120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</row>
    <row r="7" spans="1:51">
      <c r="A7" s="1" t="s">
        <v>57</v>
      </c>
      <c r="B7" s="421"/>
      <c r="C7" s="421"/>
      <c r="D7" s="421"/>
      <c r="E7" s="421"/>
      <c r="F7" s="421"/>
      <c r="G7" s="421"/>
      <c r="H7" s="421"/>
      <c r="I7" s="421"/>
      <c r="J7" s="421"/>
      <c r="K7" s="421"/>
      <c r="L7" s="421"/>
      <c r="M7" s="421"/>
      <c r="N7" s="421"/>
      <c r="O7" s="421"/>
      <c r="P7" s="421"/>
      <c r="Q7" s="421"/>
      <c r="R7" s="421"/>
      <c r="S7" s="421"/>
      <c r="T7" s="421"/>
      <c r="U7" s="421"/>
      <c r="V7" s="58"/>
      <c r="W7" s="58"/>
      <c r="X7" s="58"/>
      <c r="Y7" s="473">
        <f>SUM(Z7:AS7)-SUM(Z8:AS8)</f>
        <v>0</v>
      </c>
      <c r="Z7" s="474">
        <f>B10+B11</f>
        <v>4742.12</v>
      </c>
      <c r="AA7" s="474">
        <f>C10+C11</f>
        <v>4884.3836000000001</v>
      </c>
      <c r="AB7" s="474">
        <f>D10+D11</f>
        <v>5030.9151080000001</v>
      </c>
      <c r="AC7" s="474">
        <f t="shared" ref="AC7:AS7" si="1">E16</f>
        <v>4731.6390372399992</v>
      </c>
      <c r="AD7" s="474">
        <f t="shared" si="1"/>
        <v>4873.5882083571996</v>
      </c>
      <c r="AE7" s="474">
        <f t="shared" si="1"/>
        <v>5019.7958546079153</v>
      </c>
      <c r="AF7" s="474">
        <f t="shared" si="1"/>
        <v>5170.3897302461537</v>
      </c>
      <c r="AG7" s="474">
        <f t="shared" si="1"/>
        <v>5325.5014221535375</v>
      </c>
      <c r="AH7" s="474">
        <f t="shared" si="1"/>
        <v>5485.2664648181426</v>
      </c>
      <c r="AI7" s="474">
        <f t="shared" si="1"/>
        <v>5649.8244587626887</v>
      </c>
      <c r="AJ7" s="474">
        <f t="shared" si="1"/>
        <v>5819.3191925255687</v>
      </c>
      <c r="AK7" s="474">
        <f t="shared" si="1"/>
        <v>5993.8987683013347</v>
      </c>
      <c r="AL7" s="474">
        <f t="shared" si="1"/>
        <v>6173.7157313503749</v>
      </c>
      <c r="AM7" s="474">
        <f t="shared" si="1"/>
        <v>6358.9272032908866</v>
      </c>
      <c r="AN7" s="474">
        <f t="shared" si="1"/>
        <v>6549.6950193896137</v>
      </c>
      <c r="AO7" s="474">
        <f t="shared" si="1"/>
        <v>6746.1858699713002</v>
      </c>
      <c r="AP7" s="474">
        <f t="shared" si="1"/>
        <v>6948.5714460704403</v>
      </c>
      <c r="AQ7" s="474">
        <f t="shared" si="1"/>
        <v>7157.0285894525532</v>
      </c>
      <c r="AR7" s="474">
        <f t="shared" si="1"/>
        <v>7371.7394471361295</v>
      </c>
      <c r="AS7" s="474">
        <f t="shared" si="1"/>
        <v>7592.8916305502144</v>
      </c>
    </row>
    <row r="8" spans="1:51">
      <c r="A8" s="347" t="s">
        <v>144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8"/>
      <c r="W8" s="16"/>
      <c r="X8" s="16"/>
      <c r="Y8" s="496">
        <v>0</v>
      </c>
      <c r="Z8" s="495">
        <f>B23+B24</f>
        <v>4742.12</v>
      </c>
      <c r="AA8" s="495">
        <f>C23+C24</f>
        <v>4884.3836000000001</v>
      </c>
      <c r="AB8" s="495">
        <f>D23+D24</f>
        <v>5030.9151080000001</v>
      </c>
      <c r="AC8" s="495">
        <f t="shared" ref="AC8:AS8" si="2">E23+1/3*E24</f>
        <v>4731.6390372399992</v>
      </c>
      <c r="AD8" s="495">
        <f t="shared" si="2"/>
        <v>4873.5882083571996</v>
      </c>
      <c r="AE8" s="495">
        <f t="shared" si="2"/>
        <v>5019.7958546079153</v>
      </c>
      <c r="AF8" s="495">
        <f t="shared" si="2"/>
        <v>5170.3897302461537</v>
      </c>
      <c r="AG8" s="495">
        <f t="shared" si="2"/>
        <v>5325.5014221535375</v>
      </c>
      <c r="AH8" s="495">
        <f t="shared" si="2"/>
        <v>5485.2664648181426</v>
      </c>
      <c r="AI8" s="495">
        <f t="shared" si="2"/>
        <v>5649.8244587626887</v>
      </c>
      <c r="AJ8" s="495">
        <f t="shared" si="2"/>
        <v>5819.3191925255687</v>
      </c>
      <c r="AK8" s="495">
        <f t="shared" si="2"/>
        <v>5993.8987683013347</v>
      </c>
      <c r="AL8" s="495">
        <f t="shared" si="2"/>
        <v>6173.7157313503749</v>
      </c>
      <c r="AM8" s="495">
        <f t="shared" si="2"/>
        <v>6358.9272032908866</v>
      </c>
      <c r="AN8" s="495">
        <f t="shared" si="2"/>
        <v>6549.6950193896137</v>
      </c>
      <c r="AO8" s="495">
        <f t="shared" si="2"/>
        <v>6746.1858699713002</v>
      </c>
      <c r="AP8" s="495">
        <f t="shared" si="2"/>
        <v>6948.5714460704403</v>
      </c>
      <c r="AQ8" s="495">
        <f t="shared" si="2"/>
        <v>7157.0285894525532</v>
      </c>
      <c r="AR8" s="495">
        <f t="shared" si="2"/>
        <v>7371.7394471361295</v>
      </c>
      <c r="AS8" s="495">
        <f t="shared" si="2"/>
        <v>7592.8916305502144</v>
      </c>
      <c r="AT8" s="16"/>
      <c r="AU8" s="16"/>
      <c r="AV8" s="16"/>
      <c r="AW8" s="16"/>
      <c r="AX8" s="16"/>
      <c r="AY8" s="16"/>
    </row>
    <row r="9" spans="1:51">
      <c r="A9" s="3" t="s">
        <v>58</v>
      </c>
      <c r="B9" s="56">
        <f>'Power Price Assumption'!D53*12*Assumptions!$I$9</f>
        <v>29184</v>
      </c>
      <c r="C9" s="56">
        <f>'Power Price Assumption'!E53*12*Assumptions!$I$9</f>
        <v>29184</v>
      </c>
      <c r="D9" s="56">
        <f>'Power Price Assumption'!F53*12*Assumptions!$I$9</f>
        <v>29184</v>
      </c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8"/>
      <c r="W9" s="91">
        <f>SUM(B9:U9)</f>
        <v>87552</v>
      </c>
      <c r="X9" s="16"/>
      <c r="Y9" s="473"/>
      <c r="Z9" s="475">
        <f>Z7-Z8</f>
        <v>0</v>
      </c>
      <c r="AA9" s="475">
        <f t="shared" ref="AA9:AS9" si="3">AA7-AA8</f>
        <v>0</v>
      </c>
      <c r="AB9" s="475">
        <f t="shared" si="3"/>
        <v>0</v>
      </c>
      <c r="AC9" s="475">
        <f t="shared" si="3"/>
        <v>0</v>
      </c>
      <c r="AD9" s="475">
        <f t="shared" si="3"/>
        <v>0</v>
      </c>
      <c r="AE9" s="475">
        <f t="shared" si="3"/>
        <v>0</v>
      </c>
      <c r="AF9" s="475">
        <f t="shared" si="3"/>
        <v>0</v>
      </c>
      <c r="AG9" s="475">
        <f t="shared" si="3"/>
        <v>0</v>
      </c>
      <c r="AH9" s="475">
        <f t="shared" si="3"/>
        <v>0</v>
      </c>
      <c r="AI9" s="475">
        <f t="shared" si="3"/>
        <v>0</v>
      </c>
      <c r="AJ9" s="475">
        <f t="shared" si="3"/>
        <v>0</v>
      </c>
      <c r="AK9" s="475">
        <f t="shared" si="3"/>
        <v>0</v>
      </c>
      <c r="AL9" s="475">
        <f t="shared" si="3"/>
        <v>0</v>
      </c>
      <c r="AM9" s="475">
        <f t="shared" si="3"/>
        <v>0</v>
      </c>
      <c r="AN9" s="475">
        <f t="shared" si="3"/>
        <v>0</v>
      </c>
      <c r="AO9" s="475">
        <f t="shared" si="3"/>
        <v>0</v>
      </c>
      <c r="AP9" s="475">
        <f t="shared" si="3"/>
        <v>0</v>
      </c>
      <c r="AQ9" s="475">
        <f t="shared" si="3"/>
        <v>0</v>
      </c>
      <c r="AR9" s="475">
        <f t="shared" si="3"/>
        <v>0</v>
      </c>
      <c r="AS9" s="475">
        <f t="shared" si="3"/>
        <v>0</v>
      </c>
      <c r="AT9" s="16"/>
      <c r="AU9" s="16"/>
      <c r="AV9" s="16"/>
      <c r="AW9" s="16"/>
      <c r="AX9" s="16"/>
      <c r="AY9" s="16"/>
    </row>
    <row r="10" spans="1:51">
      <c r="A10" s="3" t="s">
        <v>208</v>
      </c>
      <c r="B10" s="56">
        <f>Assumptions!I19*Assumptions!I17/1000*(1+Assumptions!$I$25)</f>
        <v>4124.12</v>
      </c>
      <c r="C10" s="56">
        <f>B10*(1+Assumptions!$I$25)</f>
        <v>4247.8436000000002</v>
      </c>
      <c r="D10" s="56">
        <f>C10*(1+Assumptions!$I$25)</f>
        <v>4375.2789080000002</v>
      </c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8"/>
      <c r="W10" s="91">
        <f>SUM(B10:U10)</f>
        <v>12747.242507999999</v>
      </c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</row>
    <row r="11" spans="1:51">
      <c r="A11" s="3" t="s">
        <v>255</v>
      </c>
      <c r="B11" s="127">
        <f>Assumptions!$I$18*Assumptions!$I$11*Assumptions!$I$8/1000*(1+Assumptions!$I$25)</f>
        <v>618</v>
      </c>
      <c r="C11" s="91">
        <f>B11*(1+Assumptions!$I$25)</f>
        <v>636.54</v>
      </c>
      <c r="D11" s="91">
        <f>C11*(1+Assumptions!$I$25)</f>
        <v>655.63620000000003</v>
      </c>
      <c r="E11" s="56"/>
      <c r="F11" s="56"/>
      <c r="G11" s="56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8"/>
      <c r="W11" s="91">
        <f>SUM(B11:U11)</f>
        <v>1910.1761999999999</v>
      </c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</row>
    <row r="12" spans="1:51">
      <c r="A12" s="3" t="s">
        <v>275</v>
      </c>
      <c r="B12" s="127">
        <f>'Amortization of Power Contract'!$C$41/3</f>
        <v>12464.127487981823</v>
      </c>
      <c r="C12" s="127">
        <f>'Amortization of Power Contract'!$C$41/3</f>
        <v>12464.127487981823</v>
      </c>
      <c r="D12" s="127">
        <f>'Amortization of Power Contract'!$C$41/3</f>
        <v>12464.127487981823</v>
      </c>
      <c r="E12" s="56"/>
      <c r="F12" s="56"/>
      <c r="G12" s="56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8"/>
      <c r="W12" s="91">
        <f>SUM(B12:U12)</f>
        <v>37392.382463945469</v>
      </c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</row>
    <row r="13" spans="1:51">
      <c r="A13" s="1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8"/>
      <c r="W13" s="91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</row>
    <row r="14" spans="1:51">
      <c r="A14" s="347" t="s">
        <v>281</v>
      </c>
      <c r="E14" s="421"/>
      <c r="F14" s="421"/>
      <c r="G14" s="421"/>
      <c r="H14" s="421"/>
      <c r="I14" s="421"/>
      <c r="J14" s="421"/>
      <c r="K14" s="421"/>
      <c r="L14" s="421"/>
      <c r="M14" s="421"/>
      <c r="N14" s="421"/>
      <c r="O14" s="421"/>
      <c r="P14" s="421"/>
      <c r="Q14" s="421"/>
      <c r="R14" s="421"/>
      <c r="S14" s="421"/>
      <c r="T14" s="421"/>
      <c r="U14" s="421"/>
      <c r="W14" s="91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</row>
    <row r="15" spans="1:51" s="62" customFormat="1" ht="12" customHeight="1">
      <c r="A15" s="3" t="s">
        <v>58</v>
      </c>
      <c r="B15" s="19">
        <v>0</v>
      </c>
      <c r="C15" s="19">
        <v>0</v>
      </c>
      <c r="D15" s="19">
        <v>0</v>
      </c>
      <c r="E15" s="19">
        <f>'Power Price Assumption'!G53*Assumptions!$I$9*12</f>
        <v>48870.984327150094</v>
      </c>
      <c r="F15" s="19">
        <f>'Power Price Assumption'!H53*Assumptions!$I$9*12</f>
        <v>51162.7528016746</v>
      </c>
      <c r="G15" s="19">
        <f>'Power Price Assumption'!I53*Assumptions!$I$9*12</f>
        <v>52194.062403645206</v>
      </c>
      <c r="H15" s="19">
        <f>'Power Price Assumption'!J53*Assumptions!$I$9*12</f>
        <v>53246.160556600138</v>
      </c>
      <c r="I15" s="19">
        <f>'Power Price Assumption'!K53*Assumptions!$I$9*12</f>
        <v>54319.46630429817</v>
      </c>
      <c r="J15" s="19">
        <f>'Power Price Assumption'!L53*Assumptions!$I$9*12</f>
        <v>55414.40713734318</v>
      </c>
      <c r="K15" s="19">
        <f>'Power Price Assumption'!M53*Assumptions!$I$9*12</f>
        <v>56531.419163450977</v>
      </c>
      <c r="L15" s="19">
        <f>'Power Price Assumption'!N53*Assumptions!$I$9*12</f>
        <v>57643.022453635509</v>
      </c>
      <c r="M15" s="19">
        <f>'Power Price Assumption'!O53*Assumptions!$I$9*12</f>
        <v>58776.483710469969</v>
      </c>
      <c r="N15" s="19">
        <f>'Power Price Assumption'!P53*Assumptions!$I$9*12</f>
        <v>59932.232737203711</v>
      </c>
      <c r="O15" s="19">
        <f>'Power Price Assumption'!Q53*Assumptions!$I$9*12</f>
        <v>61110.707788504937</v>
      </c>
      <c r="P15" s="19">
        <f>'Power Price Assumption'!R53*Assumptions!$I$9*12</f>
        <v>62312.355736644997</v>
      </c>
      <c r="Q15" s="19">
        <f>'Power Price Assumption'!S53*Assumptions!$I$9*12</f>
        <v>63270.978088780772</v>
      </c>
      <c r="R15" s="19">
        <f>'Power Price Assumption'!T53*Assumptions!$I$9*12</f>
        <v>64244.348026738808</v>
      </c>
      <c r="S15" s="19">
        <f>'Power Price Assumption'!U53*Assumptions!$I$9*12</f>
        <v>65232.692429526382</v>
      </c>
      <c r="T15" s="19">
        <f>'Power Price Assumption'!V53*Assumptions!$I$9*12</f>
        <v>66236.241666490401</v>
      </c>
      <c r="U15" s="19">
        <f>'Power Price Assumption'!W53*Assumptions!$I$9*12</f>
        <v>67255.229651013404</v>
      </c>
      <c r="W15" s="91">
        <f>SUM(B15:U15)</f>
        <v>997753.54498317116</v>
      </c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</row>
    <row r="16" spans="1:51" s="62" customFormat="1" ht="12" customHeight="1">
      <c r="A16" s="3" t="s">
        <v>59</v>
      </c>
      <c r="B16" s="19">
        <v>0</v>
      </c>
      <c r="C16" s="19">
        <v>0</v>
      </c>
      <c r="D16" s="19">
        <v>0</v>
      </c>
      <c r="E16" s="127">
        <f>1/3*Assumptions!$I$18*Assumptions!$I$11*Assumptions!$I$8/1000*(1+Assumptions!$I$25)^(E5-2000)+Assumptions!$I$19*Assumptions!$I$17*(1+Assumptions!$I$25)^(E5-2000)/1000</f>
        <v>4731.6390372399992</v>
      </c>
      <c r="F16" s="127">
        <f>1/3*Assumptions!$I$18*Assumptions!$I$11*Assumptions!$I$8/1000*(1+Assumptions!$I$25)^(F5-2000)+Assumptions!$I$19*Assumptions!$I$17*(1+Assumptions!$I$25)^(F5-2000)/1000</f>
        <v>4873.5882083571996</v>
      </c>
      <c r="G16" s="127">
        <f>1/3*Assumptions!$I$18*Assumptions!$I$11*Assumptions!$I$8/1000*(1+Assumptions!$I$25)^(G5-2000)+Assumptions!$I$19*Assumptions!$I$17*(1+Assumptions!$I$25)^(G5-2000)/1000</f>
        <v>5019.7958546079153</v>
      </c>
      <c r="H16" s="127">
        <f>1/3*Assumptions!$I$18*Assumptions!$I$11*Assumptions!$I$8/1000*(1+Assumptions!$I$25)^(H5-2000)+Assumptions!$I$19*Assumptions!$I$17*(1+Assumptions!$I$25)^(H5-2000)/1000</f>
        <v>5170.3897302461537</v>
      </c>
      <c r="I16" s="127">
        <f>1/3*Assumptions!$I$18*Assumptions!$I$11*Assumptions!$I$8/1000*(1+Assumptions!$I$25)^(I5-2000)+Assumptions!$I$19*Assumptions!$I$17*(1+Assumptions!$I$25)^(I5-2000)/1000</f>
        <v>5325.5014221535375</v>
      </c>
      <c r="J16" s="127">
        <f>1/3*Assumptions!$I$18*Assumptions!$I$11*Assumptions!$I$8/1000*(1+Assumptions!$I$25)^(J5-2000)+Assumptions!$I$19*Assumptions!$I$17*(1+Assumptions!$I$25)^(J5-2000)/1000</f>
        <v>5485.2664648181426</v>
      </c>
      <c r="K16" s="127">
        <f>1/3*Assumptions!$I$18*Assumptions!$I$11*Assumptions!$I$8/1000*(1+Assumptions!$I$25)^(K5-2000)+Assumptions!$I$19*Assumptions!$I$17*(1+Assumptions!$I$25)^(K5-2000)/1000</f>
        <v>5649.8244587626887</v>
      </c>
      <c r="L16" s="127">
        <f>1/3*Assumptions!$I$18*Assumptions!$I$11*Assumptions!$I$8/1000*(1+Assumptions!$I$25)^(L5-2000)+Assumptions!$I$19*Assumptions!$I$17*(1+Assumptions!$I$25)^(L5-2000)/1000</f>
        <v>5819.3191925255687</v>
      </c>
      <c r="M16" s="127">
        <f>1/3*Assumptions!$I$18*Assumptions!$I$11*Assumptions!$I$8/1000*(1+Assumptions!$I$25)^(M5-2000)+Assumptions!$I$19*Assumptions!$I$17*(1+Assumptions!$I$25)^(M5-2000)/1000</f>
        <v>5993.8987683013347</v>
      </c>
      <c r="N16" s="127">
        <f>1/3*Assumptions!$I$18*Assumptions!$I$11*Assumptions!$I$8/1000*(1+Assumptions!$I$25)^(N5-2000)+Assumptions!$I$19*Assumptions!$I$17*(1+Assumptions!$I$25)^(N5-2000)/1000</f>
        <v>6173.7157313503749</v>
      </c>
      <c r="O16" s="127">
        <f>1/3*Assumptions!$I$18*Assumptions!$I$11*Assumptions!$I$8/1000*(1+Assumptions!$I$25)^(O5-2000)+Assumptions!$I$19*Assumptions!$I$17*(1+Assumptions!$I$25)^(O5-2000)/1000</f>
        <v>6358.9272032908866</v>
      </c>
      <c r="P16" s="127">
        <f>1/3*Assumptions!$I$18*Assumptions!$I$11*Assumptions!$I$8/1000*(1+Assumptions!$I$25)^(P5-2000)+Assumptions!$I$19*Assumptions!$I$17*(1+Assumptions!$I$25)^(P5-2000)/1000</f>
        <v>6549.6950193896137</v>
      </c>
      <c r="Q16" s="127">
        <f>1/3*Assumptions!$I$18*Assumptions!$I$11*Assumptions!$I$8/1000*(1+Assumptions!$I$25)^(Q5-2000)+Assumptions!$I$19*Assumptions!$I$17*(1+Assumptions!$I$25)^(Q5-2000)/1000</f>
        <v>6746.1858699713002</v>
      </c>
      <c r="R16" s="127">
        <f>1/3*Assumptions!$I$18*Assumptions!$I$11*Assumptions!$I$8/1000*(1+Assumptions!$I$25)^(R5-2000)+Assumptions!$I$19*Assumptions!$I$17*(1+Assumptions!$I$25)^(R5-2000)/1000</f>
        <v>6948.5714460704403</v>
      </c>
      <c r="S16" s="127">
        <f>1/3*Assumptions!$I$18*Assumptions!$I$11*Assumptions!$I$8/1000*(1+Assumptions!$I$25)^(S5-2000)+Assumptions!$I$19*Assumptions!$I$17*(1+Assumptions!$I$25)^(S5-2000)/1000</f>
        <v>7157.0285894525532</v>
      </c>
      <c r="T16" s="127">
        <f>1/3*Assumptions!$I$18*Assumptions!$I$11*Assumptions!$I$8/1000*(1+Assumptions!$I$25)^(T5-2000)+Assumptions!$I$19*Assumptions!$I$17*(1+Assumptions!$I$25)^(T5-2000)/1000</f>
        <v>7371.7394471361295</v>
      </c>
      <c r="U16" s="127">
        <f>1/3*Assumptions!$I$18*Assumptions!$I$11*Assumptions!$I$8/1000*(1+Assumptions!$I$25)^(U5-2000)+Assumptions!$I$19*Assumptions!$I$17*(1+Assumptions!$I$25)^(U5-2000)/1000</f>
        <v>7592.8916305502144</v>
      </c>
      <c r="W16" s="91">
        <f>SUM(B16:U16)</f>
        <v>102967.97807422408</v>
      </c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</row>
    <row r="17" spans="1:51" s="62" customFormat="1" ht="12" customHeight="1">
      <c r="A17" s="3"/>
      <c r="W17" s="91">
        <f>SUM(B17:U17)</f>
        <v>0</v>
      </c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</row>
    <row r="18" spans="1:51" s="62" customFormat="1" ht="12" customHeight="1">
      <c r="A18" s="3" t="s">
        <v>168</v>
      </c>
      <c r="B18" s="198">
        <f>(SUM(B9:B11)-SUM(B22:B28))*'Summary Output'!$B$29/4</f>
        <v>331.11653216796077</v>
      </c>
      <c r="C18" s="198">
        <f>(SUM(C9:C11)-SUM(C22:C28))*'Summary Output'!$B$29/4</f>
        <v>331.16817541685481</v>
      </c>
      <c r="D18" s="198">
        <f>(SUM(D9:D11)-SUM(D22:D28))*'Summary Output'!$B$29/4</f>
        <v>330.28624919957269</v>
      </c>
      <c r="E18" s="198">
        <f>(SUM(E9:E16)-SUM(E22:E28))*'Summary Output'!$B$29/4</f>
        <v>569.83951273514822</v>
      </c>
      <c r="F18" s="198">
        <f>(SUM(F9:F16)-SUM(F22:F28))*'Summary Output'!$B$29/4</f>
        <v>597.38606344628988</v>
      </c>
      <c r="G18" s="198">
        <f>(SUM(G9:G16)-SUM(G22:G28))*'Summary Output'!$B$29/4</f>
        <v>609.14464909389551</v>
      </c>
      <c r="H18" s="198">
        <f>(SUM(H9:H16)-SUM(H22:H28))*'Summary Output'!$B$29/4</f>
        <v>621.28875809749422</v>
      </c>
      <c r="I18" s="198">
        <f>(SUM(I9:I16)-SUM(I22:I28))*'Summary Output'!$B$29/4</f>
        <v>633.66774849813157</v>
      </c>
      <c r="J18" s="198">
        <f>(SUM(J9:J16)-SUM(J22:J28))*'Summary Output'!$B$29/4</f>
        <v>646.28605752223859</v>
      </c>
      <c r="K18" s="198">
        <f>(SUM(K9:K16)-SUM(K22:K28))*'Summary Output'!$B$29/4</f>
        <v>659.14820291796173</v>
      </c>
      <c r="L18" s="198">
        <f>(SUM(L9:L16)-SUM(L22:L28))*'Summary Output'!$B$29/4</f>
        <v>671.90972396672532</v>
      </c>
      <c r="M18" s="198">
        <f>(SUM(M9:M16)-SUM(M22:M28))*'Summary Output'!$B$29/4</f>
        <v>684.91046399625668</v>
      </c>
      <c r="N18" s="198">
        <f>(SUM(N9:N16)-SUM(N22:N28))*'Summary Output'!$B$29/4</f>
        <v>698.15477537910215</v>
      </c>
      <c r="O18" s="198">
        <f>(SUM(O9:O16)-SUM(O22:O28))*'Summary Output'!$B$29/4</f>
        <v>711.64708552550144</v>
      </c>
      <c r="P18" s="198">
        <f>(SUM(P9:P16)-SUM(P22:P28))*'Summary Output'!$B$29/4</f>
        <v>725.39189804254011</v>
      </c>
      <c r="Q18" s="198">
        <f>(SUM(Q9:Q16)-SUM(Q22:Q28))*'Summary Output'!$B$29/4</f>
        <v>736.06061700448379</v>
      </c>
      <c r="R18" s="198">
        <f>(SUM(R9:R16)-SUM(R22:R28))*'Summary Output'!$B$29/4</f>
        <v>746.87425897601304</v>
      </c>
      <c r="S18" s="198">
        <f>(SUM(S9:S16)-SUM(S22:S28))*'Summary Output'!$B$29/4</f>
        <v>757.83447729032332</v>
      </c>
      <c r="T18" s="198">
        <f>(SUM(T9:T16)-SUM(T22:T28))*'Summary Output'!$B$29/4</f>
        <v>768.94293343022309</v>
      </c>
      <c r="U18" s="198">
        <f>(SUM(U9:U16)-SUM(U22:U28))*'Summary Output'!$B$29/4</f>
        <v>780.20129663494572</v>
      </c>
      <c r="W18" s="91">
        <f>SUM(B18:U18)</f>
        <v>12611.259479341665</v>
      </c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</row>
    <row r="19" spans="1:51" s="62" customFormat="1" ht="12" customHeight="1">
      <c r="A19" s="3" t="s">
        <v>60</v>
      </c>
      <c r="B19" s="56">
        <f>SUM(B9:B18)</f>
        <v>46721.364020149784</v>
      </c>
      <c r="C19" s="56">
        <f t="shared" ref="C19:U19" si="4">SUM(C9:C18)</f>
        <v>46863.679263398677</v>
      </c>
      <c r="D19" s="56">
        <f t="shared" si="4"/>
        <v>47009.328845181393</v>
      </c>
      <c r="E19" s="56">
        <f t="shared" si="4"/>
        <v>54172.462877125239</v>
      </c>
      <c r="F19" s="56">
        <f t="shared" si="4"/>
        <v>56633.72707347809</v>
      </c>
      <c r="G19" s="56">
        <f t="shared" si="4"/>
        <v>57823.002907347021</v>
      </c>
      <c r="H19" s="56">
        <f t="shared" si="4"/>
        <v>59037.839044943787</v>
      </c>
      <c r="I19" s="56">
        <f t="shared" si="4"/>
        <v>60278.635474949842</v>
      </c>
      <c r="J19" s="56">
        <f t="shared" si="4"/>
        <v>61545.959659683562</v>
      </c>
      <c r="K19" s="56">
        <f t="shared" si="4"/>
        <v>62840.391825131628</v>
      </c>
      <c r="L19" s="56">
        <f t="shared" si="4"/>
        <v>64134.2513701278</v>
      </c>
      <c r="M19" s="56">
        <f t="shared" si="4"/>
        <v>65455.292942767555</v>
      </c>
      <c r="N19" s="56">
        <f t="shared" si="4"/>
        <v>66804.10324393319</v>
      </c>
      <c r="O19" s="56">
        <f t="shared" si="4"/>
        <v>68181.282077321332</v>
      </c>
      <c r="P19" s="56">
        <f t="shared" si="4"/>
        <v>69587.442654077153</v>
      </c>
      <c r="Q19" s="56">
        <f t="shared" si="4"/>
        <v>70753.224575756554</v>
      </c>
      <c r="R19" s="56">
        <f t="shared" si="4"/>
        <v>71939.793731785248</v>
      </c>
      <c r="S19" s="56">
        <f t="shared" si="4"/>
        <v>73147.555496269255</v>
      </c>
      <c r="T19" s="56">
        <f t="shared" si="4"/>
        <v>74376.92404705676</v>
      </c>
      <c r="U19" s="56">
        <f t="shared" si="4"/>
        <v>75628.322578198567</v>
      </c>
      <c r="W19" s="91">
        <f>SUM(B19:U19)</f>
        <v>1252934.5837086826</v>
      </c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</row>
    <row r="20" spans="1:51" s="62" customFormat="1" ht="12" customHeight="1">
      <c r="A20" s="4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W20" s="91"/>
    </row>
    <row r="21" spans="1:51">
      <c r="A21" s="1" t="s">
        <v>61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W21" s="91"/>
    </row>
    <row r="22" spans="1:51">
      <c r="A22" s="3" t="s">
        <v>48</v>
      </c>
      <c r="B22" s="127">
        <f>Assumptions!I28*(1+Assumptions!$I$25)</f>
        <v>1491.9967885714286</v>
      </c>
      <c r="C22" s="91">
        <f>B22*(1+Assumptions!$I$25)</f>
        <v>1536.7566922285714</v>
      </c>
      <c r="D22" s="91">
        <f>C22*(1+Assumptions!$I$25)</f>
        <v>1582.8593929954286</v>
      </c>
      <c r="E22" s="91">
        <f>D22*(1+Assumptions!$I$25)</f>
        <v>1630.3451747852914</v>
      </c>
      <c r="F22" s="91">
        <f>E22*(1+Assumptions!$I$25)</f>
        <v>1679.2555300288502</v>
      </c>
      <c r="G22" s="91">
        <f>F22*(1+Assumptions!$I$25)</f>
        <v>1729.6331959297158</v>
      </c>
      <c r="H22" s="91">
        <f>G22*(1+Assumptions!$I$25)</f>
        <v>1781.5221918076074</v>
      </c>
      <c r="I22" s="91">
        <f>H22*(1+Assumptions!$I$25)</f>
        <v>1834.9678575618357</v>
      </c>
      <c r="J22" s="91">
        <f>I22*(1+Assumptions!$I$25)</f>
        <v>1890.0168932886909</v>
      </c>
      <c r="K22" s="91">
        <f>J22*(1+Assumptions!$I$25)</f>
        <v>1946.7174000873517</v>
      </c>
      <c r="L22" s="91">
        <f>K22*(1+Assumptions!$I$25)</f>
        <v>2005.1189220899723</v>
      </c>
      <c r="M22" s="91">
        <f>L22*(1+Assumptions!$I$25)</f>
        <v>2065.2724897526714</v>
      </c>
      <c r="N22" s="91">
        <f>M22*(1+Assumptions!$I$25)</f>
        <v>2127.2306644452515</v>
      </c>
      <c r="O22" s="91">
        <f>N22*(1+Assumptions!$I$25)</f>
        <v>2191.0475843786089</v>
      </c>
      <c r="P22" s="91">
        <f>O22*(1+Assumptions!$I$25)</f>
        <v>2256.7790119099673</v>
      </c>
      <c r="Q22" s="91">
        <f>P22*(1+Assumptions!$I$25)</f>
        <v>2324.4823822672665</v>
      </c>
      <c r="R22" s="91">
        <f>Q22*(1+Assumptions!$I$25)</f>
        <v>2394.2168537352845</v>
      </c>
      <c r="S22" s="91">
        <f>R22*(1+Assumptions!$I$25)</f>
        <v>2466.0433593473431</v>
      </c>
      <c r="T22" s="91">
        <f>S22*(1+Assumptions!$I$25)</f>
        <v>2540.0246601277636</v>
      </c>
      <c r="U22" s="91">
        <f>T22*(1+Assumptions!$I$25)</f>
        <v>2616.2253999315967</v>
      </c>
      <c r="W22" s="91">
        <f t="shared" ref="W22:W29" si="5">SUM(B22:U22)</f>
        <v>40090.512445270491</v>
      </c>
    </row>
    <row r="23" spans="1:51">
      <c r="A23" s="3" t="s">
        <v>49</v>
      </c>
      <c r="B23" s="127">
        <f>Assumptions!$I$29*(1+Assumptions!$I$25)</f>
        <v>4124.12</v>
      </c>
      <c r="C23" s="56">
        <f>B23*(1+Assumptions!$I$25)</f>
        <v>4247.8436000000002</v>
      </c>
      <c r="D23" s="56">
        <f>C23*(1+Assumptions!$I$25)</f>
        <v>4375.2789080000002</v>
      </c>
      <c r="E23" s="127">
        <f>Assumptions!$I$19*Assumptions!$I$23*(1+Assumptions!$I$25)^(E5-2000)/1000</f>
        <v>4506.537275239999</v>
      </c>
      <c r="F23" s="127">
        <f>Assumptions!$I$19*Assumptions!$I$23*(1+Assumptions!$I$25)^(F5-2000)/1000</f>
        <v>4641.7333934971994</v>
      </c>
      <c r="G23" s="127">
        <f>Assumptions!$I$19*Assumptions!$I$23*(1+Assumptions!$I$25)^(G5-2000)/1000</f>
        <v>4780.9853953021156</v>
      </c>
      <c r="H23" s="127">
        <f>Assumptions!$I$19*Assumptions!$I$23*(1+Assumptions!$I$25)^(H5-2000)/1000</f>
        <v>4924.4149571611797</v>
      </c>
      <c r="I23" s="127">
        <f>Assumptions!$I$19*Assumptions!$I$23*(1+Assumptions!$I$25)^(I5-2000)/1000</f>
        <v>5072.1474058760141</v>
      </c>
      <c r="J23" s="127">
        <f>Assumptions!$I$19*Assumptions!$I$23*(1+Assumptions!$I$25)^(J5-2000)/1000</f>
        <v>5224.311828052294</v>
      </c>
      <c r="K23" s="127">
        <f>Assumptions!$I$19*Assumptions!$I$23*(1+Assumptions!$I$25)^(K5-2000)/1000</f>
        <v>5381.0411828938641</v>
      </c>
      <c r="L23" s="127">
        <f>Assumptions!$I$19*Assumptions!$I$23*(1+Assumptions!$I$25)^(L5-2000)/1000</f>
        <v>5542.4724183806793</v>
      </c>
      <c r="M23" s="127">
        <f>Assumptions!$I$19*Assumptions!$I$23*(1+Assumptions!$I$25)^(M5-2000)/1000</f>
        <v>5708.746590932099</v>
      </c>
      <c r="N23" s="127">
        <f>Assumptions!$I$19*Assumptions!$I$23*(1+Assumptions!$I$25)^(N5-2000)/1000</f>
        <v>5880.0089886600617</v>
      </c>
      <c r="O23" s="127">
        <f>Assumptions!$I$19*Assumptions!$I$23*(1+Assumptions!$I$25)^(O5-2000)/1000</f>
        <v>6056.4092583198644</v>
      </c>
      <c r="P23" s="127">
        <f>Assumptions!$I$19*Assumptions!$I$23*(1+Assumptions!$I$25)^(P5-2000)/1000</f>
        <v>6238.101536069461</v>
      </c>
      <c r="Q23" s="127">
        <f>Assumptions!$I$19*Assumptions!$I$23*(1+Assumptions!$I$25)^(Q5-2000)/1000</f>
        <v>6425.244582151543</v>
      </c>
      <c r="R23" s="127">
        <f>Assumptions!$I$19*Assumptions!$I$23*(1+Assumptions!$I$25)^(R5-2000)/1000</f>
        <v>6618.0019196160902</v>
      </c>
      <c r="S23" s="127">
        <f>Assumptions!$I$19*Assumptions!$I$23*(1+Assumptions!$I$25)^(S5-2000)/1000</f>
        <v>6816.5419772045725</v>
      </c>
      <c r="T23" s="127">
        <f>Assumptions!$I$19*Assumptions!$I$23*(1+Assumptions!$I$25)^(T5-2000)/1000</f>
        <v>7021.0382365207097</v>
      </c>
      <c r="U23" s="127">
        <f>Assumptions!$I$19*Assumptions!$I$23*(1+Assumptions!$I$25)^(U5-2000)/1000</f>
        <v>7231.6693836163313</v>
      </c>
      <c r="W23" s="91">
        <f t="shared" si="5"/>
        <v>110816.64883749407</v>
      </c>
    </row>
    <row r="24" spans="1:51">
      <c r="A24" s="3" t="s">
        <v>262</v>
      </c>
      <c r="B24" s="127">
        <f>Assumptions!$I$24*Assumptions!$I$11*Assumptions!$I$8/1000*(1+Assumptions!$I$25)</f>
        <v>618</v>
      </c>
      <c r="C24" s="91">
        <f>B24*(1+Assumptions!$I$25)</f>
        <v>636.54</v>
      </c>
      <c r="D24" s="91">
        <f>C24*(1+Assumptions!$I$25)</f>
        <v>655.63620000000003</v>
      </c>
      <c r="E24" s="91">
        <f>D24*(1+Assumptions!$I$25)</f>
        <v>675.30528600000002</v>
      </c>
      <c r="F24" s="91">
        <f>E24*(1+Assumptions!$I$25)</f>
        <v>695.56444457999999</v>
      </c>
      <c r="G24" s="91">
        <f>F24*(1+Assumptions!$I$25)</f>
        <v>716.43137791740003</v>
      </c>
      <c r="H24" s="91">
        <f>G24*(1+Assumptions!$I$25)</f>
        <v>737.92431925492201</v>
      </c>
      <c r="I24" s="91">
        <f>H24*(1+Assumptions!$I$25)</f>
        <v>760.06204883256964</v>
      </c>
      <c r="J24" s="91">
        <f>I24*(1+Assumptions!$I$25)</f>
        <v>782.86391029754679</v>
      </c>
      <c r="K24" s="91">
        <f>J24*(1+Assumptions!$I$25)</f>
        <v>806.34982760647324</v>
      </c>
      <c r="L24" s="91">
        <f>K24*(1+Assumptions!$I$25)</f>
        <v>830.54032243466747</v>
      </c>
      <c r="M24" s="91">
        <f>L24*(1+Assumptions!$I$25)</f>
        <v>855.45653210770752</v>
      </c>
      <c r="N24" s="91">
        <f>M24*(1+Assumptions!$I$25)</f>
        <v>881.12022807093877</v>
      </c>
      <c r="O24" s="91">
        <f>N24*(1+Assumptions!$I$25)</f>
        <v>907.55383491306691</v>
      </c>
      <c r="P24" s="91">
        <f>O24*(1+Assumptions!$I$25)</f>
        <v>934.7804499604589</v>
      </c>
      <c r="Q24" s="91">
        <f>P24*(1+Assumptions!$I$25)</f>
        <v>962.82386345927273</v>
      </c>
      <c r="R24" s="91">
        <f>Q24*(1+Assumptions!$I$25)</f>
        <v>991.70857936305094</v>
      </c>
      <c r="S24" s="91">
        <f>R24*(1+Assumptions!$I$25)</f>
        <v>1021.4598367439424</v>
      </c>
      <c r="T24" s="91">
        <f>S24*(1+Assumptions!$I$25)</f>
        <v>1052.1036318462607</v>
      </c>
      <c r="U24" s="91">
        <f>T24*(1+Assumptions!$I$25)</f>
        <v>1083.6667408016485</v>
      </c>
      <c r="W24" s="91">
        <f t="shared" si="5"/>
        <v>16605.891434189925</v>
      </c>
    </row>
    <row r="25" spans="1:51">
      <c r="A25" s="3" t="s">
        <v>112</v>
      </c>
      <c r="B25" s="127">
        <f>Assumptions!I31*(1+Assumptions!$I$25)</f>
        <v>0</v>
      </c>
      <c r="C25" s="91">
        <f>B25*(1+Assumptions!$I$25)</f>
        <v>0</v>
      </c>
      <c r="D25" s="91">
        <f>C25*(1+Assumptions!$I$25)</f>
        <v>0</v>
      </c>
      <c r="E25" s="91">
        <f>D25*(1+Assumptions!$I$25)</f>
        <v>0</v>
      </c>
      <c r="F25" s="91">
        <f>E25*(1+Assumptions!$I$25)</f>
        <v>0</v>
      </c>
      <c r="G25" s="91">
        <f>F25*(1+Assumptions!$I$25)</f>
        <v>0</v>
      </c>
      <c r="H25" s="91">
        <f>G25*(1+Assumptions!$I$25)</f>
        <v>0</v>
      </c>
      <c r="I25" s="91">
        <f>H25*(1+Assumptions!$I$25)</f>
        <v>0</v>
      </c>
      <c r="J25" s="91">
        <f>I25*(1+Assumptions!$I$25)</f>
        <v>0</v>
      </c>
      <c r="K25" s="91">
        <f>J25*(1+Assumptions!$I$25)</f>
        <v>0</v>
      </c>
      <c r="L25" s="91">
        <f>K25*(1+Assumptions!$I$25)</f>
        <v>0</v>
      </c>
      <c r="M25" s="91">
        <f>L25*(1+Assumptions!$I$25)</f>
        <v>0</v>
      </c>
      <c r="N25" s="91">
        <f>M25*(1+Assumptions!$I$25)</f>
        <v>0</v>
      </c>
      <c r="O25" s="91">
        <f>N25*(1+Assumptions!$I$25)</f>
        <v>0</v>
      </c>
      <c r="P25" s="91">
        <f>O25*(1+Assumptions!$I$25)</f>
        <v>0</v>
      </c>
      <c r="Q25" s="91">
        <f>P25*(1+Assumptions!$I$25)</f>
        <v>0</v>
      </c>
      <c r="R25" s="91">
        <f>Q25*(1+Assumptions!$I$25)</f>
        <v>0</v>
      </c>
      <c r="S25" s="91">
        <f>R25*(1+Assumptions!$I$25)</f>
        <v>0</v>
      </c>
      <c r="T25" s="91">
        <f>S25*(1+Assumptions!$I$25)</f>
        <v>0</v>
      </c>
      <c r="U25" s="91">
        <f>T25*(1+Assumptions!$I$25)</f>
        <v>0</v>
      </c>
      <c r="W25" s="91">
        <f t="shared" si="5"/>
        <v>0</v>
      </c>
    </row>
    <row r="26" spans="1:51">
      <c r="A26" s="3" t="s">
        <v>113</v>
      </c>
      <c r="B26" s="127">
        <f>Assumptions!I32*(1+Assumptions!$I$25)</f>
        <v>412.66655714285713</v>
      </c>
      <c r="C26" s="91">
        <f>B26*(1+Assumptions!$I$25)</f>
        <v>425.04655385714284</v>
      </c>
      <c r="D26" s="91">
        <f>C26*(1+Assumptions!$I$25)</f>
        <v>437.79795047285711</v>
      </c>
      <c r="E26" s="91">
        <f>D26*(1+Assumptions!$I$25)</f>
        <v>450.93188898704284</v>
      </c>
      <c r="F26" s="91">
        <f>E26*(1+Assumptions!$I$25)</f>
        <v>464.45984565665412</v>
      </c>
      <c r="G26" s="91">
        <f>F26*(1+Assumptions!$I$25)</f>
        <v>478.39364102635375</v>
      </c>
      <c r="H26" s="91">
        <f>G26*(1+Assumptions!$I$25)</f>
        <v>492.7454502571444</v>
      </c>
      <c r="I26" s="91">
        <f>H26*(1+Assumptions!$I$25)</f>
        <v>507.52781376485876</v>
      </c>
      <c r="J26" s="91">
        <f>I26*(1+Assumptions!$I$25)</f>
        <v>522.75364817780451</v>
      </c>
      <c r="K26" s="91">
        <f>J26*(1+Assumptions!$I$25)</f>
        <v>538.43625762313866</v>
      </c>
      <c r="L26" s="91">
        <f>K26*(1+Assumptions!$I$25)</f>
        <v>554.58934535183278</v>
      </c>
      <c r="M26" s="91">
        <f>L26*(1+Assumptions!$I$25)</f>
        <v>571.22702571238779</v>
      </c>
      <c r="N26" s="91">
        <f>M26*(1+Assumptions!$I$25)</f>
        <v>588.36383648375943</v>
      </c>
      <c r="O26" s="91">
        <f>N26*(1+Assumptions!$I$25)</f>
        <v>606.01475157827224</v>
      </c>
      <c r="P26" s="91">
        <f>O26*(1+Assumptions!$I$25)</f>
        <v>624.19519412562045</v>
      </c>
      <c r="Q26" s="91">
        <f>P26*(1+Assumptions!$I$25)</f>
        <v>642.92104994938904</v>
      </c>
      <c r="R26" s="91">
        <f>Q26*(1+Assumptions!$I$25)</f>
        <v>662.20868144787073</v>
      </c>
      <c r="S26" s="91">
        <f>R26*(1+Assumptions!$I$25)</f>
        <v>682.07494189130682</v>
      </c>
      <c r="T26" s="91">
        <f>S26*(1+Assumptions!$I$25)</f>
        <v>702.53719014804608</v>
      </c>
      <c r="U26" s="91">
        <f>T26*(1+Assumptions!$I$25)</f>
        <v>723.61330585248743</v>
      </c>
      <c r="W26" s="91">
        <f t="shared" si="5"/>
        <v>11088.504929506827</v>
      </c>
    </row>
    <row r="27" spans="1:51">
      <c r="A27" s="3" t="s">
        <v>190</v>
      </c>
      <c r="B27" s="460">
        <v>572</v>
      </c>
      <c r="C27" s="460">
        <v>583.4</v>
      </c>
      <c r="D27" s="460">
        <v>595.1</v>
      </c>
      <c r="E27" s="460">
        <v>607</v>
      </c>
      <c r="F27" s="460">
        <v>619.1</v>
      </c>
      <c r="G27" s="460">
        <v>631.5</v>
      </c>
      <c r="H27" s="460">
        <v>631.5</v>
      </c>
      <c r="I27" s="460">
        <v>631.5</v>
      </c>
      <c r="J27" s="460">
        <v>631.5</v>
      </c>
      <c r="K27" s="460">
        <v>631.5</v>
      </c>
      <c r="L27" s="460">
        <v>631.5</v>
      </c>
      <c r="M27" s="460">
        <v>631.5</v>
      </c>
      <c r="N27" s="460">
        <v>631.5</v>
      </c>
      <c r="O27" s="460">
        <v>631.5</v>
      </c>
      <c r="P27" s="460">
        <v>631.5</v>
      </c>
      <c r="Q27" s="460">
        <v>631.5</v>
      </c>
      <c r="R27" s="460">
        <v>631.5</v>
      </c>
      <c r="S27" s="460">
        <v>631.5</v>
      </c>
      <c r="T27" s="460">
        <v>631.5</v>
      </c>
      <c r="U27" s="460">
        <v>631.5</v>
      </c>
      <c r="W27" s="91">
        <f t="shared" si="5"/>
        <v>12449.1</v>
      </c>
    </row>
    <row r="28" spans="1:51" s="16" customFormat="1">
      <c r="A28" s="442" t="s">
        <v>186</v>
      </c>
      <c r="B28" s="146">
        <f>B79</f>
        <v>218.01408084885682</v>
      </c>
      <c r="C28" s="146">
        <f t="shared" ref="C28:U28" si="6">C79</f>
        <v>145.34272056590456</v>
      </c>
      <c r="D28" s="146">
        <f t="shared" si="6"/>
        <v>145.34272056590456</v>
      </c>
      <c r="E28" s="146">
        <f t="shared" si="6"/>
        <v>145.34272056590456</v>
      </c>
      <c r="F28" s="146">
        <f t="shared" si="6"/>
        <v>145.34272056590456</v>
      </c>
      <c r="G28" s="146">
        <f t="shared" si="6"/>
        <v>145.34272056590456</v>
      </c>
      <c r="H28" s="146">
        <f t="shared" si="6"/>
        <v>145.34272056590456</v>
      </c>
      <c r="I28" s="146">
        <f t="shared" si="6"/>
        <v>145.34272056590456</v>
      </c>
      <c r="J28" s="146">
        <f t="shared" si="6"/>
        <v>145.34272056590456</v>
      </c>
      <c r="K28" s="146">
        <f t="shared" si="6"/>
        <v>145.34272056590456</v>
      </c>
      <c r="L28" s="146">
        <f t="shared" si="6"/>
        <v>145.34272056590456</v>
      </c>
      <c r="M28" s="146">
        <f t="shared" si="6"/>
        <v>145.34272056590456</v>
      </c>
      <c r="N28" s="146">
        <f t="shared" si="6"/>
        <v>145.34272056590456</v>
      </c>
      <c r="O28" s="146">
        <f t="shared" si="6"/>
        <v>145.34272056590456</v>
      </c>
      <c r="P28" s="146">
        <f t="shared" si="6"/>
        <v>145.34272056590456</v>
      </c>
      <c r="Q28" s="146">
        <f t="shared" si="6"/>
        <v>145.34272056590456</v>
      </c>
      <c r="R28" s="146">
        <f t="shared" si="6"/>
        <v>145.34272056590456</v>
      </c>
      <c r="S28" s="146">
        <f t="shared" si="6"/>
        <v>145.34272056590456</v>
      </c>
      <c r="T28" s="146">
        <f t="shared" si="6"/>
        <v>145.34272056590456</v>
      </c>
      <c r="U28" s="146">
        <f t="shared" si="6"/>
        <v>145.34272056590456</v>
      </c>
      <c r="V28" s="91"/>
      <c r="W28" s="91">
        <f t="shared" si="5"/>
        <v>2979.5257716010433</v>
      </c>
    </row>
    <row r="29" spans="1:51">
      <c r="A29" s="3" t="s">
        <v>62</v>
      </c>
      <c r="B29" s="127">
        <f t="shared" ref="B29:U29" si="7">SUM(B22:B28)</f>
        <v>7436.7974265631428</v>
      </c>
      <c r="C29" s="127">
        <f t="shared" si="7"/>
        <v>7574.9295666516182</v>
      </c>
      <c r="D29" s="127">
        <f t="shared" si="7"/>
        <v>7792.015172034191</v>
      </c>
      <c r="E29" s="127">
        <f t="shared" si="7"/>
        <v>8015.4623455782375</v>
      </c>
      <c r="F29" s="127">
        <f t="shared" si="7"/>
        <v>8245.4559343286091</v>
      </c>
      <c r="G29" s="127">
        <f t="shared" si="7"/>
        <v>8482.28633074149</v>
      </c>
      <c r="H29" s="127">
        <f t="shared" si="7"/>
        <v>8713.4496390467593</v>
      </c>
      <c r="I29" s="127">
        <f t="shared" si="7"/>
        <v>8951.5478466011828</v>
      </c>
      <c r="J29" s="127">
        <f t="shared" si="7"/>
        <v>9196.7890003822413</v>
      </c>
      <c r="K29" s="127">
        <f t="shared" si="7"/>
        <v>9449.3873887767313</v>
      </c>
      <c r="L29" s="127">
        <f t="shared" si="7"/>
        <v>9709.5637288230573</v>
      </c>
      <c r="M29" s="127">
        <f t="shared" si="7"/>
        <v>9977.5453590707693</v>
      </c>
      <c r="N29" s="127">
        <f t="shared" si="7"/>
        <v>10253.566438225915</v>
      </c>
      <c r="O29" s="127">
        <f t="shared" si="7"/>
        <v>10537.868149755717</v>
      </c>
      <c r="P29" s="127">
        <f t="shared" si="7"/>
        <v>10830.698912631413</v>
      </c>
      <c r="Q29" s="127">
        <f t="shared" si="7"/>
        <v>11132.314598393375</v>
      </c>
      <c r="R29" s="127">
        <f t="shared" si="7"/>
        <v>11442.978754728201</v>
      </c>
      <c r="S29" s="127">
        <f t="shared" si="7"/>
        <v>11762.962835753071</v>
      </c>
      <c r="T29" s="127">
        <f t="shared" si="7"/>
        <v>12092.546439208685</v>
      </c>
      <c r="U29" s="127">
        <f t="shared" si="7"/>
        <v>12432.017550767969</v>
      </c>
      <c r="W29" s="91">
        <f t="shared" si="5"/>
        <v>194030.18341806234</v>
      </c>
    </row>
    <row r="30" spans="1:51" s="62" customFormat="1" outlineLevel="1">
      <c r="A30" s="5"/>
      <c r="B30" s="130"/>
      <c r="C30" s="131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W30" s="91"/>
    </row>
    <row r="31" spans="1:51" s="62" customFormat="1" ht="6.75" customHeight="1">
      <c r="A31" s="5"/>
      <c r="B31" s="130"/>
      <c r="C31" s="131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W31" s="91"/>
    </row>
    <row r="32" spans="1:51" s="57" customFormat="1" ht="18.75" customHeight="1">
      <c r="A32" s="1" t="s">
        <v>63</v>
      </c>
      <c r="B32" s="120">
        <f t="shared" ref="B32:U32" si="8">B19-B29</f>
        <v>39284.566593586642</v>
      </c>
      <c r="C32" s="120">
        <f t="shared" si="8"/>
        <v>39288.749696747058</v>
      </c>
      <c r="D32" s="120">
        <f t="shared" si="8"/>
        <v>39217.313673147204</v>
      </c>
      <c r="E32" s="120">
        <f t="shared" si="8"/>
        <v>46157.000531547004</v>
      </c>
      <c r="F32" s="120">
        <f t="shared" si="8"/>
        <v>48388.271139149481</v>
      </c>
      <c r="G32" s="120">
        <f t="shared" si="8"/>
        <v>49340.716576605533</v>
      </c>
      <c r="H32" s="120">
        <f t="shared" si="8"/>
        <v>50324.389405897025</v>
      </c>
      <c r="I32" s="120">
        <f t="shared" si="8"/>
        <v>51327.087628348658</v>
      </c>
      <c r="J32" s="120">
        <f t="shared" si="8"/>
        <v>52349.170659301322</v>
      </c>
      <c r="K32" s="120">
        <f t="shared" si="8"/>
        <v>53391.004436354895</v>
      </c>
      <c r="L32" s="120">
        <f t="shared" si="8"/>
        <v>54424.687641304743</v>
      </c>
      <c r="M32" s="120">
        <f t="shared" si="8"/>
        <v>55477.747583696786</v>
      </c>
      <c r="N32" s="120">
        <f t="shared" si="8"/>
        <v>56550.536805707277</v>
      </c>
      <c r="O32" s="120">
        <f t="shared" si="8"/>
        <v>57643.413927565613</v>
      </c>
      <c r="P32" s="120">
        <f t="shared" si="8"/>
        <v>58756.743741445738</v>
      </c>
      <c r="Q32" s="120">
        <f t="shared" si="8"/>
        <v>59620.909977363175</v>
      </c>
      <c r="R32" s="120">
        <f t="shared" si="8"/>
        <v>60496.814977057045</v>
      </c>
      <c r="S32" s="120">
        <f t="shared" si="8"/>
        <v>61384.59266051618</v>
      </c>
      <c r="T32" s="120">
        <f t="shared" si="8"/>
        <v>62284.377607848073</v>
      </c>
      <c r="U32" s="120">
        <f t="shared" si="8"/>
        <v>63196.305027430601</v>
      </c>
      <c r="W32" s="91">
        <f>SUM(B32:U32)</f>
        <v>1058904.4002906198</v>
      </c>
    </row>
    <row r="33" spans="1:23" s="57" customFormat="1" ht="18.75" customHeight="1">
      <c r="A33" s="1"/>
      <c r="B33" s="132"/>
      <c r="C33" s="133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W33" s="91"/>
    </row>
    <row r="34" spans="1:23">
      <c r="A34" s="3" t="s">
        <v>64</v>
      </c>
      <c r="B34" s="127">
        <f>Depreciation!C53</f>
        <v>9234.5431341732747</v>
      </c>
      <c r="C34" s="127">
        <f>Depreciation!D53</f>
        <v>9234.5431341732747</v>
      </c>
      <c r="D34" s="127">
        <f>Depreciation!E53</f>
        <v>9234.5431341732747</v>
      </c>
      <c r="E34" s="127">
        <f>Depreciation!F53</f>
        <v>9234.5431341732747</v>
      </c>
      <c r="F34" s="127">
        <f>Depreciation!G53</f>
        <v>9234.5431341732747</v>
      </c>
      <c r="G34" s="127">
        <f>Depreciation!H53</f>
        <v>9234.5431341732747</v>
      </c>
      <c r="H34" s="127">
        <f>Depreciation!I53</f>
        <v>9234.5431341732747</v>
      </c>
      <c r="I34" s="127">
        <f>Depreciation!J53</f>
        <v>9234.5431341732747</v>
      </c>
      <c r="J34" s="127">
        <f>Depreciation!K53</f>
        <v>9234.5431341732747</v>
      </c>
      <c r="K34" s="127">
        <f>Depreciation!L53</f>
        <v>9234.5431341732747</v>
      </c>
      <c r="L34" s="127">
        <f>Depreciation!M53</f>
        <v>9234.5431341732747</v>
      </c>
      <c r="M34" s="127">
        <f>Depreciation!N53</f>
        <v>9234.5431341732747</v>
      </c>
      <c r="N34" s="127">
        <f>Depreciation!O53</f>
        <v>9234.5431341732747</v>
      </c>
      <c r="O34" s="127">
        <f>Depreciation!P53</f>
        <v>9234.5431341732747</v>
      </c>
      <c r="P34" s="127">
        <f>Depreciation!Q53</f>
        <v>9234.5431341732747</v>
      </c>
      <c r="Q34" s="127">
        <f>Depreciation!R53</f>
        <v>9234.5431341732747</v>
      </c>
      <c r="R34" s="127">
        <f>Depreciation!S53</f>
        <v>9234.5431341732747</v>
      </c>
      <c r="S34" s="127">
        <f>Depreciation!T53</f>
        <v>9234.5431341732747</v>
      </c>
      <c r="T34" s="127">
        <f>Depreciation!U53</f>
        <v>9234.5431341732747</v>
      </c>
      <c r="U34" s="127">
        <f>Depreciation!V53</f>
        <v>9234.5431341732747</v>
      </c>
      <c r="W34" s="91">
        <f>SUM(B34:U34)</f>
        <v>184690.86268346544</v>
      </c>
    </row>
    <row r="35" spans="1:23">
      <c r="A35" s="3"/>
      <c r="B35" s="127"/>
      <c r="C35" s="91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W35" s="91"/>
    </row>
    <row r="36" spans="1:23" s="57" customFormat="1">
      <c r="A36" s="1" t="s">
        <v>65</v>
      </c>
      <c r="B36" s="132">
        <f t="shared" ref="B36:U36" si="9">B32-B34</f>
        <v>30050.023459413365</v>
      </c>
      <c r="C36" s="132">
        <f t="shared" si="9"/>
        <v>30054.206562573781</v>
      </c>
      <c r="D36" s="132">
        <f t="shared" si="9"/>
        <v>29982.770538973928</v>
      </c>
      <c r="E36" s="132">
        <f t="shared" si="9"/>
        <v>36922.457397373728</v>
      </c>
      <c r="F36" s="132">
        <f t="shared" si="9"/>
        <v>39153.728004976205</v>
      </c>
      <c r="G36" s="132">
        <f t="shared" si="9"/>
        <v>40106.173442432257</v>
      </c>
      <c r="H36" s="132">
        <f t="shared" si="9"/>
        <v>41089.846271723749</v>
      </c>
      <c r="I36" s="132">
        <f t="shared" si="9"/>
        <v>42092.544494175381</v>
      </c>
      <c r="J36" s="132">
        <f t="shared" si="9"/>
        <v>43114.627525128046</v>
      </c>
      <c r="K36" s="132">
        <f t="shared" si="9"/>
        <v>44156.461302181619</v>
      </c>
      <c r="L36" s="132">
        <f t="shared" si="9"/>
        <v>45190.144507131467</v>
      </c>
      <c r="M36" s="132">
        <f t="shared" si="9"/>
        <v>46243.20444952351</v>
      </c>
      <c r="N36" s="132">
        <f t="shared" si="9"/>
        <v>47315.993671534001</v>
      </c>
      <c r="O36" s="132">
        <f t="shared" si="9"/>
        <v>48408.870793392336</v>
      </c>
      <c r="P36" s="132">
        <f t="shared" si="9"/>
        <v>49522.200607272462</v>
      </c>
      <c r="Q36" s="132">
        <f t="shared" si="9"/>
        <v>50386.366843189899</v>
      </c>
      <c r="R36" s="132">
        <f t="shared" si="9"/>
        <v>51262.271842883769</v>
      </c>
      <c r="S36" s="132">
        <f t="shared" si="9"/>
        <v>52150.049526342904</v>
      </c>
      <c r="T36" s="132">
        <f t="shared" si="9"/>
        <v>53049.834473674797</v>
      </c>
      <c r="U36" s="132">
        <f t="shared" si="9"/>
        <v>53961.761893257324</v>
      </c>
      <c r="W36" s="91">
        <f>SUM(B36:U36)</f>
        <v>874213.53760715458</v>
      </c>
    </row>
    <row r="37" spans="1:23" s="57" customFormat="1">
      <c r="A37" s="1"/>
      <c r="B37" s="132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W37" s="91"/>
    </row>
    <row r="38" spans="1:23">
      <c r="A38" s="6" t="s">
        <v>66</v>
      </c>
      <c r="B38" s="127">
        <f>IS!B39*Allocation!$E$14</f>
        <v>17898.660959956007</v>
      </c>
      <c r="C38" s="127">
        <f>IS!C39*Allocation!$E$14</f>
        <v>17630.097914123908</v>
      </c>
      <c r="D38" s="127">
        <f>IS!D39*Allocation!$E$14</f>
        <v>17251.280656046682</v>
      </c>
      <c r="E38" s="127">
        <f>IS!E39*Allocation!$E$14</f>
        <v>16953.910372010145</v>
      </c>
      <c r="F38" s="127">
        <f>IS!F39*Allocation!$E$14</f>
        <v>16427.798973677371</v>
      </c>
      <c r="G38" s="127">
        <f>IS!G39*Allocation!$E$14</f>
        <v>15804.22083599118</v>
      </c>
      <c r="H38" s="127">
        <f>IS!H39*Allocation!$E$14</f>
        <v>15103.402967915445</v>
      </c>
      <c r="I38" s="127">
        <f>IS!I39*Allocation!$E$14</f>
        <v>14370.218805763445</v>
      </c>
      <c r="J38" s="127">
        <f>IS!J39*Allocation!$E$14</f>
        <v>13459.489685637125</v>
      </c>
      <c r="K38" s="127">
        <f>IS!K39*Allocation!$E$14</f>
        <v>12450.333975706642</v>
      </c>
      <c r="L38" s="127">
        <f>IS!L39*Allocation!$E$14</f>
        <v>11388.471611412735</v>
      </c>
      <c r="M38" s="127">
        <f>IS!M39*Allocation!$E$14</f>
        <v>10230.68836317049</v>
      </c>
      <c r="N38" s="127">
        <f>IS!N39*Allocation!$E$14</f>
        <v>9015.3654167845198</v>
      </c>
      <c r="O38" s="127">
        <f>IS!O39*Allocation!$E$14</f>
        <v>7828.8123194704112</v>
      </c>
      <c r="P38" s="127">
        <f>IS!P39*Allocation!$E$14</f>
        <v>6627.305402299743</v>
      </c>
      <c r="Q38" s="127">
        <f>IS!Q39*Allocation!$E$14</f>
        <v>5382.0748162006494</v>
      </c>
      <c r="R38" s="127">
        <f>IS!R39*Allocation!$E$14</f>
        <v>4061.2624232178496</v>
      </c>
      <c r="S38" s="127">
        <f>IS!S39*Allocation!$E$14</f>
        <v>2815.8692955985766</v>
      </c>
      <c r="T38" s="127">
        <f>IS!T39*Allocation!$E$14</f>
        <v>1747.971508015879</v>
      </c>
      <c r="U38" s="127">
        <f>IS!U39*Allocation!$E$14</f>
        <v>682.67438475606207</v>
      </c>
      <c r="W38" s="91">
        <f>SUM(B38:U38)</f>
        <v>217129.91068775486</v>
      </c>
    </row>
    <row r="39" spans="1:23" ht="6" customHeight="1">
      <c r="B39" s="67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W39" s="91"/>
    </row>
    <row r="40" spans="1:23" s="57" customFormat="1">
      <c r="A40" s="1" t="s">
        <v>67</v>
      </c>
      <c r="B40" s="132">
        <f t="shared" ref="B40:U40" si="10">B36-B38</f>
        <v>12151.362499457358</v>
      </c>
      <c r="C40" s="132">
        <f t="shared" si="10"/>
        <v>12424.108648449874</v>
      </c>
      <c r="D40" s="132">
        <f t="shared" si="10"/>
        <v>12731.489882927246</v>
      </c>
      <c r="E40" s="132">
        <f t="shared" si="10"/>
        <v>19968.547025363583</v>
      </c>
      <c r="F40" s="132">
        <f t="shared" si="10"/>
        <v>22725.929031298834</v>
      </c>
      <c r="G40" s="132">
        <f t="shared" si="10"/>
        <v>24301.952606441075</v>
      </c>
      <c r="H40" s="132">
        <f t="shared" si="10"/>
        <v>25986.443303808304</v>
      </c>
      <c r="I40" s="132">
        <f t="shared" si="10"/>
        <v>27722.325688411936</v>
      </c>
      <c r="J40" s="132">
        <f t="shared" si="10"/>
        <v>29655.137839490919</v>
      </c>
      <c r="K40" s="132">
        <f t="shared" si="10"/>
        <v>31706.127326474976</v>
      </c>
      <c r="L40" s="132">
        <f t="shared" si="10"/>
        <v>33801.67289571873</v>
      </c>
      <c r="M40" s="132">
        <f t="shared" si="10"/>
        <v>36012.516086353018</v>
      </c>
      <c r="N40" s="132">
        <f t="shared" si="10"/>
        <v>38300.628254749477</v>
      </c>
      <c r="O40" s="132">
        <f t="shared" si="10"/>
        <v>40580.058473921927</v>
      </c>
      <c r="P40" s="132">
        <f t="shared" si="10"/>
        <v>42894.895204972716</v>
      </c>
      <c r="Q40" s="132">
        <f t="shared" si="10"/>
        <v>45004.292026989249</v>
      </c>
      <c r="R40" s="132">
        <f t="shared" si="10"/>
        <v>47201.009419665919</v>
      </c>
      <c r="S40" s="132">
        <f t="shared" si="10"/>
        <v>49334.180230744329</v>
      </c>
      <c r="T40" s="132">
        <f t="shared" si="10"/>
        <v>51301.862965658918</v>
      </c>
      <c r="U40" s="132">
        <f t="shared" si="10"/>
        <v>53279.087508501259</v>
      </c>
      <c r="W40" s="91">
        <f>SUM(B40:U40)</f>
        <v>657083.62691939948</v>
      </c>
    </row>
    <row r="41" spans="1:23" s="57" customFormat="1">
      <c r="A41" s="1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W41" s="91"/>
    </row>
    <row r="42" spans="1:23">
      <c r="A42" s="3" t="s">
        <v>68</v>
      </c>
      <c r="B42" s="127">
        <f>B40*-Assumptions!$I$39</f>
        <v>-872.46782746103838</v>
      </c>
      <c r="C42" s="127">
        <f>C40*-Assumptions!$I$39</f>
        <v>-892.05100095870091</v>
      </c>
      <c r="D42" s="127">
        <f>D40*-Assumptions!$I$39</f>
        <v>-914.12097359417635</v>
      </c>
      <c r="E42" s="127">
        <f>E40*-Assumptions!$I$39</f>
        <v>-1433.7416764211052</v>
      </c>
      <c r="F42" s="127">
        <f>F40*-Assumptions!$I$39</f>
        <v>-1631.7217044472563</v>
      </c>
      <c r="G42" s="127">
        <f>G40*-Assumptions!$I$39</f>
        <v>-1744.8801971424693</v>
      </c>
      <c r="H42" s="127">
        <f>H40*-Assumptions!$I$39</f>
        <v>-1865.8266292134363</v>
      </c>
      <c r="I42" s="127">
        <f>I40*-Assumptions!$I$39</f>
        <v>-1990.4629844279771</v>
      </c>
      <c r="J42" s="127">
        <f>J40*-Assumptions!$I$39</f>
        <v>-2129.2388968754481</v>
      </c>
      <c r="K42" s="127">
        <f>K40*-Assumptions!$I$39</f>
        <v>-2276.4999420409035</v>
      </c>
      <c r="L42" s="127">
        <f>L40*-Assumptions!$I$39</f>
        <v>-2426.9601139126048</v>
      </c>
      <c r="M42" s="127">
        <f>M40*-Assumptions!$I$39</f>
        <v>-2585.698655000147</v>
      </c>
      <c r="N42" s="127">
        <f>N40*-Assumptions!$I$39</f>
        <v>-2749.9851086910126</v>
      </c>
      <c r="O42" s="127">
        <f>O40*-Assumptions!$I$39</f>
        <v>-2913.6481984275943</v>
      </c>
      <c r="P42" s="127">
        <f>P40*-Assumptions!$I$39</f>
        <v>-3079.853475717041</v>
      </c>
      <c r="Q42" s="127">
        <f>Q40*-Assumptions!$I$39</f>
        <v>-3231.308167537828</v>
      </c>
      <c r="R42" s="127">
        <f>R40*-Assumptions!$I$39</f>
        <v>-3389.0324763320132</v>
      </c>
      <c r="S42" s="127">
        <f>S40*-Assumptions!$I$39</f>
        <v>-3542.1941405674429</v>
      </c>
      <c r="T42" s="127">
        <f>T40*-Assumptions!$I$39</f>
        <v>-3683.4737609343106</v>
      </c>
      <c r="U42" s="127">
        <f>U40*-Assumptions!$I$39</f>
        <v>-3825.4384831103907</v>
      </c>
      <c r="W42" s="91">
        <f>SUM(B42:U42)</f>
        <v>-47178.604412812892</v>
      </c>
    </row>
    <row r="43" spans="1:23">
      <c r="A43" s="3" t="s">
        <v>69</v>
      </c>
      <c r="B43" s="121">
        <f>(B40+B42)*-Assumptions!$I$38</f>
        <v>-3947.6131351987119</v>
      </c>
      <c r="C43" s="121">
        <f>(C40+C42)*-Assumptions!$I$38</f>
        <v>-4036.22017662191</v>
      </c>
      <c r="D43" s="121">
        <f>(D40+D42)*-Assumptions!$I$38</f>
        <v>-4136.0791182665744</v>
      </c>
      <c r="E43" s="121">
        <f>(E40+E42)*-Assumptions!$I$38</f>
        <v>-6487.1818721298669</v>
      </c>
      <c r="F43" s="121">
        <f>(F40+F42)*-Assumptions!$I$38</f>
        <v>-7382.9725643980519</v>
      </c>
      <c r="G43" s="121">
        <f>(G40+G42)*-Assumptions!$I$38</f>
        <v>-7894.9753432545112</v>
      </c>
      <c r="H43" s="121">
        <f>(H40+H42)*-Assumptions!$I$38</f>
        <v>-8442.2158361082038</v>
      </c>
      <c r="I43" s="121">
        <f>(I40+I42)*-Assumptions!$I$38</f>
        <v>-9006.151946394386</v>
      </c>
      <c r="J43" s="121">
        <f>(J40+J42)*-Assumptions!$I$38</f>
        <v>-9634.0646299154141</v>
      </c>
      <c r="K43" s="121">
        <f>(K40+K42)*-Assumptions!$I$38</f>
        <v>-10300.369584551925</v>
      </c>
      <c r="L43" s="121">
        <f>(L40+L42)*-Assumptions!$I$38</f>
        <v>-10981.149473632142</v>
      </c>
      <c r="M43" s="121">
        <f>(M40+M42)*-Assumptions!$I$38</f>
        <v>-11699.386100973505</v>
      </c>
      <c r="N43" s="121">
        <f>(N40+N42)*-Assumptions!$I$38</f>
        <v>-12442.725101120463</v>
      </c>
      <c r="O43" s="121">
        <f>(O40+O42)*-Assumptions!$I$38</f>
        <v>-13183.243596423015</v>
      </c>
      <c r="P43" s="121">
        <f>(P40+P42)*-Assumptions!$I$38</f>
        <v>-13935.264605239485</v>
      </c>
      <c r="Q43" s="121">
        <f>(Q40+Q42)*-Assumptions!$I$38</f>
        <v>-14620.544350807997</v>
      </c>
      <c r="R43" s="121">
        <f>(R40+R42)*-Assumptions!$I$38</f>
        <v>-15334.191930166868</v>
      </c>
      <c r="S43" s="121">
        <f>(S40+S42)*-Assumptions!$I$38</f>
        <v>-16027.195131561908</v>
      </c>
      <c r="T43" s="121">
        <f>(T40+T42)*-Assumptions!$I$38</f>
        <v>-16666.43622165361</v>
      </c>
      <c r="U43" s="121">
        <f>(U40+U42)*-Assumptions!$I$38</f>
        <v>-17308.777158886802</v>
      </c>
      <c r="W43" s="91">
        <f>SUM(B43:U43)</f>
        <v>-213466.7578773053</v>
      </c>
    </row>
    <row r="44" spans="1:23" ht="6" customHeight="1"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W44" s="91"/>
    </row>
    <row r="45" spans="1:23" s="64" customFormat="1" ht="15.75">
      <c r="A45" s="45" t="s">
        <v>220</v>
      </c>
      <c r="B45" s="134">
        <f t="shared" ref="B45:U45" si="11">SUM(B40:B43)</f>
        <v>7331.2815367976091</v>
      </c>
      <c r="C45" s="134">
        <f t="shared" si="11"/>
        <v>7495.8374708692627</v>
      </c>
      <c r="D45" s="134">
        <f t="shared" si="11"/>
        <v>7681.289791066496</v>
      </c>
      <c r="E45" s="134">
        <f t="shared" si="11"/>
        <v>12047.623476812612</v>
      </c>
      <c r="F45" s="134">
        <f t="shared" si="11"/>
        <v>13711.234762453525</v>
      </c>
      <c r="G45" s="134">
        <f t="shared" si="11"/>
        <v>14662.097066044094</v>
      </c>
      <c r="H45" s="134">
        <f t="shared" si="11"/>
        <v>15678.400838486665</v>
      </c>
      <c r="I45" s="134">
        <f t="shared" si="11"/>
        <v>16725.710757589572</v>
      </c>
      <c r="J45" s="134">
        <f t="shared" si="11"/>
        <v>17891.834312700055</v>
      </c>
      <c r="K45" s="134">
        <f t="shared" si="11"/>
        <v>19129.257799882147</v>
      </c>
      <c r="L45" s="134">
        <f t="shared" si="11"/>
        <v>20393.56330817398</v>
      </c>
      <c r="M45" s="134">
        <f t="shared" si="11"/>
        <v>21727.431330379368</v>
      </c>
      <c r="N45" s="134">
        <f t="shared" si="11"/>
        <v>23107.918044938</v>
      </c>
      <c r="O45" s="134">
        <f t="shared" si="11"/>
        <v>24483.166679071313</v>
      </c>
      <c r="P45" s="134">
        <f t="shared" si="11"/>
        <v>25879.777124016189</v>
      </c>
      <c r="Q45" s="134">
        <f t="shared" si="11"/>
        <v>27152.439508643423</v>
      </c>
      <c r="R45" s="134">
        <f t="shared" si="11"/>
        <v>28477.785013167042</v>
      </c>
      <c r="S45" s="134">
        <f t="shared" si="11"/>
        <v>29764.790958614976</v>
      </c>
      <c r="T45" s="134">
        <f t="shared" si="11"/>
        <v>30951.952983070994</v>
      </c>
      <c r="U45" s="134">
        <f t="shared" si="11"/>
        <v>32144.871866504069</v>
      </c>
      <c r="W45" s="91">
        <f>SUM(B45:U45)</f>
        <v>396438.26462928142</v>
      </c>
    </row>
    <row r="46" spans="1:23" s="62" customFormat="1" ht="9" outlineLevel="1">
      <c r="A46" s="4"/>
      <c r="B46" s="60"/>
      <c r="C46" s="61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</row>
    <row r="47" spans="1:23" s="62" customFormat="1" ht="9" outlineLevel="1">
      <c r="A47" s="4"/>
      <c r="B47" s="60"/>
      <c r="C47" s="61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</row>
    <row r="48" spans="1:23" outlineLevel="1">
      <c r="A48" s="13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</row>
    <row r="49" spans="1:51" ht="18.75" outlineLevel="1">
      <c r="A49" s="55" t="s">
        <v>216</v>
      </c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</row>
    <row r="50" spans="1:51" outlineLevel="1">
      <c r="A50" s="1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</row>
    <row r="51" spans="1:51" ht="12.75" customHeight="1" outlineLevel="1">
      <c r="A51" s="1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</row>
    <row r="52" spans="1:51" ht="12.75" customHeight="1" outlineLevel="1">
      <c r="A52" s="1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</row>
    <row r="53" spans="1:51" ht="13.5" outlineLevel="1" thickBot="1">
      <c r="A53" s="194" t="s">
        <v>56</v>
      </c>
      <c r="B53" s="8">
        <v>2001</v>
      </c>
      <c r="C53" s="8">
        <f>B53+1</f>
        <v>2002</v>
      </c>
      <c r="D53" s="8">
        <f t="shared" ref="D53:U53" si="12">C53+1</f>
        <v>2003</v>
      </c>
      <c r="E53" s="8">
        <f t="shared" si="12"/>
        <v>2004</v>
      </c>
      <c r="F53" s="8">
        <f t="shared" si="12"/>
        <v>2005</v>
      </c>
      <c r="G53" s="8">
        <f t="shared" si="12"/>
        <v>2006</v>
      </c>
      <c r="H53" s="8">
        <f t="shared" si="12"/>
        <v>2007</v>
      </c>
      <c r="I53" s="8">
        <f t="shared" si="12"/>
        <v>2008</v>
      </c>
      <c r="J53" s="8">
        <f t="shared" si="12"/>
        <v>2009</v>
      </c>
      <c r="K53" s="8">
        <f t="shared" si="12"/>
        <v>2010</v>
      </c>
      <c r="L53" s="8">
        <f t="shared" si="12"/>
        <v>2011</v>
      </c>
      <c r="M53" s="8">
        <f t="shared" si="12"/>
        <v>2012</v>
      </c>
      <c r="N53" s="8">
        <f t="shared" si="12"/>
        <v>2013</v>
      </c>
      <c r="O53" s="8">
        <f t="shared" si="12"/>
        <v>2014</v>
      </c>
      <c r="P53" s="8">
        <f t="shared" si="12"/>
        <v>2015</v>
      </c>
      <c r="Q53" s="8">
        <f t="shared" si="12"/>
        <v>2016</v>
      </c>
      <c r="R53" s="8">
        <f t="shared" si="12"/>
        <v>2017</v>
      </c>
      <c r="S53" s="8">
        <f t="shared" si="12"/>
        <v>2018</v>
      </c>
      <c r="T53" s="8">
        <f t="shared" si="12"/>
        <v>2019</v>
      </c>
      <c r="U53" s="8">
        <f t="shared" si="12"/>
        <v>2020</v>
      </c>
      <c r="W53" s="403" t="s">
        <v>161</v>
      </c>
    </row>
    <row r="54" spans="1:51" outlineLevel="1">
      <c r="A54" s="12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W54" s="23"/>
    </row>
    <row r="55" spans="1:51" outlineLevel="1">
      <c r="A55" s="13" t="s">
        <v>276</v>
      </c>
      <c r="B55" s="67">
        <f>B32-B12</f>
        <v>26820.439105604819</v>
      </c>
      <c r="C55" s="67">
        <f>C32-C12</f>
        <v>26824.622208765235</v>
      </c>
      <c r="D55" s="67">
        <f>D32-D12</f>
        <v>26753.186185165381</v>
      </c>
      <c r="E55" s="67">
        <f t="shared" ref="E55:U55" si="13">E32</f>
        <v>46157.000531547004</v>
      </c>
      <c r="F55" s="67">
        <f t="shared" si="13"/>
        <v>48388.271139149481</v>
      </c>
      <c r="G55" s="67">
        <f t="shared" si="13"/>
        <v>49340.716576605533</v>
      </c>
      <c r="H55" s="67">
        <f t="shared" si="13"/>
        <v>50324.389405897025</v>
      </c>
      <c r="I55" s="67">
        <f t="shared" si="13"/>
        <v>51327.087628348658</v>
      </c>
      <c r="J55" s="67">
        <f t="shared" si="13"/>
        <v>52349.170659301322</v>
      </c>
      <c r="K55" s="67">
        <f t="shared" si="13"/>
        <v>53391.004436354895</v>
      </c>
      <c r="L55" s="67">
        <f t="shared" si="13"/>
        <v>54424.687641304743</v>
      </c>
      <c r="M55" s="67">
        <f t="shared" si="13"/>
        <v>55477.747583696786</v>
      </c>
      <c r="N55" s="67">
        <f t="shared" si="13"/>
        <v>56550.536805707277</v>
      </c>
      <c r="O55" s="67">
        <f t="shared" si="13"/>
        <v>57643.413927565613</v>
      </c>
      <c r="P55" s="67">
        <f t="shared" si="13"/>
        <v>58756.743741445738</v>
      </c>
      <c r="Q55" s="67">
        <f t="shared" si="13"/>
        <v>59620.909977363175</v>
      </c>
      <c r="R55" s="67">
        <f t="shared" si="13"/>
        <v>60496.814977057045</v>
      </c>
      <c r="S55" s="67">
        <f t="shared" si="13"/>
        <v>61384.59266051618</v>
      </c>
      <c r="T55" s="67">
        <f t="shared" si="13"/>
        <v>62284.377607848073</v>
      </c>
      <c r="U55" s="67">
        <f t="shared" si="13"/>
        <v>63196.305027430601</v>
      </c>
      <c r="W55" s="404">
        <f>SUM(B55:U55)</f>
        <v>1021512.0178266745</v>
      </c>
    </row>
    <row r="56" spans="1:51">
      <c r="A56" s="13" t="s">
        <v>169</v>
      </c>
      <c r="B56" s="67">
        <f>B27</f>
        <v>572</v>
      </c>
      <c r="C56" s="67">
        <f t="shared" ref="C56:U56" si="14">C27</f>
        <v>583.4</v>
      </c>
      <c r="D56" s="67">
        <f t="shared" si="14"/>
        <v>595.1</v>
      </c>
      <c r="E56" s="67">
        <f t="shared" si="14"/>
        <v>607</v>
      </c>
      <c r="F56" s="67">
        <f t="shared" si="14"/>
        <v>619.1</v>
      </c>
      <c r="G56" s="67">
        <f t="shared" si="14"/>
        <v>631.5</v>
      </c>
      <c r="H56" s="67">
        <f t="shared" si="14"/>
        <v>631.5</v>
      </c>
      <c r="I56" s="67">
        <f t="shared" si="14"/>
        <v>631.5</v>
      </c>
      <c r="J56" s="67">
        <f t="shared" si="14"/>
        <v>631.5</v>
      </c>
      <c r="K56" s="67">
        <f t="shared" si="14"/>
        <v>631.5</v>
      </c>
      <c r="L56" s="67">
        <f t="shared" si="14"/>
        <v>631.5</v>
      </c>
      <c r="M56" s="67">
        <f t="shared" si="14"/>
        <v>631.5</v>
      </c>
      <c r="N56" s="67">
        <f t="shared" si="14"/>
        <v>631.5</v>
      </c>
      <c r="O56" s="67">
        <f t="shared" si="14"/>
        <v>631.5</v>
      </c>
      <c r="P56" s="67">
        <f t="shared" si="14"/>
        <v>631.5</v>
      </c>
      <c r="Q56" s="67">
        <f t="shared" si="14"/>
        <v>631.5</v>
      </c>
      <c r="R56" s="67">
        <f t="shared" si="14"/>
        <v>631.5</v>
      </c>
      <c r="S56" s="67">
        <f t="shared" si="14"/>
        <v>631.5</v>
      </c>
      <c r="T56" s="67">
        <f t="shared" si="14"/>
        <v>631.5</v>
      </c>
      <c r="U56" s="67">
        <f t="shared" si="14"/>
        <v>631.5</v>
      </c>
      <c r="W56" s="404">
        <f>SUM(B56:U56)</f>
        <v>12449.1</v>
      </c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</row>
    <row r="57" spans="1:51">
      <c r="A57" s="13" t="s">
        <v>170</v>
      </c>
      <c r="B57" s="466">
        <v>-333.7</v>
      </c>
      <c r="C57" s="67">
        <f>-B56</f>
        <v>-572</v>
      </c>
      <c r="D57" s="67">
        <f t="shared" ref="D57:U57" si="15">-C56</f>
        <v>-583.4</v>
      </c>
      <c r="E57" s="67">
        <f t="shared" si="15"/>
        <v>-595.1</v>
      </c>
      <c r="F57" s="67">
        <f t="shared" si="15"/>
        <v>-607</v>
      </c>
      <c r="G57" s="67">
        <f t="shared" si="15"/>
        <v>-619.1</v>
      </c>
      <c r="H57" s="67">
        <f t="shared" si="15"/>
        <v>-631.5</v>
      </c>
      <c r="I57" s="67">
        <f t="shared" si="15"/>
        <v>-631.5</v>
      </c>
      <c r="J57" s="67">
        <f t="shared" si="15"/>
        <v>-631.5</v>
      </c>
      <c r="K57" s="67">
        <f t="shared" si="15"/>
        <v>-631.5</v>
      </c>
      <c r="L57" s="67">
        <f t="shared" si="15"/>
        <v>-631.5</v>
      </c>
      <c r="M57" s="67">
        <f t="shared" si="15"/>
        <v>-631.5</v>
      </c>
      <c r="N57" s="67">
        <f t="shared" si="15"/>
        <v>-631.5</v>
      </c>
      <c r="O57" s="67">
        <f t="shared" si="15"/>
        <v>-631.5</v>
      </c>
      <c r="P57" s="67">
        <f t="shared" si="15"/>
        <v>-631.5</v>
      </c>
      <c r="Q57" s="67">
        <f t="shared" si="15"/>
        <v>-631.5</v>
      </c>
      <c r="R57" s="67">
        <f t="shared" si="15"/>
        <v>-631.5</v>
      </c>
      <c r="S57" s="67">
        <f t="shared" si="15"/>
        <v>-631.5</v>
      </c>
      <c r="T57" s="67">
        <f t="shared" si="15"/>
        <v>-631.5</v>
      </c>
      <c r="U57" s="67">
        <f t="shared" si="15"/>
        <v>-631.5</v>
      </c>
      <c r="W57" s="404">
        <f>SUM(B57:U57)</f>
        <v>-12151.3</v>
      </c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</row>
    <row r="58" spans="1:51" outlineLevel="1">
      <c r="A58" s="13" t="s">
        <v>71</v>
      </c>
      <c r="B58" s="402">
        <f>-Debt!B77*Allocation!$E$14</f>
        <v>-21358.091406606876</v>
      </c>
      <c r="C58" s="402">
        <f>-Debt!C77*Allocation!$E$14</f>
        <v>-21340.616054483311</v>
      </c>
      <c r="D58" s="402">
        <f>-Debt!D77*Allocation!$E$14</f>
        <v>-21240.785122748894</v>
      </c>
      <c r="E58" s="402">
        <f>-Debt!E77*Allocation!$E$14</f>
        <v>-20937.835112185501</v>
      </c>
      <c r="F58" s="402">
        <f>-Debt!F77*Allocation!$E$14</f>
        <v>-21911.554204271684</v>
      </c>
      <c r="G58" s="402">
        <f>-Debt!G77*Allocation!$E$14</f>
        <v>-22037.891311794971</v>
      </c>
      <c r="H58" s="402">
        <f>-Debt!H77*Allocation!$E$14</f>
        <v>-21899.509877626344</v>
      </c>
      <c r="I58" s="402">
        <f>-Debt!I77*Allocation!$E$14</f>
        <v>-22103.719771986191</v>
      </c>
      <c r="J58" s="402">
        <f>-Debt!J77*Allocation!$E$14</f>
        <v>-21942.905897069351</v>
      </c>
      <c r="K58" s="402">
        <f>-Debt!K77*Allocation!$E$14</f>
        <v>-22195.884327513748</v>
      </c>
      <c r="L58" s="402">
        <f>-Debt!L77*Allocation!$E$14</f>
        <v>-21989.952012439593</v>
      </c>
      <c r="M58" s="402">
        <f>-Debt!M77*Allocation!$E$14</f>
        <v>-20832.168764197348</v>
      </c>
      <c r="N58" s="402">
        <f>-Debt!N77*Allocation!$E$14</f>
        <v>-19616.845817811376</v>
      </c>
      <c r="O58" s="402">
        <f>-Debt!O77*Allocation!$E$14</f>
        <v>-18430.292720497269</v>
      </c>
      <c r="P58" s="402">
        <f>-Debt!P77*Allocation!$E$14</f>
        <v>-17758.859823377945</v>
      </c>
      <c r="Q58" s="402">
        <f>-Debt!Q77*Allocation!$E$14</f>
        <v>-17043.703257330191</v>
      </c>
      <c r="R58" s="402">
        <f>-Debt!R77*Allocation!$E$14</f>
        <v>-15722.890864347395</v>
      </c>
      <c r="S58" s="402">
        <f>-Debt!S77*Allocation!$E$14</f>
        <v>-12357.201656522748</v>
      </c>
      <c r="T58" s="402">
        <f>-Debt!T77*Allocation!$E$14</f>
        <v>-11289.303868940051</v>
      </c>
      <c r="U58" s="402">
        <f>-Debt!U77*Allocation!$E$14</f>
        <v>-9163.858705577557</v>
      </c>
      <c r="W58" s="404">
        <f>SUM(B58:U58)</f>
        <v>-381173.87057732831</v>
      </c>
    </row>
    <row r="59" spans="1:51" outlineLevel="1">
      <c r="A59" s="13"/>
      <c r="B59" s="135"/>
      <c r="C59" s="135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  <c r="S59" s="135"/>
      <c r="T59" s="135"/>
      <c r="U59" s="135"/>
      <c r="W59" s="405"/>
    </row>
    <row r="60" spans="1:51" s="57" customFormat="1" outlineLevel="1">
      <c r="A60" s="12" t="s">
        <v>72</v>
      </c>
      <c r="B60" s="136">
        <f t="shared" ref="B60:U60" si="16">SUM(B55:B58)</f>
        <v>5700.6476989979419</v>
      </c>
      <c r="C60" s="136">
        <f t="shared" si="16"/>
        <v>5495.4061542819254</v>
      </c>
      <c r="D60" s="136">
        <f t="shared" si="16"/>
        <v>5524.1010624164846</v>
      </c>
      <c r="E60" s="136">
        <f t="shared" si="16"/>
        <v>25231.065419361505</v>
      </c>
      <c r="F60" s="136">
        <f t="shared" si="16"/>
        <v>26488.816934877796</v>
      </c>
      <c r="G60" s="136">
        <f t="shared" si="16"/>
        <v>27315.225264810564</v>
      </c>
      <c r="H60" s="136">
        <f t="shared" si="16"/>
        <v>28424.879528270681</v>
      </c>
      <c r="I60" s="136">
        <f t="shared" si="16"/>
        <v>29223.367856362467</v>
      </c>
      <c r="J60" s="136">
        <f t="shared" si="16"/>
        <v>30406.264762231971</v>
      </c>
      <c r="K60" s="136">
        <f t="shared" si="16"/>
        <v>31195.120108841147</v>
      </c>
      <c r="L60" s="136">
        <f t="shared" si="16"/>
        <v>32434.73562886515</v>
      </c>
      <c r="M60" s="136">
        <f t="shared" si="16"/>
        <v>34645.578819499438</v>
      </c>
      <c r="N60" s="136">
        <f t="shared" si="16"/>
        <v>36933.690987895898</v>
      </c>
      <c r="O60" s="136">
        <f t="shared" si="16"/>
        <v>39213.12120706834</v>
      </c>
      <c r="P60" s="136">
        <f t="shared" si="16"/>
        <v>40997.88391806779</v>
      </c>
      <c r="Q60" s="136">
        <f t="shared" si="16"/>
        <v>42577.206720032984</v>
      </c>
      <c r="R60" s="136">
        <f t="shared" si="16"/>
        <v>44773.924112709647</v>
      </c>
      <c r="S60" s="136">
        <f t="shared" si="16"/>
        <v>49027.391003993434</v>
      </c>
      <c r="T60" s="136">
        <f t="shared" si="16"/>
        <v>50995.073738908024</v>
      </c>
      <c r="U60" s="136">
        <f t="shared" si="16"/>
        <v>54032.446321853044</v>
      </c>
      <c r="W60" s="404">
        <f>SUM(B60:U60)</f>
        <v>640635.9472493463</v>
      </c>
    </row>
    <row r="61" spans="1:51" outlineLevel="1">
      <c r="A61" s="12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W61" s="405"/>
    </row>
    <row r="62" spans="1:51" ht="15" outlineLevel="1">
      <c r="A62" s="13" t="s">
        <v>99</v>
      </c>
      <c r="B62" s="225">
        <f>-B98</f>
        <v>0</v>
      </c>
      <c r="C62" s="225">
        <f t="shared" ref="C62:U62" si="17">-C98</f>
        <v>0</v>
      </c>
      <c r="D62" s="225">
        <f t="shared" si="17"/>
        <v>0</v>
      </c>
      <c r="E62" s="225">
        <f t="shared" si="17"/>
        <v>0</v>
      </c>
      <c r="F62" s="225">
        <f t="shared" si="17"/>
        <v>0</v>
      </c>
      <c r="G62" s="225">
        <f t="shared" si="17"/>
        <v>-256.63700177906003</v>
      </c>
      <c r="H62" s="225">
        <f t="shared" si="17"/>
        <v>-1383.2893826746824</v>
      </c>
      <c r="I62" s="225">
        <f t="shared" si="17"/>
        <v>-1505.9840812052021</v>
      </c>
      <c r="J62" s="225">
        <f t="shared" si="17"/>
        <v>-1646.7016503366945</v>
      </c>
      <c r="K62" s="225">
        <f t="shared" si="17"/>
        <v>-1792.0210388181285</v>
      </c>
      <c r="L62" s="225">
        <f t="shared" si="17"/>
        <v>-1944.4228673738512</v>
      </c>
      <c r="M62" s="225">
        <f t="shared" si="17"/>
        <v>-2101.219751777372</v>
      </c>
      <c r="N62" s="225">
        <f t="shared" si="17"/>
        <v>-2267.4478621522589</v>
      </c>
      <c r="O62" s="225">
        <f t="shared" si="17"/>
        <v>-2429.1692952048197</v>
      </c>
      <c r="P62" s="225">
        <f t="shared" si="17"/>
        <v>-2597.3162291782878</v>
      </c>
      <c r="Q62" s="225">
        <f t="shared" si="17"/>
        <v>-3321.559642785272</v>
      </c>
      <c r="R62" s="225">
        <f t="shared" si="17"/>
        <v>-4052.0726733656543</v>
      </c>
      <c r="S62" s="225">
        <f t="shared" si="17"/>
        <v>-4205.234337601084</v>
      </c>
      <c r="T62" s="225">
        <f t="shared" si="17"/>
        <v>-4346.5139579679517</v>
      </c>
      <c r="U62" s="225">
        <f t="shared" si="17"/>
        <v>-4488.4786801440323</v>
      </c>
      <c r="W62" s="404">
        <f>SUM(B62:U62)</f>
        <v>-38338.06845236435</v>
      </c>
    </row>
    <row r="63" spans="1:51" outlineLevel="1">
      <c r="A63" s="13" t="s">
        <v>100</v>
      </c>
      <c r="B63" s="128">
        <f>-Allocation!$E$14*Tax!B24</f>
        <v>0</v>
      </c>
      <c r="C63" s="128">
        <f>-Allocation!$E$14*Tax!C24</f>
        <v>0</v>
      </c>
      <c r="D63" s="128">
        <f>-Allocation!$E$14*Tax!D24</f>
        <v>0</v>
      </c>
      <c r="E63" s="128">
        <f>-Allocation!$E$14*Tax!E24</f>
        <v>0</v>
      </c>
      <c r="F63" s="128">
        <f>-Allocation!$E$14*Tax!F24</f>
        <v>-242.98777085269182</v>
      </c>
      <c r="G63" s="128">
        <f>-Allocation!$E$14*Tax!G24</f>
        <v>-6333.3100757412358</v>
      </c>
      <c r="H63" s="128">
        <f>-Allocation!$E$14*Tax!H24</f>
        <v>-6958.5609380413207</v>
      </c>
      <c r="I63" s="128">
        <f>-Allocation!$E$14*Tax!I24</f>
        <v>-7436.8598010404885</v>
      </c>
      <c r="J63" s="128">
        <f>-Allocation!$E$14*Tax!J24</f>
        <v>-8003.8623131977811</v>
      </c>
      <c r="K63" s="128">
        <f>-Allocation!$E$14*Tax!K24</f>
        <v>-8524.0982349391688</v>
      </c>
      <c r="L63" s="128">
        <f>-Allocation!$E$14*Tax!L24</f>
        <v>-9204.5656418222425</v>
      </c>
      <c r="M63" s="128">
        <f>-Allocation!$E$14*Tax!M24</f>
        <v>-9919.8036944696159</v>
      </c>
      <c r="N63" s="128">
        <f>-Allocation!$E$14*Tax!N24</f>
        <v>-10638.025071401624</v>
      </c>
      <c r="O63" s="128">
        <f>-Allocation!$E$14*Tax!O24</f>
        <v>-11342.987548917597</v>
      </c>
      <c r="P63" s="128">
        <f>-Allocation!$E$14*Tax!P24</f>
        <v>-12037.693395475499</v>
      </c>
      <c r="Q63" s="128">
        <f>-Allocation!$E$14*Tax!Q24</f>
        <v>-15085.457669730014</v>
      </c>
      <c r="R63" s="128">
        <f>-Allocation!$E$14*Tax!R24</f>
        <v>-18117.237526526224</v>
      </c>
      <c r="S63" s="128">
        <f>-Allocation!$E$14*Tax!S24</f>
        <v>-18791.989939082792</v>
      </c>
      <c r="T63" s="128">
        <f>-Allocation!$E$14*Tax!T24</f>
        <v>-19411.626164882418</v>
      </c>
      <c r="U63" s="128">
        <f>-Allocation!$E$14*Tax!U24</f>
        <v>-20034.204755958664</v>
      </c>
      <c r="W63" s="404">
        <f>SUM(B63:U63)</f>
        <v>-182083.27054207935</v>
      </c>
    </row>
    <row r="64" spans="1:51" outlineLevel="1">
      <c r="A64" s="13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/>
      <c r="T64" s="121"/>
      <c r="U64" s="121"/>
      <c r="W64" s="405"/>
    </row>
    <row r="65" spans="1:252" s="64" customFormat="1" ht="15.75" outlineLevel="1">
      <c r="A65" s="46" t="s">
        <v>73</v>
      </c>
      <c r="B65" s="137">
        <f t="shared" ref="B65:U65" si="18">B60+B63+B62</f>
        <v>5700.6476989979419</v>
      </c>
      <c r="C65" s="137">
        <f t="shared" si="18"/>
        <v>5495.4061542819254</v>
      </c>
      <c r="D65" s="137">
        <f t="shared" si="18"/>
        <v>5524.1010624164846</v>
      </c>
      <c r="E65" s="137">
        <f t="shared" si="18"/>
        <v>25231.065419361505</v>
      </c>
      <c r="F65" s="137">
        <f t="shared" si="18"/>
        <v>26245.829164025105</v>
      </c>
      <c r="G65" s="137">
        <f t="shared" si="18"/>
        <v>20725.278187290267</v>
      </c>
      <c r="H65" s="137">
        <f t="shared" si="18"/>
        <v>20083.029207554679</v>
      </c>
      <c r="I65" s="137">
        <f t="shared" si="18"/>
        <v>20280.523974116775</v>
      </c>
      <c r="J65" s="137">
        <f t="shared" si="18"/>
        <v>20755.700798697497</v>
      </c>
      <c r="K65" s="137">
        <f t="shared" si="18"/>
        <v>20879.000835083847</v>
      </c>
      <c r="L65" s="137">
        <f t="shared" si="18"/>
        <v>21285.747119669057</v>
      </c>
      <c r="M65" s="137">
        <f t="shared" si="18"/>
        <v>22624.555373252453</v>
      </c>
      <c r="N65" s="137">
        <f t="shared" si="18"/>
        <v>24028.218054342018</v>
      </c>
      <c r="O65" s="137">
        <f t="shared" si="18"/>
        <v>25440.964362945924</v>
      </c>
      <c r="P65" s="137">
        <f t="shared" si="18"/>
        <v>26362.874293414003</v>
      </c>
      <c r="Q65" s="137">
        <f t="shared" si="18"/>
        <v>24170.189407517697</v>
      </c>
      <c r="R65" s="137">
        <f t="shared" si="18"/>
        <v>22604.613912817767</v>
      </c>
      <c r="S65" s="137">
        <f t="shared" si="18"/>
        <v>26030.166727309559</v>
      </c>
      <c r="T65" s="137">
        <f t="shared" si="18"/>
        <v>27236.933616057653</v>
      </c>
      <c r="U65" s="137">
        <f t="shared" si="18"/>
        <v>29509.762885750348</v>
      </c>
      <c r="W65" s="404">
        <f>SUM(B65:U65)</f>
        <v>420214.60825490253</v>
      </c>
    </row>
    <row r="66" spans="1:252" outlineLevel="1">
      <c r="A66" s="68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</row>
    <row r="67" spans="1:252" outlineLevel="1">
      <c r="A67" s="6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</row>
    <row r="68" spans="1:252" outlineLevel="1">
      <c r="A68" s="70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59"/>
      <c r="M68" s="59"/>
      <c r="N68" s="59"/>
      <c r="O68" s="59"/>
      <c r="P68" s="59"/>
      <c r="Q68" s="59"/>
      <c r="R68" s="59"/>
      <c r="S68" s="59"/>
      <c r="T68" s="59"/>
      <c r="U68" s="59"/>
    </row>
    <row r="69" spans="1:252" ht="18.75" outlineLevel="1">
      <c r="A69" s="55" t="s">
        <v>223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r="70" spans="1:252" outlineLevel="1">
      <c r="A70" s="57"/>
      <c r="B70" s="18"/>
      <c r="C70" s="18"/>
      <c r="D70" s="18"/>
      <c r="E70" s="18"/>
      <c r="F70" s="18"/>
      <c r="G70" s="138"/>
      <c r="H70" s="18"/>
      <c r="I70" s="18"/>
      <c r="J70" s="18"/>
      <c r="K70" s="18"/>
      <c r="L70" s="18"/>
      <c r="M70" s="138"/>
      <c r="N70" s="18"/>
      <c r="O70" s="18"/>
      <c r="P70" s="18"/>
      <c r="Q70" s="18"/>
      <c r="R70" s="18"/>
      <c r="S70" s="138"/>
      <c r="T70" s="18"/>
      <c r="U70" s="18"/>
    </row>
    <row r="71" spans="1:252" outlineLevel="1">
      <c r="A71" s="226"/>
      <c r="B71" s="242">
        <v>3</v>
      </c>
      <c r="C71" s="242">
        <v>4</v>
      </c>
      <c r="D71" s="242">
        <v>5</v>
      </c>
      <c r="E71" s="243">
        <v>6</v>
      </c>
      <c r="F71" s="242">
        <v>7</v>
      </c>
      <c r="G71" s="242">
        <v>8</v>
      </c>
      <c r="H71" s="242">
        <v>9</v>
      </c>
      <c r="I71" s="242">
        <v>10</v>
      </c>
      <c r="J71" s="242">
        <v>11</v>
      </c>
      <c r="K71" s="243">
        <v>12</v>
      </c>
      <c r="L71" s="242">
        <v>13</v>
      </c>
      <c r="M71" s="242">
        <v>14</v>
      </c>
      <c r="N71" s="242">
        <v>15</v>
      </c>
      <c r="O71" s="242">
        <v>16</v>
      </c>
      <c r="P71" s="242">
        <v>17</v>
      </c>
      <c r="Q71" s="243">
        <v>18</v>
      </c>
      <c r="R71" s="242">
        <v>19</v>
      </c>
      <c r="S71" s="242">
        <v>20</v>
      </c>
      <c r="T71" s="242">
        <v>21</v>
      </c>
      <c r="U71" s="242">
        <v>22</v>
      </c>
    </row>
    <row r="72" spans="1:252" ht="13.5" outlineLevel="1" thickBot="1">
      <c r="A72" s="194" t="s">
        <v>56</v>
      </c>
      <c r="B72" s="8">
        <v>2001</v>
      </c>
      <c r="C72" s="8">
        <v>2002</v>
      </c>
      <c r="D72" s="8">
        <v>2003</v>
      </c>
      <c r="E72" s="8">
        <v>2004</v>
      </c>
      <c r="F72" s="8">
        <v>2005</v>
      </c>
      <c r="G72" s="8">
        <v>2006</v>
      </c>
      <c r="H72" s="8">
        <v>2007</v>
      </c>
      <c r="I72" s="8">
        <v>2008</v>
      </c>
      <c r="J72" s="8">
        <v>2009</v>
      </c>
      <c r="K72" s="8">
        <v>2010</v>
      </c>
      <c r="L72" s="8">
        <v>2011</v>
      </c>
      <c r="M72" s="8">
        <v>2012</v>
      </c>
      <c r="N72" s="8">
        <v>2013</v>
      </c>
      <c r="O72" s="8">
        <v>2014</v>
      </c>
      <c r="P72" s="8">
        <v>2015</v>
      </c>
      <c r="Q72" s="8">
        <v>2016</v>
      </c>
      <c r="R72" s="8">
        <v>2017</v>
      </c>
      <c r="S72" s="8">
        <v>2018</v>
      </c>
      <c r="T72" s="8">
        <v>2019</v>
      </c>
      <c r="U72" s="8">
        <v>2020</v>
      </c>
    </row>
    <row r="73" spans="1:252" outlineLevel="1">
      <c r="A73" s="226"/>
      <c r="B73" s="24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252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</row>
    <row r="75" spans="1:252" outlineLevel="1">
      <c r="A75" s="227" t="s">
        <v>183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</row>
    <row r="76" spans="1:252" s="432" customFormat="1" ht="12" customHeight="1">
      <c r="A76" s="523"/>
      <c r="B76" s="428"/>
      <c r="C76" s="428"/>
      <c r="D76" s="246"/>
      <c r="E76" s="246"/>
      <c r="F76" s="246"/>
      <c r="G76" s="246"/>
      <c r="H76" s="246"/>
      <c r="I76" s="246"/>
      <c r="J76" s="246"/>
      <c r="K76" s="246"/>
      <c r="L76" s="246"/>
      <c r="M76" s="246"/>
      <c r="N76" s="246"/>
      <c r="O76" s="246"/>
      <c r="P76" s="246"/>
      <c r="Q76" s="246"/>
      <c r="R76" s="246"/>
      <c r="S76" s="246"/>
      <c r="T76" s="246"/>
      <c r="U76" s="246"/>
      <c r="V76" s="246"/>
      <c r="W76" s="246"/>
      <c r="X76" s="246"/>
      <c r="Y76" s="246"/>
      <c r="Z76" s="428"/>
      <c r="AA76" s="431"/>
      <c r="AB76" s="431"/>
      <c r="AC76" s="431"/>
      <c r="AD76" s="431"/>
      <c r="AE76" s="431"/>
      <c r="AF76" s="431"/>
      <c r="AG76" s="431"/>
      <c r="AH76" s="431"/>
      <c r="AI76" s="431"/>
      <c r="AJ76" s="431"/>
      <c r="AK76" s="431"/>
      <c r="AL76" s="431"/>
      <c r="AM76" s="431"/>
      <c r="AN76" s="431"/>
      <c r="AO76" s="431"/>
      <c r="AP76" s="431"/>
      <c r="AQ76" s="431"/>
      <c r="AR76" s="431"/>
      <c r="AS76" s="431"/>
      <c r="AT76" s="431"/>
      <c r="AU76" s="431"/>
      <c r="AV76" s="431"/>
      <c r="AW76" s="431"/>
      <c r="AX76" s="431"/>
      <c r="AY76" s="431"/>
      <c r="AZ76" s="431"/>
      <c r="BA76" s="431"/>
      <c r="BB76" s="431"/>
      <c r="BC76" s="431"/>
      <c r="BD76" s="431"/>
      <c r="BE76" s="431"/>
      <c r="BF76" s="431"/>
      <c r="BG76" s="431"/>
      <c r="BH76" s="431"/>
      <c r="BI76" s="431"/>
      <c r="BJ76" s="431"/>
      <c r="BK76" s="431"/>
      <c r="BL76" s="431"/>
      <c r="BM76" s="431"/>
      <c r="BN76" s="431"/>
      <c r="BO76" s="431"/>
      <c r="BP76" s="431"/>
      <c r="BQ76" s="431"/>
      <c r="BR76" s="431"/>
      <c r="BS76" s="431"/>
      <c r="BT76" s="431"/>
      <c r="BU76" s="431"/>
      <c r="BV76" s="431"/>
      <c r="BW76" s="431"/>
      <c r="BX76" s="431"/>
      <c r="BY76" s="431"/>
      <c r="BZ76" s="431"/>
      <c r="CA76" s="431"/>
      <c r="CB76" s="431"/>
      <c r="CC76" s="431"/>
      <c r="CD76" s="431"/>
      <c r="CE76" s="431"/>
      <c r="CF76" s="431"/>
      <c r="CG76" s="431"/>
      <c r="CH76" s="431"/>
      <c r="CI76" s="431"/>
      <c r="CJ76" s="431"/>
      <c r="CK76" s="431"/>
      <c r="CL76" s="431"/>
      <c r="CM76" s="431"/>
      <c r="CN76" s="431"/>
      <c r="CO76" s="431"/>
      <c r="CP76" s="431"/>
      <c r="CQ76" s="431"/>
      <c r="CR76" s="431"/>
      <c r="CS76" s="431"/>
      <c r="CT76" s="431"/>
      <c r="CU76" s="431"/>
      <c r="CV76" s="431"/>
      <c r="CW76" s="431"/>
      <c r="CX76" s="431"/>
      <c r="CY76" s="431"/>
      <c r="CZ76" s="431"/>
      <c r="DA76" s="431"/>
      <c r="DB76" s="431"/>
      <c r="DC76" s="431"/>
      <c r="DD76" s="431"/>
      <c r="DE76" s="431"/>
      <c r="DF76" s="431"/>
      <c r="DG76" s="431"/>
      <c r="DH76" s="431"/>
      <c r="DI76" s="431"/>
      <c r="DJ76" s="431"/>
      <c r="DK76" s="431"/>
      <c r="DL76" s="431"/>
      <c r="DM76" s="431"/>
      <c r="DN76" s="431"/>
      <c r="DO76" s="431"/>
      <c r="DP76" s="431"/>
      <c r="DQ76" s="431"/>
      <c r="DR76" s="431"/>
      <c r="DS76" s="431"/>
      <c r="DT76" s="431"/>
      <c r="DU76" s="431"/>
      <c r="DV76" s="431"/>
      <c r="DW76" s="431"/>
      <c r="DX76" s="431"/>
      <c r="DY76" s="431"/>
      <c r="DZ76" s="431"/>
      <c r="EA76" s="431"/>
      <c r="EB76" s="431"/>
      <c r="EC76" s="431"/>
      <c r="ED76" s="431"/>
      <c r="EE76" s="431"/>
      <c r="EF76" s="431"/>
      <c r="EG76" s="431"/>
      <c r="EH76" s="431"/>
      <c r="EI76" s="431"/>
      <c r="EJ76" s="431"/>
      <c r="EK76" s="431"/>
      <c r="EL76" s="431"/>
      <c r="EM76" s="431"/>
      <c r="EN76" s="431"/>
      <c r="EO76" s="431"/>
      <c r="EP76" s="431"/>
      <c r="EQ76" s="431"/>
      <c r="ER76" s="431"/>
      <c r="ES76" s="431"/>
      <c r="ET76" s="431"/>
      <c r="EU76" s="431"/>
      <c r="EV76" s="431"/>
      <c r="EW76" s="431"/>
      <c r="EX76" s="431"/>
      <c r="EY76" s="431"/>
      <c r="EZ76" s="431"/>
      <c r="FA76" s="431"/>
      <c r="FB76" s="431"/>
      <c r="FC76" s="431"/>
      <c r="FD76" s="431"/>
      <c r="FE76" s="431"/>
      <c r="FF76" s="431"/>
      <c r="FG76" s="431"/>
      <c r="FH76" s="431"/>
      <c r="FI76" s="431"/>
      <c r="FJ76" s="431"/>
      <c r="FK76" s="431"/>
      <c r="FL76" s="431"/>
      <c r="FM76" s="431"/>
      <c r="FN76" s="431"/>
      <c r="FO76" s="431"/>
      <c r="FP76" s="431"/>
      <c r="FQ76" s="431"/>
      <c r="FR76" s="431"/>
      <c r="FS76" s="431"/>
      <c r="FT76" s="431"/>
      <c r="FU76" s="431"/>
      <c r="FV76" s="431"/>
      <c r="FW76" s="431"/>
      <c r="FX76" s="431"/>
      <c r="FY76" s="431"/>
      <c r="FZ76" s="431"/>
      <c r="GA76" s="431"/>
      <c r="GB76" s="431"/>
      <c r="GC76" s="431"/>
      <c r="GD76" s="431"/>
      <c r="GE76" s="431"/>
      <c r="GF76" s="431"/>
      <c r="GG76" s="431"/>
      <c r="GH76" s="431"/>
      <c r="GI76" s="431"/>
      <c r="GJ76" s="431"/>
      <c r="GK76" s="431"/>
      <c r="GL76" s="431"/>
      <c r="GM76" s="431"/>
      <c r="GN76" s="431"/>
      <c r="GO76" s="431"/>
      <c r="GP76" s="431"/>
      <c r="GQ76" s="431"/>
      <c r="GR76" s="431"/>
      <c r="GS76" s="431"/>
      <c r="GT76" s="431"/>
      <c r="GU76" s="431"/>
      <c r="GV76" s="431"/>
      <c r="GW76" s="431"/>
      <c r="GX76" s="431"/>
      <c r="GY76" s="431"/>
      <c r="GZ76" s="431"/>
      <c r="HA76" s="431"/>
      <c r="HB76" s="431"/>
      <c r="HC76" s="431"/>
      <c r="HD76" s="431"/>
      <c r="HE76" s="431"/>
      <c r="HF76" s="431"/>
      <c r="HG76" s="431"/>
      <c r="HH76" s="431"/>
      <c r="HI76" s="431"/>
      <c r="HJ76" s="431"/>
      <c r="HK76" s="431"/>
      <c r="HL76" s="431"/>
      <c r="HM76" s="431"/>
      <c r="HN76" s="431"/>
      <c r="HO76" s="431"/>
      <c r="HP76" s="431"/>
      <c r="HQ76" s="431"/>
      <c r="HR76" s="431"/>
      <c r="HS76" s="431"/>
      <c r="HT76" s="431"/>
      <c r="HU76" s="431"/>
      <c r="HV76" s="431"/>
      <c r="HW76" s="431"/>
      <c r="HX76" s="431"/>
      <c r="HY76" s="431"/>
      <c r="HZ76" s="431"/>
      <c r="IA76" s="431"/>
      <c r="IB76" s="431"/>
      <c r="IC76" s="431"/>
      <c r="ID76" s="431"/>
      <c r="IE76" s="431"/>
      <c r="IF76" s="431"/>
      <c r="IG76" s="431"/>
      <c r="IH76" s="431"/>
      <c r="II76" s="431"/>
      <c r="IJ76" s="431"/>
      <c r="IK76" s="431"/>
      <c r="IL76" s="431"/>
      <c r="IM76" s="431"/>
      <c r="IN76" s="431"/>
      <c r="IO76" s="431"/>
      <c r="IP76" s="431"/>
      <c r="IQ76" s="431"/>
      <c r="IR76" s="431"/>
    </row>
    <row r="77" spans="1:252" s="432" customFormat="1" ht="12" customHeight="1">
      <c r="A77" s="21" t="s">
        <v>181</v>
      </c>
      <c r="B77" s="437">
        <f>Allocation!$C$14*'Summary Output'!$C$8</f>
        <v>145342.72056590454</v>
      </c>
      <c r="C77" s="437">
        <f>Allocation!$C$14*'Summary Output'!$C$8</f>
        <v>145342.72056590454</v>
      </c>
      <c r="D77" s="437">
        <f>Allocation!$C$14*'Summary Output'!$C$8</f>
        <v>145342.72056590454</v>
      </c>
      <c r="E77" s="437">
        <f>Allocation!$C$14*'Summary Output'!$C$8</f>
        <v>145342.72056590454</v>
      </c>
      <c r="F77" s="437">
        <f>Allocation!$C$14*'Summary Output'!$C$8</f>
        <v>145342.72056590454</v>
      </c>
      <c r="G77" s="437">
        <f>Allocation!$C$14*'Summary Output'!$C$8</f>
        <v>145342.72056590454</v>
      </c>
      <c r="H77" s="437">
        <f>Allocation!$C$14*'Summary Output'!$C$8</f>
        <v>145342.72056590454</v>
      </c>
      <c r="I77" s="437">
        <f>Allocation!$C$14*'Summary Output'!$C$8</f>
        <v>145342.72056590454</v>
      </c>
      <c r="J77" s="437">
        <f>Allocation!$C$14*'Summary Output'!$C$8</f>
        <v>145342.72056590454</v>
      </c>
      <c r="K77" s="437">
        <f>Allocation!$C$14*'Summary Output'!$C$8</f>
        <v>145342.72056590454</v>
      </c>
      <c r="L77" s="437">
        <f>Allocation!$C$14*'Summary Output'!$C$8</f>
        <v>145342.72056590454</v>
      </c>
      <c r="M77" s="437">
        <f>Allocation!$C$14*'Summary Output'!$C$8</f>
        <v>145342.72056590454</v>
      </c>
      <c r="N77" s="437">
        <f>Allocation!$C$14*'Summary Output'!$C$8</f>
        <v>145342.72056590454</v>
      </c>
      <c r="O77" s="437">
        <f>Allocation!$C$14*'Summary Output'!$C$8</f>
        <v>145342.72056590454</v>
      </c>
      <c r="P77" s="437">
        <f>Allocation!$C$14*'Summary Output'!$C$8</f>
        <v>145342.72056590454</v>
      </c>
      <c r="Q77" s="437">
        <f>Allocation!$C$14*'Summary Output'!$C$8</f>
        <v>145342.72056590454</v>
      </c>
      <c r="R77" s="437">
        <f>Allocation!$C$14*'Summary Output'!$C$8</f>
        <v>145342.72056590454</v>
      </c>
      <c r="S77" s="437">
        <f>Allocation!$C$14*'Summary Output'!$C$8</f>
        <v>145342.72056590454</v>
      </c>
      <c r="T77" s="437">
        <f>Allocation!$C$14*'Summary Output'!$C$8</f>
        <v>145342.72056590454</v>
      </c>
      <c r="U77" s="437">
        <f>Allocation!$C$14*'Summary Output'!$C$8</f>
        <v>145342.72056590454</v>
      </c>
      <c r="V77" s="437"/>
      <c r="W77" s="437"/>
      <c r="X77" s="437"/>
      <c r="Y77" s="437"/>
      <c r="Z77" s="428"/>
      <c r="AA77" s="431"/>
      <c r="AB77" s="431"/>
      <c r="AC77" s="431"/>
      <c r="AD77" s="431"/>
      <c r="AE77" s="431"/>
      <c r="AF77" s="431"/>
      <c r="AG77" s="431"/>
      <c r="AH77" s="431"/>
      <c r="AI77" s="431"/>
      <c r="AJ77" s="431"/>
      <c r="AK77" s="431"/>
      <c r="AL77" s="431"/>
      <c r="AM77" s="431"/>
      <c r="AN77" s="431"/>
      <c r="AO77" s="431"/>
      <c r="AP77" s="431"/>
      <c r="AQ77" s="431"/>
      <c r="AR77" s="431"/>
      <c r="AS77" s="431"/>
      <c r="AT77" s="431"/>
      <c r="AU77" s="431"/>
      <c r="AV77" s="431"/>
      <c r="AW77" s="431"/>
      <c r="AX77" s="431"/>
      <c r="AY77" s="431"/>
      <c r="AZ77" s="431"/>
      <c r="BA77" s="431"/>
      <c r="BB77" s="431"/>
      <c r="BC77" s="431"/>
      <c r="BD77" s="431"/>
      <c r="BE77" s="431"/>
      <c r="BF77" s="431"/>
      <c r="BG77" s="431"/>
      <c r="BH77" s="431"/>
      <c r="BI77" s="431"/>
      <c r="BJ77" s="431"/>
      <c r="BK77" s="431"/>
      <c r="BL77" s="431"/>
      <c r="BM77" s="431"/>
      <c r="BN77" s="431"/>
      <c r="BO77" s="431"/>
      <c r="BP77" s="431"/>
      <c r="BQ77" s="431"/>
      <c r="BR77" s="431"/>
      <c r="BS77" s="431"/>
      <c r="BT77" s="431"/>
      <c r="BU77" s="431"/>
      <c r="BV77" s="431"/>
      <c r="BW77" s="431"/>
      <c r="BX77" s="431"/>
      <c r="BY77" s="431"/>
      <c r="BZ77" s="431"/>
      <c r="CA77" s="431"/>
      <c r="CB77" s="431"/>
      <c r="CC77" s="431"/>
      <c r="CD77" s="431"/>
      <c r="CE77" s="431"/>
      <c r="CF77" s="431"/>
      <c r="CG77" s="431"/>
      <c r="CH77" s="431"/>
      <c r="CI77" s="431"/>
      <c r="CJ77" s="431"/>
      <c r="CK77" s="431"/>
      <c r="CL77" s="431"/>
      <c r="CM77" s="431"/>
      <c r="CN77" s="431"/>
      <c r="CO77" s="431"/>
      <c r="CP77" s="431"/>
      <c r="CQ77" s="431"/>
      <c r="CR77" s="431"/>
      <c r="CS77" s="431"/>
      <c r="CT77" s="431"/>
      <c r="CU77" s="431"/>
      <c r="CV77" s="431"/>
      <c r="CW77" s="431"/>
      <c r="CX77" s="431"/>
      <c r="CY77" s="431"/>
      <c r="CZ77" s="431"/>
      <c r="DA77" s="431"/>
      <c r="DB77" s="431"/>
      <c r="DC77" s="431"/>
      <c r="DD77" s="431"/>
      <c r="DE77" s="431"/>
      <c r="DF77" s="431"/>
      <c r="DG77" s="431"/>
      <c r="DH77" s="431"/>
      <c r="DI77" s="431"/>
      <c r="DJ77" s="431"/>
      <c r="DK77" s="431"/>
      <c r="DL77" s="431"/>
      <c r="DM77" s="431"/>
      <c r="DN77" s="431"/>
      <c r="DO77" s="431"/>
      <c r="DP77" s="431"/>
      <c r="DQ77" s="431"/>
      <c r="DR77" s="431"/>
      <c r="DS77" s="431"/>
      <c r="DT77" s="431"/>
      <c r="DU77" s="431"/>
      <c r="DV77" s="431"/>
      <c r="DW77" s="431"/>
      <c r="DX77" s="431"/>
      <c r="DY77" s="431"/>
      <c r="DZ77" s="431"/>
      <c r="EA77" s="431"/>
      <c r="EB77" s="431"/>
      <c r="EC77" s="431"/>
      <c r="ED77" s="431"/>
      <c r="EE77" s="431"/>
      <c r="EF77" s="431"/>
      <c r="EG77" s="431"/>
      <c r="EH77" s="431"/>
      <c r="EI77" s="431"/>
      <c r="EJ77" s="431"/>
      <c r="EK77" s="431"/>
      <c r="EL77" s="431"/>
      <c r="EM77" s="431"/>
      <c r="EN77" s="431"/>
      <c r="EO77" s="431"/>
      <c r="EP77" s="431"/>
      <c r="EQ77" s="431"/>
      <c r="ER77" s="431"/>
      <c r="ES77" s="431"/>
      <c r="ET77" s="431"/>
      <c r="EU77" s="431"/>
      <c r="EV77" s="431"/>
      <c r="EW77" s="431"/>
      <c r="EX77" s="431"/>
      <c r="EY77" s="431"/>
      <c r="EZ77" s="431"/>
      <c r="FA77" s="431"/>
      <c r="FB77" s="431"/>
      <c r="FC77" s="431"/>
      <c r="FD77" s="431"/>
      <c r="FE77" s="431"/>
      <c r="FF77" s="431"/>
      <c r="FG77" s="431"/>
      <c r="FH77" s="431"/>
      <c r="FI77" s="431"/>
      <c r="FJ77" s="431"/>
      <c r="FK77" s="431"/>
      <c r="FL77" s="431"/>
      <c r="FM77" s="431"/>
      <c r="FN77" s="431"/>
      <c r="FO77" s="431"/>
      <c r="FP77" s="431"/>
      <c r="FQ77" s="431"/>
      <c r="FR77" s="431"/>
      <c r="FS77" s="431"/>
      <c r="FT77" s="431"/>
      <c r="FU77" s="431"/>
      <c r="FV77" s="431"/>
      <c r="FW77" s="431"/>
      <c r="FX77" s="431"/>
      <c r="FY77" s="431"/>
      <c r="FZ77" s="431"/>
      <c r="GA77" s="431"/>
      <c r="GB77" s="431"/>
      <c r="GC77" s="431"/>
      <c r="GD77" s="431"/>
      <c r="GE77" s="431"/>
      <c r="GF77" s="431"/>
      <c r="GG77" s="431"/>
      <c r="GH77" s="431"/>
      <c r="GI77" s="431"/>
      <c r="GJ77" s="431"/>
      <c r="GK77" s="431"/>
      <c r="GL77" s="431"/>
      <c r="GM77" s="431"/>
      <c r="GN77" s="431"/>
      <c r="GO77" s="431"/>
      <c r="GP77" s="431"/>
      <c r="GQ77" s="431"/>
      <c r="GR77" s="431"/>
      <c r="GS77" s="431"/>
      <c r="GT77" s="431"/>
      <c r="GU77" s="431"/>
      <c r="GV77" s="431"/>
      <c r="GW77" s="431"/>
      <c r="GX77" s="431"/>
      <c r="GY77" s="431"/>
      <c r="GZ77" s="431"/>
      <c r="HA77" s="431"/>
      <c r="HB77" s="431"/>
      <c r="HC77" s="431"/>
      <c r="HD77" s="431"/>
      <c r="HE77" s="431"/>
      <c r="HF77" s="431"/>
      <c r="HG77" s="431"/>
      <c r="HH77" s="431"/>
      <c r="HI77" s="431"/>
      <c r="HJ77" s="431"/>
      <c r="HK77" s="431"/>
      <c r="HL77" s="431"/>
      <c r="HM77" s="431"/>
      <c r="HN77" s="431"/>
      <c r="HO77" s="431"/>
      <c r="HP77" s="431"/>
      <c r="HQ77" s="431"/>
      <c r="HR77" s="431"/>
      <c r="HS77" s="431"/>
      <c r="HT77" s="431"/>
      <c r="HU77" s="431"/>
      <c r="HV77" s="431"/>
      <c r="HW77" s="431"/>
      <c r="HX77" s="431"/>
      <c r="HY77" s="431"/>
      <c r="HZ77" s="431"/>
      <c r="IA77" s="431"/>
      <c r="IB77" s="431"/>
      <c r="IC77" s="431"/>
      <c r="ID77" s="431"/>
      <c r="IE77" s="431"/>
      <c r="IF77" s="431"/>
      <c r="IG77" s="431"/>
      <c r="IH77" s="431"/>
      <c r="II77" s="431"/>
      <c r="IJ77" s="431"/>
      <c r="IK77" s="431"/>
      <c r="IL77" s="431"/>
      <c r="IM77" s="431"/>
      <c r="IN77" s="431"/>
      <c r="IO77" s="431"/>
      <c r="IP77" s="431"/>
      <c r="IQ77" s="431"/>
      <c r="IR77" s="431"/>
    </row>
    <row r="78" spans="1:252" s="433" customFormat="1" ht="12" customHeight="1">
      <c r="A78" s="21" t="s">
        <v>184</v>
      </c>
      <c r="B78" s="438">
        <f>Assumptions!I42</f>
        <v>1.5E-3</v>
      </c>
      <c r="C78" s="438">
        <f>Assumptions!$I$43</f>
        <v>1E-3</v>
      </c>
      <c r="D78" s="438">
        <f>Assumptions!$I$43</f>
        <v>1E-3</v>
      </c>
      <c r="E78" s="438">
        <f>Assumptions!$I$43</f>
        <v>1E-3</v>
      </c>
      <c r="F78" s="438">
        <f>Assumptions!$I$43</f>
        <v>1E-3</v>
      </c>
      <c r="G78" s="438">
        <f>Assumptions!$I$43</f>
        <v>1E-3</v>
      </c>
      <c r="H78" s="438">
        <f>Assumptions!$I$43</f>
        <v>1E-3</v>
      </c>
      <c r="I78" s="438">
        <f>Assumptions!$I$43</f>
        <v>1E-3</v>
      </c>
      <c r="J78" s="438">
        <f>Assumptions!$I$43</f>
        <v>1E-3</v>
      </c>
      <c r="K78" s="438">
        <f>Assumptions!$I$43</f>
        <v>1E-3</v>
      </c>
      <c r="L78" s="438">
        <f>Assumptions!$I$43</f>
        <v>1E-3</v>
      </c>
      <c r="M78" s="438">
        <f>Assumptions!$I$43</f>
        <v>1E-3</v>
      </c>
      <c r="N78" s="438">
        <f>Assumptions!$I$43</f>
        <v>1E-3</v>
      </c>
      <c r="O78" s="438">
        <f>Assumptions!$I$43</f>
        <v>1E-3</v>
      </c>
      <c r="P78" s="438">
        <f>Assumptions!$I$43</f>
        <v>1E-3</v>
      </c>
      <c r="Q78" s="438">
        <f>Assumptions!$I$43</f>
        <v>1E-3</v>
      </c>
      <c r="R78" s="438">
        <f>Assumptions!$I$43</f>
        <v>1E-3</v>
      </c>
      <c r="S78" s="438">
        <f>Assumptions!$I$43</f>
        <v>1E-3</v>
      </c>
      <c r="T78" s="438">
        <f>Assumptions!$I$43</f>
        <v>1E-3</v>
      </c>
      <c r="U78" s="438">
        <f>Assumptions!$I$43</f>
        <v>1E-3</v>
      </c>
      <c r="V78" s="438"/>
      <c r="W78" s="438"/>
      <c r="X78" s="438"/>
      <c r="Y78" s="438"/>
      <c r="Z78" s="430"/>
      <c r="AA78" s="431"/>
      <c r="AB78" s="431"/>
      <c r="AC78" s="431"/>
      <c r="AD78" s="431"/>
      <c r="AE78" s="431"/>
      <c r="AF78" s="431"/>
      <c r="AG78" s="431"/>
      <c r="AH78" s="431"/>
      <c r="AI78" s="431"/>
      <c r="AJ78" s="431"/>
      <c r="AK78" s="431"/>
      <c r="AL78" s="431"/>
      <c r="AM78" s="431"/>
      <c r="AN78" s="431"/>
      <c r="AO78" s="431"/>
      <c r="AP78" s="431"/>
      <c r="AQ78" s="431"/>
      <c r="AR78" s="431"/>
      <c r="AS78" s="431"/>
      <c r="AT78" s="431"/>
      <c r="AU78" s="431"/>
      <c r="AV78" s="431"/>
      <c r="AW78" s="431"/>
      <c r="AX78" s="431"/>
      <c r="AY78" s="431"/>
      <c r="AZ78" s="431"/>
      <c r="BA78" s="431"/>
      <c r="BB78" s="431"/>
      <c r="BC78" s="431"/>
      <c r="BD78" s="431"/>
      <c r="BE78" s="431"/>
      <c r="BF78" s="431"/>
      <c r="BG78" s="431"/>
      <c r="BH78" s="431"/>
      <c r="BI78" s="431"/>
      <c r="BJ78" s="431"/>
      <c r="BK78" s="431"/>
      <c r="BL78" s="431"/>
      <c r="BM78" s="431"/>
      <c r="BN78" s="431"/>
      <c r="BO78" s="431"/>
      <c r="BP78" s="431"/>
      <c r="BQ78" s="431"/>
      <c r="BR78" s="431"/>
      <c r="BS78" s="431"/>
      <c r="BT78" s="431"/>
      <c r="BU78" s="431"/>
      <c r="BV78" s="431"/>
      <c r="BW78" s="431"/>
      <c r="BX78" s="431"/>
      <c r="BY78" s="431"/>
      <c r="BZ78" s="431"/>
      <c r="CA78" s="431"/>
      <c r="CB78" s="431"/>
      <c r="CC78" s="431"/>
      <c r="CD78" s="431"/>
      <c r="CE78" s="431"/>
      <c r="CF78" s="431"/>
      <c r="CG78" s="431"/>
      <c r="CH78" s="431"/>
      <c r="CI78" s="431"/>
      <c r="CJ78" s="431"/>
      <c r="CK78" s="431"/>
      <c r="CL78" s="431"/>
      <c r="CM78" s="431"/>
      <c r="CN78" s="431"/>
      <c r="CO78" s="431"/>
      <c r="CP78" s="431"/>
      <c r="CQ78" s="431"/>
      <c r="CR78" s="431"/>
      <c r="CS78" s="431"/>
      <c r="CT78" s="431"/>
      <c r="CU78" s="431"/>
      <c r="CV78" s="431"/>
      <c r="CW78" s="431"/>
      <c r="CX78" s="431"/>
      <c r="CY78" s="431"/>
      <c r="CZ78" s="431"/>
      <c r="DA78" s="431"/>
      <c r="DB78" s="431"/>
      <c r="DC78" s="431"/>
      <c r="DD78" s="431"/>
      <c r="DE78" s="431"/>
      <c r="DF78" s="431"/>
      <c r="DG78" s="431"/>
      <c r="DH78" s="431"/>
      <c r="DI78" s="431"/>
      <c r="DJ78" s="431"/>
      <c r="DK78" s="431"/>
      <c r="DL78" s="431"/>
      <c r="DM78" s="431"/>
      <c r="DN78" s="431"/>
      <c r="DO78" s="431"/>
      <c r="DP78" s="431"/>
      <c r="DQ78" s="431"/>
      <c r="DR78" s="431"/>
      <c r="DS78" s="431"/>
      <c r="DT78" s="431"/>
      <c r="DU78" s="431"/>
      <c r="DV78" s="431"/>
      <c r="DW78" s="431"/>
      <c r="DX78" s="431"/>
      <c r="DY78" s="431"/>
      <c r="DZ78" s="431"/>
      <c r="EA78" s="431"/>
      <c r="EB78" s="431"/>
      <c r="EC78" s="431"/>
      <c r="ED78" s="431"/>
      <c r="EE78" s="431"/>
      <c r="EF78" s="431"/>
      <c r="EG78" s="431"/>
      <c r="EH78" s="431"/>
      <c r="EI78" s="431"/>
      <c r="EJ78" s="431"/>
      <c r="EK78" s="431"/>
      <c r="EL78" s="431"/>
      <c r="EM78" s="431"/>
      <c r="EN78" s="431"/>
      <c r="EO78" s="431"/>
      <c r="EP78" s="431"/>
      <c r="EQ78" s="431"/>
      <c r="ER78" s="431"/>
      <c r="ES78" s="431"/>
      <c r="ET78" s="431"/>
      <c r="EU78" s="431"/>
      <c r="EV78" s="431"/>
      <c r="EW78" s="431"/>
      <c r="EX78" s="431"/>
      <c r="EY78" s="431"/>
      <c r="EZ78" s="431"/>
      <c r="FA78" s="431"/>
      <c r="FB78" s="431"/>
      <c r="FC78" s="431"/>
      <c r="FD78" s="431"/>
      <c r="FE78" s="431"/>
      <c r="FF78" s="431"/>
      <c r="FG78" s="431"/>
      <c r="FH78" s="431"/>
      <c r="FI78" s="431"/>
      <c r="FJ78" s="431"/>
      <c r="FK78" s="431"/>
      <c r="FL78" s="431"/>
      <c r="FM78" s="431"/>
      <c r="FN78" s="431"/>
      <c r="FO78" s="431"/>
      <c r="FP78" s="431"/>
      <c r="FQ78" s="431"/>
      <c r="FR78" s="431"/>
      <c r="FS78" s="431"/>
      <c r="FT78" s="431"/>
      <c r="FU78" s="431"/>
      <c r="FV78" s="431"/>
      <c r="FW78" s="431"/>
      <c r="FX78" s="431"/>
      <c r="FY78" s="431"/>
      <c r="FZ78" s="431"/>
      <c r="GA78" s="431"/>
      <c r="GB78" s="431"/>
      <c r="GC78" s="431"/>
      <c r="GD78" s="431"/>
      <c r="GE78" s="431"/>
      <c r="GF78" s="431"/>
      <c r="GG78" s="431"/>
      <c r="GH78" s="431"/>
      <c r="GI78" s="431"/>
      <c r="GJ78" s="431"/>
      <c r="GK78" s="431"/>
      <c r="GL78" s="431"/>
      <c r="GM78" s="431"/>
      <c r="GN78" s="431"/>
      <c r="GO78" s="431"/>
      <c r="GP78" s="431"/>
      <c r="GQ78" s="431"/>
      <c r="GR78" s="431"/>
      <c r="GS78" s="431"/>
      <c r="GT78" s="431"/>
      <c r="GU78" s="431"/>
      <c r="GV78" s="431"/>
      <c r="GW78" s="431"/>
      <c r="GX78" s="431"/>
      <c r="GY78" s="431"/>
      <c r="GZ78" s="431"/>
      <c r="HA78" s="431"/>
      <c r="HB78" s="431"/>
      <c r="HC78" s="431"/>
      <c r="HD78" s="431"/>
      <c r="HE78" s="431"/>
      <c r="HF78" s="431"/>
      <c r="HG78" s="431"/>
      <c r="HH78" s="431"/>
      <c r="HI78" s="431"/>
      <c r="HJ78" s="431"/>
      <c r="HK78" s="431"/>
      <c r="HL78" s="431"/>
      <c r="HM78" s="431"/>
      <c r="HN78" s="431"/>
      <c r="HO78" s="431"/>
      <c r="HP78" s="431"/>
      <c r="HQ78" s="431"/>
      <c r="HR78" s="431"/>
      <c r="HS78" s="431"/>
      <c r="HT78" s="431"/>
      <c r="HU78" s="431"/>
      <c r="HV78" s="431"/>
      <c r="HW78" s="431"/>
      <c r="HX78" s="431"/>
      <c r="HY78" s="431"/>
      <c r="HZ78" s="431"/>
      <c r="IA78" s="431"/>
      <c r="IB78" s="431"/>
      <c r="IC78" s="431"/>
      <c r="ID78" s="431"/>
      <c r="IE78" s="431"/>
      <c r="IF78" s="431"/>
      <c r="IG78" s="431"/>
      <c r="IH78" s="431"/>
      <c r="II78" s="431"/>
      <c r="IJ78" s="431"/>
      <c r="IK78" s="431"/>
      <c r="IL78" s="431"/>
      <c r="IM78" s="431"/>
      <c r="IN78" s="431"/>
      <c r="IO78" s="431"/>
    </row>
    <row r="79" spans="1:252" s="433" customFormat="1" ht="12" customHeight="1">
      <c r="A79" s="32" t="s">
        <v>185</v>
      </c>
      <c r="B79" s="439">
        <f>B77*B78</f>
        <v>218.01408084885682</v>
      </c>
      <c r="C79" s="439">
        <f t="shared" ref="C79:U79" si="19">C77*C78</f>
        <v>145.34272056590456</v>
      </c>
      <c r="D79" s="439">
        <f t="shared" si="19"/>
        <v>145.34272056590456</v>
      </c>
      <c r="E79" s="439">
        <f t="shared" si="19"/>
        <v>145.34272056590456</v>
      </c>
      <c r="F79" s="439">
        <f t="shared" si="19"/>
        <v>145.34272056590456</v>
      </c>
      <c r="G79" s="439">
        <f t="shared" si="19"/>
        <v>145.34272056590456</v>
      </c>
      <c r="H79" s="439">
        <f t="shared" si="19"/>
        <v>145.34272056590456</v>
      </c>
      <c r="I79" s="439">
        <f t="shared" si="19"/>
        <v>145.34272056590456</v>
      </c>
      <c r="J79" s="439">
        <f t="shared" si="19"/>
        <v>145.34272056590456</v>
      </c>
      <c r="K79" s="439">
        <f t="shared" si="19"/>
        <v>145.34272056590456</v>
      </c>
      <c r="L79" s="439">
        <f t="shared" si="19"/>
        <v>145.34272056590456</v>
      </c>
      <c r="M79" s="439">
        <f t="shared" si="19"/>
        <v>145.34272056590456</v>
      </c>
      <c r="N79" s="439">
        <f t="shared" si="19"/>
        <v>145.34272056590456</v>
      </c>
      <c r="O79" s="439">
        <f t="shared" si="19"/>
        <v>145.34272056590456</v>
      </c>
      <c r="P79" s="439">
        <f t="shared" si="19"/>
        <v>145.34272056590456</v>
      </c>
      <c r="Q79" s="439">
        <f t="shared" si="19"/>
        <v>145.34272056590456</v>
      </c>
      <c r="R79" s="439">
        <f t="shared" si="19"/>
        <v>145.34272056590456</v>
      </c>
      <c r="S79" s="439">
        <f t="shared" si="19"/>
        <v>145.34272056590456</v>
      </c>
      <c r="T79" s="439">
        <f t="shared" si="19"/>
        <v>145.34272056590456</v>
      </c>
      <c r="U79" s="439">
        <f t="shared" si="19"/>
        <v>145.34272056590456</v>
      </c>
      <c r="V79" s="439"/>
      <c r="W79" s="439"/>
      <c r="X79" s="439"/>
      <c r="Y79" s="439"/>
      <c r="Z79" s="430"/>
      <c r="AA79" s="431"/>
      <c r="AB79" s="431"/>
      <c r="AC79" s="431"/>
      <c r="AD79" s="431"/>
      <c r="AE79" s="431"/>
      <c r="AF79" s="431"/>
      <c r="AG79" s="431"/>
      <c r="AH79" s="431"/>
      <c r="AI79" s="431"/>
      <c r="AJ79" s="431"/>
      <c r="AK79" s="431"/>
      <c r="AL79" s="431"/>
      <c r="AM79" s="431"/>
      <c r="AN79" s="431"/>
      <c r="AO79" s="431"/>
      <c r="AP79" s="431"/>
      <c r="AQ79" s="431"/>
      <c r="AR79" s="431"/>
      <c r="AS79" s="431"/>
      <c r="AT79" s="431"/>
      <c r="AU79" s="431"/>
      <c r="AV79" s="431"/>
      <c r="AW79" s="431"/>
      <c r="AX79" s="431"/>
      <c r="AY79" s="431"/>
      <c r="AZ79" s="431"/>
      <c r="BA79" s="431"/>
      <c r="BB79" s="431"/>
      <c r="BC79" s="431"/>
      <c r="BD79" s="431"/>
      <c r="BE79" s="431"/>
      <c r="BF79" s="431"/>
      <c r="BG79" s="431"/>
      <c r="BH79" s="431"/>
      <c r="BI79" s="431"/>
      <c r="BJ79" s="431"/>
      <c r="BK79" s="431"/>
      <c r="BL79" s="431"/>
      <c r="BM79" s="431"/>
      <c r="BN79" s="431"/>
      <c r="BO79" s="431"/>
      <c r="BP79" s="431"/>
      <c r="BQ79" s="431"/>
      <c r="BR79" s="431"/>
      <c r="BS79" s="431"/>
      <c r="BT79" s="431"/>
      <c r="BU79" s="431"/>
      <c r="BV79" s="431"/>
      <c r="BW79" s="431"/>
      <c r="BX79" s="431"/>
      <c r="BY79" s="431"/>
      <c r="BZ79" s="431"/>
      <c r="CA79" s="431"/>
      <c r="CB79" s="431"/>
      <c r="CC79" s="431"/>
      <c r="CD79" s="431"/>
      <c r="CE79" s="431"/>
      <c r="CF79" s="431"/>
      <c r="CG79" s="431"/>
      <c r="CH79" s="431"/>
      <c r="CI79" s="431"/>
      <c r="CJ79" s="431"/>
      <c r="CK79" s="431"/>
      <c r="CL79" s="431"/>
      <c r="CM79" s="431"/>
      <c r="CN79" s="431"/>
      <c r="CO79" s="431"/>
      <c r="CP79" s="431"/>
      <c r="CQ79" s="431"/>
      <c r="CR79" s="431"/>
      <c r="CS79" s="431"/>
      <c r="CT79" s="431"/>
      <c r="CU79" s="431"/>
      <c r="CV79" s="431"/>
      <c r="CW79" s="431"/>
      <c r="CX79" s="431"/>
      <c r="CY79" s="431"/>
      <c r="CZ79" s="431"/>
      <c r="DA79" s="431"/>
      <c r="DB79" s="431"/>
      <c r="DC79" s="431"/>
      <c r="DD79" s="431"/>
      <c r="DE79" s="431"/>
      <c r="DF79" s="431"/>
      <c r="DG79" s="431"/>
      <c r="DH79" s="431"/>
      <c r="DI79" s="431"/>
      <c r="DJ79" s="431"/>
      <c r="DK79" s="431"/>
      <c r="DL79" s="431"/>
      <c r="DM79" s="431"/>
      <c r="DN79" s="431"/>
      <c r="DO79" s="431"/>
      <c r="DP79" s="431"/>
      <c r="DQ79" s="431"/>
      <c r="DR79" s="431"/>
      <c r="DS79" s="431"/>
      <c r="DT79" s="431"/>
      <c r="DU79" s="431"/>
      <c r="DV79" s="431"/>
      <c r="DW79" s="431"/>
      <c r="DX79" s="431"/>
      <c r="DY79" s="431"/>
      <c r="DZ79" s="431"/>
      <c r="EA79" s="431"/>
      <c r="EB79" s="431"/>
      <c r="EC79" s="431"/>
      <c r="ED79" s="431"/>
      <c r="EE79" s="431"/>
      <c r="EF79" s="431"/>
      <c r="EG79" s="431"/>
      <c r="EH79" s="431"/>
      <c r="EI79" s="431"/>
      <c r="EJ79" s="431"/>
      <c r="EK79" s="431"/>
      <c r="EL79" s="431"/>
      <c r="EM79" s="431"/>
      <c r="EN79" s="431"/>
      <c r="EO79" s="431"/>
      <c r="EP79" s="431"/>
      <c r="EQ79" s="431"/>
      <c r="ER79" s="431"/>
      <c r="ES79" s="431"/>
      <c r="ET79" s="431"/>
      <c r="EU79" s="431"/>
      <c r="EV79" s="431"/>
      <c r="EW79" s="431"/>
      <c r="EX79" s="431"/>
      <c r="EY79" s="431"/>
      <c r="EZ79" s="431"/>
      <c r="FA79" s="431"/>
      <c r="FB79" s="431"/>
      <c r="FC79" s="431"/>
      <c r="FD79" s="431"/>
      <c r="FE79" s="431"/>
      <c r="FF79" s="431"/>
      <c r="FG79" s="431"/>
      <c r="FH79" s="431"/>
      <c r="FI79" s="431"/>
      <c r="FJ79" s="431"/>
      <c r="FK79" s="431"/>
      <c r="FL79" s="431"/>
      <c r="FM79" s="431"/>
      <c r="FN79" s="431"/>
      <c r="FO79" s="431"/>
      <c r="FP79" s="431"/>
      <c r="FQ79" s="431"/>
      <c r="FR79" s="431"/>
      <c r="FS79" s="431"/>
      <c r="FT79" s="431"/>
      <c r="FU79" s="431"/>
      <c r="FV79" s="431"/>
      <c r="FW79" s="431"/>
      <c r="FX79" s="431"/>
      <c r="FY79" s="431"/>
      <c r="FZ79" s="431"/>
      <c r="GA79" s="431"/>
      <c r="GB79" s="431"/>
      <c r="GC79" s="431"/>
      <c r="GD79" s="431"/>
      <c r="GE79" s="431"/>
      <c r="GF79" s="431"/>
      <c r="GG79" s="431"/>
      <c r="GH79" s="431"/>
      <c r="GI79" s="431"/>
      <c r="GJ79" s="431"/>
      <c r="GK79" s="431"/>
      <c r="GL79" s="431"/>
      <c r="GM79" s="431"/>
      <c r="GN79" s="431"/>
      <c r="GO79" s="431"/>
      <c r="GP79" s="431"/>
      <c r="GQ79" s="431"/>
      <c r="GR79" s="431"/>
      <c r="GS79" s="431"/>
      <c r="GT79" s="431"/>
      <c r="GU79" s="431"/>
      <c r="GV79" s="431"/>
      <c r="GW79" s="431"/>
      <c r="GX79" s="431"/>
      <c r="GY79" s="431"/>
      <c r="GZ79" s="431"/>
      <c r="HA79" s="431"/>
      <c r="HB79" s="431"/>
      <c r="HC79" s="431"/>
      <c r="HD79" s="431"/>
      <c r="HE79" s="431"/>
      <c r="HF79" s="431"/>
      <c r="HG79" s="431"/>
      <c r="HH79" s="431"/>
      <c r="HI79" s="431"/>
      <c r="HJ79" s="431"/>
      <c r="HK79" s="431"/>
      <c r="HL79" s="431"/>
      <c r="HM79" s="431"/>
      <c r="HN79" s="431"/>
      <c r="HO79" s="431"/>
      <c r="HP79" s="431"/>
      <c r="HQ79" s="431"/>
      <c r="HR79" s="431"/>
      <c r="HS79" s="431"/>
      <c r="HT79" s="431"/>
      <c r="HU79" s="431"/>
      <c r="HV79" s="431"/>
      <c r="HW79" s="431"/>
      <c r="HX79" s="431"/>
      <c r="HY79" s="431"/>
      <c r="HZ79" s="431"/>
      <c r="IA79" s="431"/>
      <c r="IB79" s="431"/>
      <c r="IC79" s="431"/>
      <c r="ID79" s="431"/>
      <c r="IE79" s="431"/>
      <c r="IF79" s="431"/>
      <c r="IG79" s="431"/>
      <c r="IH79" s="431"/>
      <c r="II79" s="431"/>
      <c r="IJ79" s="431"/>
      <c r="IK79" s="431"/>
      <c r="IL79" s="431"/>
      <c r="IM79" s="431"/>
      <c r="IN79" s="431"/>
      <c r="IO79" s="431"/>
      <c r="IP79" s="431"/>
      <c r="IQ79" s="431"/>
    </row>
    <row r="80" spans="1:252" s="433" customFormat="1" ht="12" customHeight="1">
      <c r="A80" s="434"/>
      <c r="B80" s="434"/>
      <c r="C80" s="434"/>
      <c r="D80" s="435"/>
      <c r="E80" s="435"/>
      <c r="F80" s="435"/>
      <c r="G80" s="435"/>
      <c r="H80" s="435"/>
      <c r="I80" s="435"/>
      <c r="J80" s="435"/>
      <c r="K80" s="435"/>
      <c r="L80" s="435"/>
      <c r="M80" s="435"/>
      <c r="N80" s="435"/>
      <c r="O80" s="435"/>
      <c r="P80" s="435"/>
      <c r="Q80" s="435"/>
      <c r="R80" s="435"/>
      <c r="S80" s="435"/>
      <c r="T80" s="435"/>
      <c r="U80" s="435"/>
      <c r="V80" s="435"/>
      <c r="W80" s="435"/>
      <c r="X80" s="435"/>
      <c r="Y80" s="435"/>
      <c r="Z80" s="430"/>
      <c r="AA80" s="431"/>
      <c r="AB80" s="431"/>
      <c r="AC80" s="431"/>
      <c r="AD80" s="431"/>
      <c r="AE80" s="431"/>
      <c r="AF80" s="431"/>
      <c r="AG80" s="431"/>
      <c r="AH80" s="431"/>
      <c r="AI80" s="431"/>
      <c r="AJ80" s="431"/>
      <c r="AK80" s="431"/>
      <c r="AL80" s="431"/>
      <c r="AM80" s="431"/>
      <c r="AN80" s="431"/>
      <c r="AO80" s="431"/>
      <c r="AP80" s="431"/>
      <c r="AQ80" s="431"/>
      <c r="AR80" s="431"/>
      <c r="AS80" s="431"/>
      <c r="AT80" s="431"/>
      <c r="AU80" s="431"/>
      <c r="AV80" s="431"/>
      <c r="AW80" s="431"/>
      <c r="AX80" s="431"/>
      <c r="AY80" s="431"/>
      <c r="AZ80" s="431"/>
      <c r="BA80" s="431"/>
      <c r="BB80" s="431"/>
      <c r="BC80" s="431"/>
      <c r="BD80" s="431"/>
      <c r="BE80" s="431"/>
      <c r="BF80" s="431"/>
      <c r="BG80" s="431"/>
      <c r="BH80" s="431"/>
      <c r="BI80" s="431"/>
      <c r="BJ80" s="431"/>
      <c r="BK80" s="431"/>
      <c r="BL80" s="431"/>
      <c r="BM80" s="431"/>
      <c r="BN80" s="431"/>
      <c r="BO80" s="431"/>
      <c r="BP80" s="431"/>
      <c r="BQ80" s="431"/>
      <c r="BR80" s="431"/>
      <c r="BS80" s="431"/>
      <c r="BT80" s="431"/>
      <c r="BU80" s="431"/>
      <c r="BV80" s="431"/>
      <c r="BW80" s="431"/>
      <c r="BX80" s="431"/>
      <c r="BY80" s="431"/>
      <c r="BZ80" s="431"/>
      <c r="CA80" s="431"/>
      <c r="CB80" s="431"/>
      <c r="CC80" s="431"/>
      <c r="CD80" s="431"/>
      <c r="CE80" s="431"/>
      <c r="CF80" s="431"/>
      <c r="CG80" s="431"/>
      <c r="CH80" s="431"/>
      <c r="CI80" s="431"/>
      <c r="CJ80" s="431"/>
      <c r="CK80" s="431"/>
      <c r="CL80" s="431"/>
      <c r="CM80" s="431"/>
      <c r="CN80" s="431"/>
      <c r="CO80" s="431"/>
      <c r="CP80" s="431"/>
      <c r="CQ80" s="431"/>
      <c r="CR80" s="431"/>
      <c r="CS80" s="431"/>
      <c r="CT80" s="431"/>
      <c r="CU80" s="431"/>
      <c r="CV80" s="431"/>
      <c r="CW80" s="431"/>
      <c r="CX80" s="431"/>
      <c r="CY80" s="431"/>
      <c r="CZ80" s="431"/>
      <c r="DA80" s="431"/>
      <c r="DB80" s="431"/>
      <c r="DC80" s="431"/>
      <c r="DD80" s="431"/>
      <c r="DE80" s="431"/>
      <c r="DF80" s="431"/>
      <c r="DG80" s="431"/>
      <c r="DH80" s="431"/>
      <c r="DI80" s="431"/>
      <c r="DJ80" s="431"/>
      <c r="DK80" s="431"/>
      <c r="DL80" s="431"/>
      <c r="DM80" s="431"/>
      <c r="DN80" s="431"/>
      <c r="DO80" s="431"/>
      <c r="DP80" s="431"/>
      <c r="DQ80" s="431"/>
      <c r="DR80" s="431"/>
      <c r="DS80" s="431"/>
      <c r="DT80" s="431"/>
      <c r="DU80" s="431"/>
      <c r="DV80" s="431"/>
      <c r="DW80" s="431"/>
      <c r="DX80" s="431"/>
      <c r="DY80" s="431"/>
      <c r="DZ80" s="431"/>
      <c r="EA80" s="431"/>
      <c r="EB80" s="431"/>
      <c r="EC80" s="431"/>
      <c r="ED80" s="431"/>
      <c r="EE80" s="431"/>
      <c r="EF80" s="431"/>
      <c r="EG80" s="431"/>
      <c r="EH80" s="431"/>
      <c r="EI80" s="431"/>
      <c r="EJ80" s="431"/>
      <c r="EK80" s="431"/>
      <c r="EL80" s="431"/>
      <c r="EM80" s="431"/>
      <c r="EN80" s="431"/>
      <c r="EO80" s="431"/>
      <c r="EP80" s="431"/>
      <c r="EQ80" s="431"/>
      <c r="ER80" s="431"/>
      <c r="ES80" s="431"/>
      <c r="ET80" s="431"/>
      <c r="EU80" s="431"/>
      <c r="EV80" s="431"/>
      <c r="EW80" s="431"/>
      <c r="EX80" s="431"/>
      <c r="EY80" s="431"/>
      <c r="EZ80" s="431"/>
      <c r="FA80" s="431"/>
      <c r="FB80" s="431"/>
      <c r="FC80" s="431"/>
      <c r="FD80" s="431"/>
      <c r="FE80" s="431"/>
      <c r="FF80" s="431"/>
      <c r="FG80" s="431"/>
      <c r="FH80" s="431"/>
      <c r="FI80" s="431"/>
      <c r="FJ80" s="431"/>
      <c r="FK80" s="431"/>
      <c r="FL80" s="431"/>
      <c r="FM80" s="431"/>
      <c r="FN80" s="431"/>
      <c r="FO80" s="431"/>
      <c r="FP80" s="431"/>
      <c r="FQ80" s="431"/>
      <c r="FR80" s="431"/>
      <c r="FS80" s="431"/>
      <c r="FT80" s="431"/>
      <c r="FU80" s="431"/>
      <c r="FV80" s="431"/>
      <c r="FW80" s="431"/>
      <c r="FX80" s="431"/>
      <c r="FY80" s="431"/>
      <c r="FZ80" s="431"/>
      <c r="GA80" s="431"/>
      <c r="GB80" s="431"/>
      <c r="GC80" s="431"/>
      <c r="GD80" s="431"/>
      <c r="GE80" s="431"/>
      <c r="GF80" s="431"/>
      <c r="GG80" s="431"/>
      <c r="GH80" s="431"/>
      <c r="GI80" s="431"/>
      <c r="GJ80" s="431"/>
      <c r="GK80" s="431"/>
      <c r="GL80" s="431"/>
      <c r="GM80" s="431"/>
      <c r="GN80" s="431"/>
      <c r="GO80" s="431"/>
      <c r="GP80" s="431"/>
      <c r="GQ80" s="431"/>
      <c r="GR80" s="431"/>
      <c r="GS80" s="431"/>
      <c r="GT80" s="431"/>
      <c r="GU80" s="431"/>
      <c r="GV80" s="431"/>
      <c r="GW80" s="431"/>
      <c r="GX80" s="431"/>
      <c r="GY80" s="431"/>
      <c r="GZ80" s="431"/>
      <c r="HA80" s="431"/>
      <c r="HB80" s="431"/>
      <c r="HC80" s="431"/>
      <c r="HD80" s="431"/>
      <c r="HE80" s="431"/>
      <c r="HF80" s="431"/>
      <c r="HG80" s="431"/>
      <c r="HH80" s="431"/>
      <c r="HI80" s="431"/>
      <c r="HJ80" s="431"/>
      <c r="HK80" s="431"/>
      <c r="HL80" s="431"/>
      <c r="HM80" s="431"/>
      <c r="HN80" s="431"/>
      <c r="HO80" s="431"/>
      <c r="HP80" s="431"/>
      <c r="HQ80" s="431"/>
      <c r="HR80" s="431"/>
      <c r="HS80" s="431"/>
      <c r="HT80" s="431"/>
      <c r="HU80" s="431"/>
      <c r="HV80" s="431"/>
      <c r="HW80" s="431"/>
      <c r="HX80" s="431"/>
      <c r="HY80" s="431"/>
      <c r="HZ80" s="431"/>
      <c r="IA80" s="431"/>
      <c r="IB80" s="431"/>
      <c r="IC80" s="431"/>
      <c r="ID80" s="431"/>
      <c r="IE80" s="431"/>
      <c r="IF80" s="431"/>
      <c r="IG80" s="431"/>
      <c r="IH80" s="431"/>
      <c r="II80" s="431"/>
      <c r="IJ80" s="431"/>
      <c r="IK80" s="431"/>
      <c r="IL80" s="431"/>
      <c r="IM80" s="431"/>
      <c r="IN80" s="431"/>
      <c r="IO80" s="431"/>
      <c r="IP80" s="431"/>
      <c r="IQ80" s="431"/>
    </row>
    <row r="81" spans="1:251" s="433" customFormat="1" ht="12" customHeight="1">
      <c r="A81" s="434"/>
      <c r="B81" s="434"/>
      <c r="C81" s="434"/>
      <c r="D81" s="435"/>
      <c r="E81" s="435"/>
      <c r="F81" s="435"/>
      <c r="G81" s="435"/>
      <c r="H81" s="435"/>
      <c r="I81" s="435"/>
      <c r="J81" s="435"/>
      <c r="K81" s="435"/>
      <c r="L81" s="435"/>
      <c r="M81" s="435"/>
      <c r="N81" s="435"/>
      <c r="O81" s="435"/>
      <c r="P81" s="435"/>
      <c r="Q81" s="435"/>
      <c r="R81" s="435"/>
      <c r="S81" s="435"/>
      <c r="T81" s="435"/>
      <c r="U81" s="435"/>
      <c r="V81" s="435"/>
      <c r="W81" s="435"/>
      <c r="X81" s="435"/>
      <c r="Y81" s="435"/>
      <c r="Z81" s="430"/>
      <c r="AA81" s="431"/>
      <c r="AB81" s="431"/>
      <c r="AC81" s="431"/>
      <c r="AD81" s="431"/>
      <c r="AE81" s="431"/>
      <c r="AF81" s="431"/>
      <c r="AG81" s="431"/>
      <c r="AH81" s="431"/>
      <c r="AI81" s="431"/>
      <c r="AJ81" s="431"/>
      <c r="AK81" s="431"/>
      <c r="AL81" s="431"/>
      <c r="AM81" s="431"/>
      <c r="AN81" s="431"/>
      <c r="AO81" s="431"/>
      <c r="AP81" s="431"/>
      <c r="AQ81" s="431"/>
      <c r="AR81" s="431"/>
      <c r="AS81" s="431"/>
      <c r="AT81" s="431"/>
      <c r="AU81" s="431"/>
      <c r="AV81" s="431"/>
      <c r="AW81" s="431"/>
      <c r="AX81" s="431"/>
      <c r="AY81" s="431"/>
      <c r="AZ81" s="431"/>
      <c r="BA81" s="431"/>
      <c r="BB81" s="431"/>
      <c r="BC81" s="431"/>
      <c r="BD81" s="431"/>
      <c r="BE81" s="431"/>
      <c r="BF81" s="431"/>
      <c r="BG81" s="431"/>
      <c r="BH81" s="431"/>
      <c r="BI81" s="431"/>
      <c r="BJ81" s="431"/>
      <c r="BK81" s="431"/>
      <c r="BL81" s="431"/>
      <c r="BM81" s="431"/>
      <c r="BN81" s="431"/>
      <c r="BO81" s="431"/>
      <c r="BP81" s="431"/>
      <c r="BQ81" s="431"/>
      <c r="BR81" s="431"/>
      <c r="BS81" s="431"/>
      <c r="BT81" s="431"/>
      <c r="BU81" s="431"/>
      <c r="BV81" s="431"/>
      <c r="BW81" s="431"/>
      <c r="BX81" s="431"/>
      <c r="BY81" s="431"/>
      <c r="BZ81" s="431"/>
      <c r="CA81" s="431"/>
      <c r="CB81" s="431"/>
      <c r="CC81" s="431"/>
      <c r="CD81" s="431"/>
      <c r="CE81" s="431"/>
      <c r="CF81" s="431"/>
      <c r="CG81" s="431"/>
      <c r="CH81" s="431"/>
      <c r="CI81" s="431"/>
      <c r="CJ81" s="431"/>
      <c r="CK81" s="431"/>
      <c r="CL81" s="431"/>
      <c r="CM81" s="431"/>
      <c r="CN81" s="431"/>
      <c r="CO81" s="431"/>
      <c r="CP81" s="431"/>
      <c r="CQ81" s="431"/>
      <c r="CR81" s="431"/>
      <c r="CS81" s="431"/>
      <c r="CT81" s="431"/>
      <c r="CU81" s="431"/>
      <c r="CV81" s="431"/>
      <c r="CW81" s="431"/>
      <c r="CX81" s="431"/>
      <c r="CY81" s="431"/>
      <c r="CZ81" s="431"/>
      <c r="DA81" s="431"/>
      <c r="DB81" s="431"/>
      <c r="DC81" s="431"/>
      <c r="DD81" s="431"/>
      <c r="DE81" s="431"/>
      <c r="DF81" s="431"/>
      <c r="DG81" s="431"/>
      <c r="DH81" s="431"/>
      <c r="DI81" s="431"/>
      <c r="DJ81" s="431"/>
      <c r="DK81" s="431"/>
      <c r="DL81" s="431"/>
      <c r="DM81" s="431"/>
      <c r="DN81" s="431"/>
      <c r="DO81" s="431"/>
      <c r="DP81" s="431"/>
      <c r="DQ81" s="431"/>
      <c r="DR81" s="431"/>
      <c r="DS81" s="431"/>
      <c r="DT81" s="431"/>
      <c r="DU81" s="431"/>
      <c r="DV81" s="431"/>
      <c r="DW81" s="431"/>
      <c r="DX81" s="431"/>
      <c r="DY81" s="431"/>
      <c r="DZ81" s="431"/>
      <c r="EA81" s="431"/>
      <c r="EB81" s="431"/>
      <c r="EC81" s="431"/>
      <c r="ED81" s="431"/>
      <c r="EE81" s="431"/>
      <c r="EF81" s="431"/>
      <c r="EG81" s="431"/>
      <c r="EH81" s="431"/>
      <c r="EI81" s="431"/>
      <c r="EJ81" s="431"/>
      <c r="EK81" s="431"/>
      <c r="EL81" s="431"/>
      <c r="EM81" s="431"/>
      <c r="EN81" s="431"/>
      <c r="EO81" s="431"/>
      <c r="EP81" s="431"/>
      <c r="EQ81" s="431"/>
      <c r="ER81" s="431"/>
      <c r="ES81" s="431"/>
      <c r="ET81" s="431"/>
      <c r="EU81" s="431"/>
      <c r="EV81" s="431"/>
      <c r="EW81" s="431"/>
      <c r="EX81" s="431"/>
      <c r="EY81" s="431"/>
      <c r="EZ81" s="431"/>
      <c r="FA81" s="431"/>
      <c r="FB81" s="431"/>
      <c r="FC81" s="431"/>
      <c r="FD81" s="431"/>
      <c r="FE81" s="431"/>
      <c r="FF81" s="431"/>
      <c r="FG81" s="431"/>
      <c r="FH81" s="431"/>
      <c r="FI81" s="431"/>
      <c r="FJ81" s="431"/>
      <c r="FK81" s="431"/>
      <c r="FL81" s="431"/>
      <c r="FM81" s="431"/>
      <c r="FN81" s="431"/>
      <c r="FO81" s="431"/>
      <c r="FP81" s="431"/>
      <c r="FQ81" s="431"/>
      <c r="FR81" s="431"/>
      <c r="FS81" s="431"/>
      <c r="FT81" s="431"/>
      <c r="FU81" s="431"/>
      <c r="FV81" s="431"/>
      <c r="FW81" s="431"/>
      <c r="FX81" s="431"/>
      <c r="FY81" s="431"/>
      <c r="FZ81" s="431"/>
      <c r="GA81" s="431"/>
      <c r="GB81" s="431"/>
      <c r="GC81" s="431"/>
      <c r="GD81" s="431"/>
      <c r="GE81" s="431"/>
      <c r="GF81" s="431"/>
      <c r="GG81" s="431"/>
      <c r="GH81" s="431"/>
      <c r="GI81" s="431"/>
      <c r="GJ81" s="431"/>
      <c r="GK81" s="431"/>
      <c r="GL81" s="431"/>
      <c r="GM81" s="431"/>
      <c r="GN81" s="431"/>
      <c r="GO81" s="431"/>
      <c r="GP81" s="431"/>
      <c r="GQ81" s="431"/>
      <c r="GR81" s="431"/>
      <c r="GS81" s="431"/>
      <c r="GT81" s="431"/>
      <c r="GU81" s="431"/>
      <c r="GV81" s="431"/>
      <c r="GW81" s="431"/>
      <c r="GX81" s="431"/>
      <c r="GY81" s="431"/>
      <c r="GZ81" s="431"/>
      <c r="HA81" s="431"/>
      <c r="HB81" s="431"/>
      <c r="HC81" s="431"/>
      <c r="HD81" s="431"/>
      <c r="HE81" s="431"/>
      <c r="HF81" s="431"/>
      <c r="HG81" s="431"/>
      <c r="HH81" s="431"/>
      <c r="HI81" s="431"/>
      <c r="HJ81" s="431"/>
      <c r="HK81" s="431"/>
      <c r="HL81" s="431"/>
      <c r="HM81" s="431"/>
      <c r="HN81" s="431"/>
      <c r="HO81" s="431"/>
      <c r="HP81" s="431"/>
      <c r="HQ81" s="431"/>
      <c r="HR81" s="431"/>
      <c r="HS81" s="431"/>
      <c r="HT81" s="431"/>
      <c r="HU81" s="431"/>
      <c r="HV81" s="431"/>
      <c r="HW81" s="431"/>
      <c r="HX81" s="431"/>
      <c r="HY81" s="431"/>
      <c r="HZ81" s="431"/>
      <c r="IA81" s="431"/>
      <c r="IB81" s="431"/>
      <c r="IC81" s="431"/>
      <c r="ID81" s="431"/>
      <c r="IE81" s="431"/>
      <c r="IF81" s="431"/>
      <c r="IG81" s="431"/>
      <c r="IH81" s="431"/>
      <c r="II81" s="431"/>
      <c r="IJ81" s="431"/>
      <c r="IK81" s="431"/>
      <c r="IL81" s="431"/>
      <c r="IM81" s="431"/>
      <c r="IN81" s="431"/>
      <c r="IO81" s="431"/>
      <c r="IP81" s="431"/>
      <c r="IQ81" s="431"/>
    </row>
    <row r="82" spans="1:251" s="433" customFormat="1" ht="12" customHeight="1">
      <c r="A82" s="227" t="s">
        <v>83</v>
      </c>
      <c r="B82" s="434"/>
      <c r="C82" s="434"/>
      <c r="D82" s="435"/>
      <c r="E82" s="435"/>
      <c r="F82" s="435"/>
      <c r="G82" s="435"/>
      <c r="H82" s="435"/>
      <c r="I82" s="435"/>
      <c r="J82" s="435"/>
      <c r="K82" s="435"/>
      <c r="L82" s="435"/>
      <c r="M82" s="435"/>
      <c r="N82" s="435"/>
      <c r="O82" s="435"/>
      <c r="P82" s="435"/>
      <c r="Q82" s="435"/>
      <c r="R82" s="435"/>
      <c r="S82" s="435"/>
      <c r="T82" s="435"/>
      <c r="U82" s="435"/>
      <c r="V82" s="435"/>
      <c r="W82" s="435"/>
      <c r="X82" s="435"/>
      <c r="Y82" s="435"/>
      <c r="Z82" s="430"/>
      <c r="AA82" s="431"/>
      <c r="AB82" s="431"/>
      <c r="AC82" s="431"/>
      <c r="AD82" s="431"/>
      <c r="AE82" s="431"/>
      <c r="AF82" s="431"/>
      <c r="AG82" s="431"/>
      <c r="AH82" s="431"/>
      <c r="AI82" s="431"/>
      <c r="AJ82" s="431"/>
      <c r="AK82" s="431"/>
      <c r="AL82" s="431"/>
      <c r="AM82" s="431"/>
      <c r="AN82" s="431"/>
      <c r="AO82" s="431"/>
      <c r="AP82" s="431"/>
      <c r="AQ82" s="431"/>
      <c r="AR82" s="431"/>
      <c r="AS82" s="431"/>
      <c r="AT82" s="431"/>
      <c r="AU82" s="431"/>
      <c r="AV82" s="431"/>
      <c r="AW82" s="431"/>
      <c r="AX82" s="431"/>
      <c r="AY82" s="431"/>
      <c r="AZ82" s="431"/>
      <c r="BA82" s="431"/>
      <c r="BB82" s="431"/>
      <c r="BC82" s="431"/>
      <c r="BD82" s="431"/>
      <c r="BE82" s="431"/>
      <c r="BF82" s="431"/>
      <c r="BG82" s="431"/>
      <c r="BH82" s="431"/>
      <c r="BI82" s="431"/>
      <c r="BJ82" s="431"/>
      <c r="BK82" s="431"/>
      <c r="BL82" s="431"/>
      <c r="BM82" s="431"/>
      <c r="BN82" s="431"/>
      <c r="BO82" s="431"/>
      <c r="BP82" s="431"/>
      <c r="BQ82" s="431"/>
      <c r="BR82" s="431"/>
      <c r="BS82" s="431"/>
      <c r="BT82" s="431"/>
      <c r="BU82" s="431"/>
      <c r="BV82" s="431"/>
      <c r="BW82" s="431"/>
      <c r="BX82" s="431"/>
      <c r="BY82" s="431"/>
      <c r="BZ82" s="431"/>
      <c r="CA82" s="431"/>
      <c r="CB82" s="431"/>
      <c r="CC82" s="431"/>
      <c r="CD82" s="431"/>
      <c r="CE82" s="431"/>
      <c r="CF82" s="431"/>
      <c r="CG82" s="431"/>
      <c r="CH82" s="431"/>
      <c r="CI82" s="431"/>
      <c r="CJ82" s="431"/>
      <c r="CK82" s="431"/>
      <c r="CL82" s="431"/>
      <c r="CM82" s="431"/>
      <c r="CN82" s="431"/>
      <c r="CO82" s="431"/>
      <c r="CP82" s="431"/>
      <c r="CQ82" s="431"/>
      <c r="CR82" s="431"/>
      <c r="CS82" s="431"/>
      <c r="CT82" s="431"/>
      <c r="CU82" s="431"/>
      <c r="CV82" s="431"/>
      <c r="CW82" s="431"/>
      <c r="CX82" s="431"/>
      <c r="CY82" s="431"/>
      <c r="CZ82" s="431"/>
      <c r="DA82" s="431"/>
      <c r="DB82" s="431"/>
      <c r="DC82" s="431"/>
      <c r="DD82" s="431"/>
      <c r="DE82" s="431"/>
      <c r="DF82" s="431"/>
      <c r="DG82" s="431"/>
      <c r="DH82" s="431"/>
      <c r="DI82" s="431"/>
      <c r="DJ82" s="431"/>
      <c r="DK82" s="431"/>
      <c r="DL82" s="431"/>
      <c r="DM82" s="431"/>
      <c r="DN82" s="431"/>
      <c r="DO82" s="431"/>
      <c r="DP82" s="431"/>
      <c r="DQ82" s="431"/>
      <c r="DR82" s="431"/>
      <c r="DS82" s="431"/>
      <c r="DT82" s="431"/>
      <c r="DU82" s="431"/>
      <c r="DV82" s="431"/>
      <c r="DW82" s="431"/>
      <c r="DX82" s="431"/>
      <c r="DY82" s="431"/>
      <c r="DZ82" s="431"/>
      <c r="EA82" s="431"/>
      <c r="EB82" s="431"/>
      <c r="EC82" s="431"/>
      <c r="ED82" s="431"/>
      <c r="EE82" s="431"/>
      <c r="EF82" s="431"/>
      <c r="EG82" s="431"/>
      <c r="EH82" s="431"/>
      <c r="EI82" s="431"/>
      <c r="EJ82" s="431"/>
      <c r="EK82" s="431"/>
      <c r="EL82" s="431"/>
      <c r="EM82" s="431"/>
      <c r="EN82" s="431"/>
      <c r="EO82" s="431"/>
      <c r="EP82" s="431"/>
      <c r="EQ82" s="431"/>
      <c r="ER82" s="431"/>
      <c r="ES82" s="431"/>
      <c r="ET82" s="431"/>
      <c r="EU82" s="431"/>
      <c r="EV82" s="431"/>
      <c r="EW82" s="431"/>
      <c r="EX82" s="431"/>
      <c r="EY82" s="431"/>
      <c r="EZ82" s="431"/>
      <c r="FA82" s="431"/>
      <c r="FB82" s="431"/>
      <c r="FC82" s="431"/>
      <c r="FD82" s="431"/>
      <c r="FE82" s="431"/>
      <c r="FF82" s="431"/>
      <c r="FG82" s="431"/>
      <c r="FH82" s="431"/>
      <c r="FI82" s="431"/>
      <c r="FJ82" s="431"/>
      <c r="FK82" s="431"/>
      <c r="FL82" s="431"/>
      <c r="FM82" s="431"/>
      <c r="FN82" s="431"/>
      <c r="FO82" s="431"/>
      <c r="FP82" s="431"/>
      <c r="FQ82" s="431"/>
      <c r="FR82" s="431"/>
      <c r="FS82" s="431"/>
      <c r="FT82" s="431"/>
      <c r="FU82" s="431"/>
      <c r="FV82" s="431"/>
      <c r="FW82" s="431"/>
      <c r="FX82" s="431"/>
      <c r="FY82" s="431"/>
      <c r="FZ82" s="431"/>
      <c r="GA82" s="431"/>
      <c r="GB82" s="431"/>
      <c r="GC82" s="431"/>
      <c r="GD82" s="431"/>
      <c r="GE82" s="431"/>
      <c r="GF82" s="431"/>
      <c r="GG82" s="431"/>
      <c r="GH82" s="431"/>
      <c r="GI82" s="431"/>
      <c r="GJ82" s="431"/>
      <c r="GK82" s="431"/>
      <c r="GL82" s="431"/>
      <c r="GM82" s="431"/>
      <c r="GN82" s="431"/>
      <c r="GO82" s="431"/>
      <c r="GP82" s="431"/>
      <c r="GQ82" s="431"/>
      <c r="GR82" s="431"/>
      <c r="GS82" s="431"/>
      <c r="GT82" s="431"/>
      <c r="GU82" s="431"/>
      <c r="GV82" s="431"/>
      <c r="GW82" s="431"/>
      <c r="GX82" s="431"/>
      <c r="GY82" s="431"/>
      <c r="GZ82" s="431"/>
      <c r="HA82" s="431"/>
      <c r="HB82" s="431"/>
      <c r="HC82" s="431"/>
      <c r="HD82" s="431"/>
      <c r="HE82" s="431"/>
      <c r="HF82" s="431"/>
      <c r="HG82" s="431"/>
      <c r="HH82" s="431"/>
      <c r="HI82" s="431"/>
      <c r="HJ82" s="431"/>
      <c r="HK82" s="431"/>
      <c r="HL82" s="431"/>
      <c r="HM82" s="431"/>
      <c r="HN82" s="431"/>
      <c r="HO82" s="431"/>
      <c r="HP82" s="431"/>
      <c r="HQ82" s="431"/>
      <c r="HR82" s="431"/>
      <c r="HS82" s="431"/>
      <c r="HT82" s="431"/>
      <c r="HU82" s="431"/>
      <c r="HV82" s="431"/>
      <c r="HW82" s="431"/>
      <c r="HX82" s="431"/>
      <c r="HY82" s="431"/>
      <c r="HZ82" s="431"/>
      <c r="IA82" s="431"/>
      <c r="IB82" s="431"/>
      <c r="IC82" s="431"/>
      <c r="ID82" s="431"/>
      <c r="IE82" s="431"/>
      <c r="IF82" s="431"/>
      <c r="IG82" s="431"/>
      <c r="IH82" s="431"/>
      <c r="II82" s="431"/>
      <c r="IJ82" s="431"/>
      <c r="IK82" s="431"/>
      <c r="IL82" s="431"/>
      <c r="IM82" s="431"/>
      <c r="IN82" s="431"/>
      <c r="IO82" s="431"/>
      <c r="IP82" s="431"/>
      <c r="IQ82" s="431"/>
    </row>
    <row r="83" spans="1:251" s="433" customFormat="1" ht="12" customHeight="1">
      <c r="A83" s="227"/>
      <c r="B83" s="434"/>
      <c r="C83" s="434"/>
      <c r="D83" s="435"/>
      <c r="E83" s="435"/>
      <c r="F83" s="435"/>
      <c r="G83" s="435"/>
      <c r="H83" s="435"/>
      <c r="I83" s="435"/>
      <c r="J83" s="435"/>
      <c r="K83" s="435"/>
      <c r="L83" s="435"/>
      <c r="M83" s="435"/>
      <c r="N83" s="435"/>
      <c r="O83" s="435"/>
      <c r="P83" s="435"/>
      <c r="Q83" s="435"/>
      <c r="R83" s="435"/>
      <c r="S83" s="435"/>
      <c r="T83" s="435"/>
      <c r="U83" s="435"/>
      <c r="V83" s="435"/>
      <c r="W83" s="435"/>
      <c r="X83" s="435"/>
      <c r="Y83" s="435"/>
      <c r="Z83" s="430"/>
      <c r="AA83" s="431"/>
      <c r="AB83" s="431"/>
      <c r="AC83" s="431"/>
      <c r="AD83" s="431"/>
      <c r="AE83" s="431"/>
      <c r="AF83" s="431"/>
      <c r="AG83" s="431"/>
      <c r="AH83" s="431"/>
      <c r="AI83" s="431"/>
      <c r="AJ83" s="431"/>
      <c r="AK83" s="431"/>
      <c r="AL83" s="431"/>
      <c r="AM83" s="431"/>
      <c r="AN83" s="431"/>
      <c r="AO83" s="431"/>
      <c r="AP83" s="431"/>
      <c r="AQ83" s="431"/>
      <c r="AR83" s="431"/>
      <c r="AS83" s="431"/>
      <c r="AT83" s="431"/>
      <c r="AU83" s="431"/>
      <c r="AV83" s="431"/>
      <c r="AW83" s="431"/>
      <c r="AX83" s="431"/>
      <c r="AY83" s="431"/>
      <c r="AZ83" s="431"/>
      <c r="BA83" s="431"/>
      <c r="BB83" s="431"/>
      <c r="BC83" s="431"/>
      <c r="BD83" s="431"/>
      <c r="BE83" s="431"/>
      <c r="BF83" s="431"/>
      <c r="BG83" s="431"/>
      <c r="BH83" s="431"/>
      <c r="BI83" s="431"/>
      <c r="BJ83" s="431"/>
      <c r="BK83" s="431"/>
      <c r="BL83" s="431"/>
      <c r="BM83" s="431"/>
      <c r="BN83" s="431"/>
      <c r="BO83" s="431"/>
      <c r="BP83" s="431"/>
      <c r="BQ83" s="431"/>
      <c r="BR83" s="431"/>
      <c r="BS83" s="431"/>
      <c r="BT83" s="431"/>
      <c r="BU83" s="431"/>
      <c r="BV83" s="431"/>
      <c r="BW83" s="431"/>
      <c r="BX83" s="431"/>
      <c r="BY83" s="431"/>
      <c r="BZ83" s="431"/>
      <c r="CA83" s="431"/>
      <c r="CB83" s="431"/>
      <c r="CC83" s="431"/>
      <c r="CD83" s="431"/>
      <c r="CE83" s="431"/>
      <c r="CF83" s="431"/>
      <c r="CG83" s="431"/>
      <c r="CH83" s="431"/>
      <c r="CI83" s="431"/>
      <c r="CJ83" s="431"/>
      <c r="CK83" s="431"/>
      <c r="CL83" s="431"/>
      <c r="CM83" s="431"/>
      <c r="CN83" s="431"/>
      <c r="CO83" s="431"/>
      <c r="CP83" s="431"/>
      <c r="CQ83" s="431"/>
      <c r="CR83" s="431"/>
      <c r="CS83" s="431"/>
      <c r="CT83" s="431"/>
      <c r="CU83" s="431"/>
      <c r="CV83" s="431"/>
      <c r="CW83" s="431"/>
      <c r="CX83" s="431"/>
      <c r="CY83" s="431"/>
      <c r="CZ83" s="431"/>
      <c r="DA83" s="431"/>
      <c r="DB83" s="431"/>
      <c r="DC83" s="431"/>
      <c r="DD83" s="431"/>
      <c r="DE83" s="431"/>
      <c r="DF83" s="431"/>
      <c r="DG83" s="431"/>
      <c r="DH83" s="431"/>
      <c r="DI83" s="431"/>
      <c r="DJ83" s="431"/>
      <c r="DK83" s="431"/>
      <c r="DL83" s="431"/>
      <c r="DM83" s="431"/>
      <c r="DN83" s="431"/>
      <c r="DO83" s="431"/>
      <c r="DP83" s="431"/>
      <c r="DQ83" s="431"/>
      <c r="DR83" s="431"/>
      <c r="DS83" s="431"/>
      <c r="DT83" s="431"/>
      <c r="DU83" s="431"/>
      <c r="DV83" s="431"/>
      <c r="DW83" s="431"/>
      <c r="DX83" s="431"/>
      <c r="DY83" s="431"/>
      <c r="DZ83" s="431"/>
      <c r="EA83" s="431"/>
      <c r="EB83" s="431"/>
      <c r="EC83" s="431"/>
      <c r="ED83" s="431"/>
      <c r="EE83" s="431"/>
      <c r="EF83" s="431"/>
      <c r="EG83" s="431"/>
      <c r="EH83" s="431"/>
      <c r="EI83" s="431"/>
      <c r="EJ83" s="431"/>
      <c r="EK83" s="431"/>
      <c r="EL83" s="431"/>
      <c r="EM83" s="431"/>
      <c r="EN83" s="431"/>
      <c r="EO83" s="431"/>
      <c r="EP83" s="431"/>
      <c r="EQ83" s="431"/>
      <c r="ER83" s="431"/>
      <c r="ES83" s="431"/>
      <c r="ET83" s="431"/>
      <c r="EU83" s="431"/>
      <c r="EV83" s="431"/>
      <c r="EW83" s="431"/>
      <c r="EX83" s="431"/>
      <c r="EY83" s="431"/>
      <c r="EZ83" s="431"/>
      <c r="FA83" s="431"/>
      <c r="FB83" s="431"/>
      <c r="FC83" s="431"/>
      <c r="FD83" s="431"/>
      <c r="FE83" s="431"/>
      <c r="FF83" s="431"/>
      <c r="FG83" s="431"/>
      <c r="FH83" s="431"/>
      <c r="FI83" s="431"/>
      <c r="FJ83" s="431"/>
      <c r="FK83" s="431"/>
      <c r="FL83" s="431"/>
      <c r="FM83" s="431"/>
      <c r="FN83" s="431"/>
      <c r="FO83" s="431"/>
      <c r="FP83" s="431"/>
      <c r="FQ83" s="431"/>
      <c r="FR83" s="431"/>
      <c r="FS83" s="431"/>
      <c r="FT83" s="431"/>
      <c r="FU83" s="431"/>
      <c r="FV83" s="431"/>
      <c r="FW83" s="431"/>
      <c r="FX83" s="431"/>
      <c r="FY83" s="431"/>
      <c r="FZ83" s="431"/>
      <c r="GA83" s="431"/>
      <c r="GB83" s="431"/>
      <c r="GC83" s="431"/>
      <c r="GD83" s="431"/>
      <c r="GE83" s="431"/>
      <c r="GF83" s="431"/>
      <c r="GG83" s="431"/>
      <c r="GH83" s="431"/>
      <c r="GI83" s="431"/>
      <c r="GJ83" s="431"/>
      <c r="GK83" s="431"/>
      <c r="GL83" s="431"/>
      <c r="GM83" s="431"/>
      <c r="GN83" s="431"/>
      <c r="GO83" s="431"/>
      <c r="GP83" s="431"/>
      <c r="GQ83" s="431"/>
      <c r="GR83" s="431"/>
      <c r="GS83" s="431"/>
      <c r="GT83" s="431"/>
      <c r="GU83" s="431"/>
      <c r="GV83" s="431"/>
      <c r="GW83" s="431"/>
      <c r="GX83" s="431"/>
      <c r="GY83" s="431"/>
      <c r="GZ83" s="431"/>
      <c r="HA83" s="431"/>
      <c r="HB83" s="431"/>
      <c r="HC83" s="431"/>
      <c r="HD83" s="431"/>
      <c r="HE83" s="431"/>
      <c r="HF83" s="431"/>
      <c r="HG83" s="431"/>
      <c r="HH83" s="431"/>
      <c r="HI83" s="431"/>
      <c r="HJ83" s="431"/>
      <c r="HK83" s="431"/>
      <c r="HL83" s="431"/>
      <c r="HM83" s="431"/>
      <c r="HN83" s="431"/>
      <c r="HO83" s="431"/>
      <c r="HP83" s="431"/>
      <c r="HQ83" s="431"/>
      <c r="HR83" s="431"/>
      <c r="HS83" s="431"/>
      <c r="HT83" s="431"/>
      <c r="HU83" s="431"/>
      <c r="HV83" s="431"/>
      <c r="HW83" s="431"/>
      <c r="HX83" s="431"/>
      <c r="HY83" s="431"/>
      <c r="HZ83" s="431"/>
      <c r="IA83" s="431"/>
      <c r="IB83" s="431"/>
      <c r="IC83" s="431"/>
      <c r="ID83" s="431"/>
      <c r="IE83" s="431"/>
      <c r="IF83" s="431"/>
      <c r="IG83" s="431"/>
      <c r="IH83" s="431"/>
      <c r="II83" s="431"/>
      <c r="IJ83" s="431"/>
      <c r="IK83" s="431"/>
      <c r="IL83" s="431"/>
      <c r="IM83" s="431"/>
      <c r="IN83" s="431"/>
      <c r="IO83" s="431"/>
      <c r="IP83" s="431"/>
      <c r="IQ83" s="431"/>
    </row>
    <row r="84" spans="1:251" outlineLevel="1">
      <c r="A84" s="21" t="s">
        <v>277</v>
      </c>
      <c r="B84" s="20">
        <f>B40-B12</f>
        <v>-312.76498852446457</v>
      </c>
      <c r="C84" s="20">
        <f>C40-C12</f>
        <v>-40.018839531949197</v>
      </c>
      <c r="D84" s="20">
        <f>D40-D12</f>
        <v>267.36239494542315</v>
      </c>
      <c r="E84" s="20">
        <f t="shared" ref="E84:U84" si="20">E40</f>
        <v>19968.547025363583</v>
      </c>
      <c r="F84" s="20">
        <f t="shared" si="20"/>
        <v>22725.929031298834</v>
      </c>
      <c r="G84" s="20">
        <f t="shared" si="20"/>
        <v>24301.952606441075</v>
      </c>
      <c r="H84" s="20">
        <f t="shared" si="20"/>
        <v>25986.443303808304</v>
      </c>
      <c r="I84" s="20">
        <f t="shared" si="20"/>
        <v>27722.325688411936</v>
      </c>
      <c r="J84" s="20">
        <f t="shared" si="20"/>
        <v>29655.137839490919</v>
      </c>
      <c r="K84" s="20">
        <f t="shared" si="20"/>
        <v>31706.127326474976</v>
      </c>
      <c r="L84" s="20">
        <f t="shared" si="20"/>
        <v>33801.67289571873</v>
      </c>
      <c r="M84" s="20">
        <f t="shared" si="20"/>
        <v>36012.516086353018</v>
      </c>
      <c r="N84" s="20">
        <f t="shared" si="20"/>
        <v>38300.628254749477</v>
      </c>
      <c r="O84" s="20">
        <f t="shared" si="20"/>
        <v>40580.058473921927</v>
      </c>
      <c r="P84" s="20">
        <f t="shared" si="20"/>
        <v>42894.895204972716</v>
      </c>
      <c r="Q84" s="20">
        <f t="shared" si="20"/>
        <v>45004.292026989249</v>
      </c>
      <c r="R84" s="20">
        <f t="shared" si="20"/>
        <v>47201.009419665919</v>
      </c>
      <c r="S84" s="20">
        <f t="shared" si="20"/>
        <v>49334.180230744329</v>
      </c>
      <c r="T84" s="20">
        <f t="shared" si="20"/>
        <v>51301.862965658918</v>
      </c>
      <c r="U84" s="20">
        <f t="shared" si="20"/>
        <v>53279.087508501259</v>
      </c>
      <c r="W84" s="424">
        <f>SUM(B84:U84)</f>
        <v>619691.24445545406</v>
      </c>
    </row>
    <row r="85" spans="1:251" outlineLevel="1">
      <c r="A85" s="21" t="s">
        <v>133</v>
      </c>
      <c r="B85" s="20">
        <f>B34</f>
        <v>9234.5431341732747</v>
      </c>
      <c r="C85" s="20">
        <f t="shared" ref="C85:U85" si="21">C34</f>
        <v>9234.5431341732747</v>
      </c>
      <c r="D85" s="20">
        <f t="shared" si="21"/>
        <v>9234.5431341732747</v>
      </c>
      <c r="E85" s="20">
        <f t="shared" si="21"/>
        <v>9234.5431341732747</v>
      </c>
      <c r="F85" s="20">
        <f t="shared" si="21"/>
        <v>9234.5431341732747</v>
      </c>
      <c r="G85" s="20">
        <f t="shared" si="21"/>
        <v>9234.5431341732747</v>
      </c>
      <c r="H85" s="20">
        <f t="shared" si="21"/>
        <v>9234.5431341732747</v>
      </c>
      <c r="I85" s="20">
        <f t="shared" si="21"/>
        <v>9234.5431341732747</v>
      </c>
      <c r="J85" s="20">
        <f t="shared" si="21"/>
        <v>9234.5431341732747</v>
      </c>
      <c r="K85" s="20">
        <f t="shared" si="21"/>
        <v>9234.5431341732747</v>
      </c>
      <c r="L85" s="20">
        <f t="shared" si="21"/>
        <v>9234.5431341732747</v>
      </c>
      <c r="M85" s="20">
        <f t="shared" si="21"/>
        <v>9234.5431341732747</v>
      </c>
      <c r="N85" s="20">
        <f t="shared" si="21"/>
        <v>9234.5431341732747</v>
      </c>
      <c r="O85" s="20">
        <f t="shared" si="21"/>
        <v>9234.5431341732747</v>
      </c>
      <c r="P85" s="20">
        <f t="shared" si="21"/>
        <v>9234.5431341732747</v>
      </c>
      <c r="Q85" s="20">
        <f t="shared" si="21"/>
        <v>9234.5431341732747</v>
      </c>
      <c r="R85" s="20">
        <f t="shared" si="21"/>
        <v>9234.5431341732747</v>
      </c>
      <c r="S85" s="20">
        <f t="shared" si="21"/>
        <v>9234.5431341732747</v>
      </c>
      <c r="T85" s="20">
        <f t="shared" si="21"/>
        <v>9234.5431341732747</v>
      </c>
      <c r="U85" s="20">
        <f t="shared" si="21"/>
        <v>9234.5431341732747</v>
      </c>
      <c r="W85" s="424">
        <f>SUM(B85:U85)</f>
        <v>184690.86268346544</v>
      </c>
    </row>
    <row r="86" spans="1:251" ht="15" outlineLevel="1">
      <c r="A86" s="21" t="s">
        <v>203</v>
      </c>
      <c r="B86" s="230">
        <f>-Depreciation!C99</f>
        <v>-13521.28610042485</v>
      </c>
      <c r="C86" s="230">
        <f>-Depreciation!D99</f>
        <v>-25690.443590807216</v>
      </c>
      <c r="D86" s="230">
        <f>-Depreciation!E99</f>
        <v>-23121.399231726493</v>
      </c>
      <c r="E86" s="230">
        <f>-Depreciation!F99</f>
        <v>-20822.780594654268</v>
      </c>
      <c r="F86" s="230">
        <f>-Depreciation!G99</f>
        <v>-18740.50253518884</v>
      </c>
      <c r="G86" s="230">
        <f>-Depreciation!H99</f>
        <v>-16847.522481129363</v>
      </c>
      <c r="H86" s="230">
        <f>-Depreciation!I99</f>
        <v>-15955.117598501321</v>
      </c>
      <c r="I86" s="230">
        <f>-Depreciation!J99</f>
        <v>-15982.160170702173</v>
      </c>
      <c r="J86" s="230">
        <f>-Depreciation!K99</f>
        <v>-15955.117598501321</v>
      </c>
      <c r="K86" s="230">
        <f>-Depreciation!L99</f>
        <v>-15982.160170702173</v>
      </c>
      <c r="L86" s="230">
        <f>-Depreciation!M99</f>
        <v>-15955.117598501321</v>
      </c>
      <c r="M86" s="230">
        <f>-Depreciation!N99</f>
        <v>-15982.160170702173</v>
      </c>
      <c r="N86" s="230">
        <f>-Depreciation!O99</f>
        <v>-15955.117598501321</v>
      </c>
      <c r="O86" s="230">
        <f>-Depreciation!P99</f>
        <v>-15982.160170702173</v>
      </c>
      <c r="P86" s="230">
        <f>-Depreciation!Q99</f>
        <v>-15955.117598501321</v>
      </c>
      <c r="Q86" s="230">
        <f>-Depreciation!R99</f>
        <v>-7977.5587992506607</v>
      </c>
      <c r="R86" s="230">
        <f>-Depreciation!S99</f>
        <v>0</v>
      </c>
      <c r="S86" s="230">
        <f>-Depreciation!T99</f>
        <v>0</v>
      </c>
      <c r="T86" s="230">
        <f>-Depreciation!U99</f>
        <v>0</v>
      </c>
      <c r="U86" s="230">
        <f>-Depreciation!V99</f>
        <v>0</v>
      </c>
      <c r="W86" s="425">
        <f>SUM(B86:U86)</f>
        <v>-270425.72200849699</v>
      </c>
    </row>
    <row r="87" spans="1:251" outlineLevel="1">
      <c r="A87" s="229" t="s">
        <v>132</v>
      </c>
      <c r="B87" s="22">
        <f t="shared" ref="B87:U87" si="22">SUM(B84:B86)</f>
        <v>-4599.5079547760397</v>
      </c>
      <c r="C87" s="22">
        <f t="shared" si="22"/>
        <v>-16495.919296165892</v>
      </c>
      <c r="D87" s="22">
        <f t="shared" si="22"/>
        <v>-13619.493702607795</v>
      </c>
      <c r="E87" s="22">
        <f t="shared" si="22"/>
        <v>8380.3095648825874</v>
      </c>
      <c r="F87" s="22">
        <f t="shared" si="22"/>
        <v>13219.969630283267</v>
      </c>
      <c r="G87" s="22">
        <f t="shared" si="22"/>
        <v>16688.973259484988</v>
      </c>
      <c r="H87" s="22">
        <f t="shared" si="22"/>
        <v>19265.868839480256</v>
      </c>
      <c r="I87" s="22">
        <f t="shared" si="22"/>
        <v>20974.708651883037</v>
      </c>
      <c r="J87" s="22">
        <f t="shared" si="22"/>
        <v>22934.563375162874</v>
      </c>
      <c r="K87" s="22">
        <f t="shared" si="22"/>
        <v>24958.51028994608</v>
      </c>
      <c r="L87" s="22">
        <f t="shared" si="22"/>
        <v>27081.098431390685</v>
      </c>
      <c r="M87" s="22">
        <f t="shared" si="22"/>
        <v>29264.899049824122</v>
      </c>
      <c r="N87" s="22">
        <f t="shared" si="22"/>
        <v>31580.053790421432</v>
      </c>
      <c r="O87" s="22">
        <f t="shared" si="22"/>
        <v>33832.441437393034</v>
      </c>
      <c r="P87" s="22">
        <f t="shared" si="22"/>
        <v>36174.320740644675</v>
      </c>
      <c r="Q87" s="22">
        <f t="shared" si="22"/>
        <v>46261.276361911863</v>
      </c>
      <c r="R87" s="22">
        <f t="shared" si="22"/>
        <v>56435.552553839196</v>
      </c>
      <c r="S87" s="22">
        <f t="shared" si="22"/>
        <v>58568.723364917605</v>
      </c>
      <c r="T87" s="22">
        <f t="shared" si="22"/>
        <v>60536.406099832195</v>
      </c>
      <c r="U87" s="22">
        <f t="shared" si="22"/>
        <v>62513.630642674536</v>
      </c>
      <c r="W87" s="424">
        <f>SUM(B87:U87)</f>
        <v>533956.38513042277</v>
      </c>
    </row>
    <row r="88" spans="1:251" outlineLevel="1">
      <c r="A88" s="21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51" outlineLevel="1">
      <c r="A89" s="21" t="s">
        <v>39</v>
      </c>
      <c r="B89" s="422">
        <f>Assumptions!$I$39</f>
        <v>7.1800000000000003E-2</v>
      </c>
      <c r="C89" s="422">
        <f>Assumptions!$I$39</f>
        <v>7.1800000000000003E-2</v>
      </c>
      <c r="D89" s="422">
        <f>Assumptions!$I$39</f>
        <v>7.1800000000000003E-2</v>
      </c>
      <c r="E89" s="422">
        <f>Assumptions!$I$39</f>
        <v>7.1800000000000003E-2</v>
      </c>
      <c r="F89" s="422">
        <f>Assumptions!$I$39</f>
        <v>7.1800000000000003E-2</v>
      </c>
      <c r="G89" s="422">
        <f>Assumptions!$I$39</f>
        <v>7.1800000000000003E-2</v>
      </c>
      <c r="H89" s="422">
        <f>Assumptions!$I$39</f>
        <v>7.1800000000000003E-2</v>
      </c>
      <c r="I89" s="422">
        <f>Assumptions!$I$39</f>
        <v>7.1800000000000003E-2</v>
      </c>
      <c r="J89" s="422">
        <f>Assumptions!$I$39</f>
        <v>7.1800000000000003E-2</v>
      </c>
      <c r="K89" s="422">
        <f>Assumptions!$I$39</f>
        <v>7.1800000000000003E-2</v>
      </c>
      <c r="L89" s="422">
        <f>Assumptions!$I$39</f>
        <v>7.1800000000000003E-2</v>
      </c>
      <c r="M89" s="422">
        <f>Assumptions!$I$39</f>
        <v>7.1800000000000003E-2</v>
      </c>
      <c r="N89" s="422">
        <f>Assumptions!$I$39</f>
        <v>7.1800000000000003E-2</v>
      </c>
      <c r="O89" s="422">
        <f>Assumptions!$I$39</f>
        <v>7.1800000000000003E-2</v>
      </c>
      <c r="P89" s="422">
        <f>Assumptions!$I$39</f>
        <v>7.1800000000000003E-2</v>
      </c>
      <c r="Q89" s="422">
        <f>Assumptions!$I$39</f>
        <v>7.1800000000000003E-2</v>
      </c>
      <c r="R89" s="422">
        <f>Assumptions!$I$39</f>
        <v>7.1800000000000003E-2</v>
      </c>
      <c r="S89" s="422">
        <f>Assumptions!$I$39</f>
        <v>7.1800000000000003E-2</v>
      </c>
      <c r="T89" s="422">
        <f>Assumptions!$I$39</f>
        <v>7.1800000000000003E-2</v>
      </c>
      <c r="U89" s="422">
        <f>Assumptions!$I$39</f>
        <v>7.1800000000000003E-2</v>
      </c>
    </row>
    <row r="90" spans="1:251" outlineLevel="1">
      <c r="A90" s="21" t="s">
        <v>134</v>
      </c>
      <c r="B90" s="20">
        <f>B87*B89</f>
        <v>-330.24467115291964</v>
      </c>
      <c r="C90" s="20">
        <f t="shared" ref="C90:U90" si="23">C87*C89</f>
        <v>-1184.4070054647111</v>
      </c>
      <c r="D90" s="20">
        <f t="shared" si="23"/>
        <v>-977.87964784723977</v>
      </c>
      <c r="E90" s="20">
        <f t="shared" si="23"/>
        <v>601.70622675856976</v>
      </c>
      <c r="F90" s="20">
        <f t="shared" si="23"/>
        <v>949.19381945433861</v>
      </c>
      <c r="G90" s="20">
        <f t="shared" si="23"/>
        <v>1198.2682800310222</v>
      </c>
      <c r="H90" s="20">
        <f t="shared" si="23"/>
        <v>1383.2893826746824</v>
      </c>
      <c r="I90" s="20">
        <f t="shared" si="23"/>
        <v>1505.9840812052021</v>
      </c>
      <c r="J90" s="20">
        <f t="shared" si="23"/>
        <v>1646.7016503366945</v>
      </c>
      <c r="K90" s="20">
        <f t="shared" si="23"/>
        <v>1792.0210388181285</v>
      </c>
      <c r="L90" s="20">
        <f t="shared" si="23"/>
        <v>1944.4228673738512</v>
      </c>
      <c r="M90" s="20">
        <f t="shared" si="23"/>
        <v>2101.219751777372</v>
      </c>
      <c r="N90" s="20">
        <f t="shared" si="23"/>
        <v>2267.4478621522589</v>
      </c>
      <c r="O90" s="20">
        <f t="shared" si="23"/>
        <v>2429.1692952048197</v>
      </c>
      <c r="P90" s="20">
        <f t="shared" si="23"/>
        <v>2597.3162291782878</v>
      </c>
      <c r="Q90" s="20">
        <f t="shared" si="23"/>
        <v>3321.559642785272</v>
      </c>
      <c r="R90" s="20">
        <f t="shared" si="23"/>
        <v>4052.0726733656543</v>
      </c>
      <c r="S90" s="20">
        <f t="shared" si="23"/>
        <v>4205.234337601084</v>
      </c>
      <c r="T90" s="20">
        <f t="shared" si="23"/>
        <v>4346.5139579679517</v>
      </c>
      <c r="U90" s="20">
        <f t="shared" si="23"/>
        <v>4488.4786801440323</v>
      </c>
    </row>
    <row r="91" spans="1:251" outlineLevel="1">
      <c r="A91" s="21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51" outlineLevel="1">
      <c r="A92" s="21" t="s">
        <v>135</v>
      </c>
      <c r="B92" s="20">
        <v>0</v>
      </c>
      <c r="C92" s="20">
        <f t="shared" ref="C92:U92" si="24">B96</f>
        <v>330.24467115291964</v>
      </c>
      <c r="D92" s="20">
        <f t="shared" si="24"/>
        <v>1514.6516766176308</v>
      </c>
      <c r="E92" s="20">
        <f t="shared" si="24"/>
        <v>2492.5313244648705</v>
      </c>
      <c r="F92" s="20">
        <f t="shared" si="24"/>
        <v>1890.8250977063008</v>
      </c>
      <c r="G92" s="20">
        <f t="shared" si="24"/>
        <v>941.63127825196216</v>
      </c>
      <c r="H92" s="20">
        <f t="shared" si="24"/>
        <v>0</v>
      </c>
      <c r="I92" s="20">
        <f t="shared" si="24"/>
        <v>0</v>
      </c>
      <c r="J92" s="20">
        <f t="shared" si="24"/>
        <v>0</v>
      </c>
      <c r="K92" s="20">
        <f t="shared" si="24"/>
        <v>0</v>
      </c>
      <c r="L92" s="20">
        <f t="shared" si="24"/>
        <v>0</v>
      </c>
      <c r="M92" s="20">
        <f t="shared" si="24"/>
        <v>0</v>
      </c>
      <c r="N92" s="20">
        <f>M96</f>
        <v>0</v>
      </c>
      <c r="O92" s="20">
        <f t="shared" si="24"/>
        <v>0</v>
      </c>
      <c r="P92" s="20">
        <f t="shared" si="24"/>
        <v>0</v>
      </c>
      <c r="Q92" s="20">
        <f t="shared" si="24"/>
        <v>0</v>
      </c>
      <c r="R92" s="20">
        <v>0</v>
      </c>
      <c r="S92" s="20">
        <f t="shared" si="24"/>
        <v>0</v>
      </c>
      <c r="T92" s="20">
        <f t="shared" si="24"/>
        <v>0</v>
      </c>
      <c r="U92" s="20">
        <f t="shared" si="24"/>
        <v>0</v>
      </c>
    </row>
    <row r="93" spans="1:251" outlineLevel="1">
      <c r="A93" s="21" t="s">
        <v>136</v>
      </c>
      <c r="B93" s="241">
        <f t="shared" ref="B93:U93" si="25">IF(B69&gt;2020,0,IF(B90&lt;0,-B90,0))</f>
        <v>330.24467115291964</v>
      </c>
      <c r="C93" s="241">
        <f t="shared" si="25"/>
        <v>1184.4070054647111</v>
      </c>
      <c r="D93" s="241">
        <f t="shared" si="25"/>
        <v>977.87964784723977</v>
      </c>
      <c r="E93" s="241">
        <f t="shared" si="25"/>
        <v>0</v>
      </c>
      <c r="F93" s="241">
        <f t="shared" si="25"/>
        <v>0</v>
      </c>
      <c r="G93" s="241">
        <f t="shared" si="25"/>
        <v>0</v>
      </c>
      <c r="H93" s="241">
        <f t="shared" si="25"/>
        <v>0</v>
      </c>
      <c r="I93" s="241">
        <f t="shared" si="25"/>
        <v>0</v>
      </c>
      <c r="J93" s="241">
        <f t="shared" si="25"/>
        <v>0</v>
      </c>
      <c r="K93" s="241">
        <f t="shared" si="25"/>
        <v>0</v>
      </c>
      <c r="L93" s="241">
        <f t="shared" si="25"/>
        <v>0</v>
      </c>
      <c r="M93" s="241">
        <f t="shared" si="25"/>
        <v>0</v>
      </c>
      <c r="N93" s="241">
        <f t="shared" si="25"/>
        <v>0</v>
      </c>
      <c r="O93" s="241">
        <f t="shared" si="25"/>
        <v>0</v>
      </c>
      <c r="P93" s="241">
        <f t="shared" si="25"/>
        <v>0</v>
      </c>
      <c r="Q93" s="241">
        <f t="shared" si="25"/>
        <v>0</v>
      </c>
      <c r="R93" s="241">
        <f t="shared" si="25"/>
        <v>0</v>
      </c>
      <c r="S93" s="241">
        <f t="shared" si="25"/>
        <v>0</v>
      </c>
      <c r="T93" s="241">
        <f t="shared" si="25"/>
        <v>0</v>
      </c>
      <c r="U93" s="241">
        <f t="shared" si="25"/>
        <v>0</v>
      </c>
    </row>
    <row r="94" spans="1:251" outlineLevel="1">
      <c r="A94" s="21" t="s">
        <v>137</v>
      </c>
      <c r="B94" s="231">
        <v>0</v>
      </c>
      <c r="C94" s="231">
        <v>0</v>
      </c>
      <c r="D94" s="231">
        <v>0</v>
      </c>
      <c r="E94" s="231">
        <v>0</v>
      </c>
      <c r="F94" s="231">
        <v>0</v>
      </c>
      <c r="G94" s="231">
        <v>0</v>
      </c>
      <c r="H94" s="231">
        <v>0</v>
      </c>
      <c r="I94" s="231">
        <v>0</v>
      </c>
      <c r="J94" s="231">
        <v>0</v>
      </c>
      <c r="K94" s="231">
        <v>0</v>
      </c>
      <c r="L94" s="231">
        <v>0</v>
      </c>
      <c r="M94" s="231">
        <v>0</v>
      </c>
      <c r="N94" s="231">
        <v>0</v>
      </c>
      <c r="O94" s="231">
        <v>0</v>
      </c>
      <c r="P94" s="231">
        <v>0</v>
      </c>
      <c r="Q94" s="231">
        <v>0</v>
      </c>
      <c r="R94" s="231">
        <v>0</v>
      </c>
      <c r="S94" s="231">
        <v>0</v>
      </c>
      <c r="T94" s="20">
        <f>IF(L93&gt;(SUM(M95:S95)+SUM(L94:S94))*-1,L93-(SUM(L95:S95)+SUM(L94:S94))*-1,0)</f>
        <v>0</v>
      </c>
      <c r="U94" s="20">
        <f>IF(M93&gt;(SUM(N95:T95)+SUM(M94:T94))*-1,M93-(SUM(M95:T95)+SUM(M94:T94))*-1,0)</f>
        <v>0</v>
      </c>
    </row>
    <row r="95" spans="1:251" outlineLevel="1">
      <c r="A95" s="17" t="s">
        <v>138</v>
      </c>
      <c r="B95" s="232">
        <f t="shared" ref="B95:T95" si="26">IF(B90&lt;0,0,IF(B92&gt;B90,-B90,-B92))</f>
        <v>0</v>
      </c>
      <c r="C95" s="232">
        <f t="shared" si="26"/>
        <v>0</v>
      </c>
      <c r="D95" s="232">
        <f t="shared" si="26"/>
        <v>0</v>
      </c>
      <c r="E95" s="232">
        <f t="shared" si="26"/>
        <v>-601.70622675856976</v>
      </c>
      <c r="F95" s="232">
        <f t="shared" si="26"/>
        <v>-949.19381945433861</v>
      </c>
      <c r="G95" s="232">
        <f t="shared" si="26"/>
        <v>-941.63127825196216</v>
      </c>
      <c r="H95" s="232">
        <f t="shared" si="26"/>
        <v>0</v>
      </c>
      <c r="I95" s="232">
        <f t="shared" si="26"/>
        <v>0</v>
      </c>
      <c r="J95" s="232">
        <f t="shared" si="26"/>
        <v>0</v>
      </c>
      <c r="K95" s="232">
        <f t="shared" si="26"/>
        <v>0</v>
      </c>
      <c r="L95" s="232">
        <f t="shared" si="26"/>
        <v>0</v>
      </c>
      <c r="M95" s="232">
        <f t="shared" si="26"/>
        <v>0</v>
      </c>
      <c r="N95" s="232">
        <f t="shared" si="26"/>
        <v>0</v>
      </c>
      <c r="O95" s="232">
        <f t="shared" si="26"/>
        <v>0</v>
      </c>
      <c r="P95" s="232">
        <f t="shared" si="26"/>
        <v>0</v>
      </c>
      <c r="Q95" s="232">
        <f t="shared" si="26"/>
        <v>0</v>
      </c>
      <c r="R95" s="232">
        <f t="shared" si="26"/>
        <v>0</v>
      </c>
      <c r="S95" s="232">
        <f t="shared" si="26"/>
        <v>0</v>
      </c>
      <c r="T95" s="232">
        <f t="shared" si="26"/>
        <v>0</v>
      </c>
      <c r="U95" s="232">
        <f>IF(U90&lt;0,0,IF(U92&gt;U90,-U90,-U92))</f>
        <v>0</v>
      </c>
    </row>
    <row r="96" spans="1:251" outlineLevel="1">
      <c r="A96" s="17" t="s">
        <v>139</v>
      </c>
      <c r="B96" s="232">
        <f t="shared" ref="B96:U96" si="27">SUM(B92:B95)</f>
        <v>330.24467115291964</v>
      </c>
      <c r="C96" s="232">
        <f t="shared" si="27"/>
        <v>1514.6516766176308</v>
      </c>
      <c r="D96" s="232">
        <f t="shared" si="27"/>
        <v>2492.5313244648705</v>
      </c>
      <c r="E96" s="232">
        <f t="shared" si="27"/>
        <v>1890.8250977063008</v>
      </c>
      <c r="F96" s="232">
        <f t="shared" si="27"/>
        <v>941.63127825196216</v>
      </c>
      <c r="G96" s="232">
        <f t="shared" si="27"/>
        <v>0</v>
      </c>
      <c r="H96" s="232">
        <f t="shared" si="27"/>
        <v>0</v>
      </c>
      <c r="I96" s="232">
        <f t="shared" si="27"/>
        <v>0</v>
      </c>
      <c r="J96" s="232">
        <f t="shared" si="27"/>
        <v>0</v>
      </c>
      <c r="K96" s="232">
        <f t="shared" si="27"/>
        <v>0</v>
      </c>
      <c r="L96" s="232">
        <f t="shared" si="27"/>
        <v>0</v>
      </c>
      <c r="M96" s="232">
        <f t="shared" si="27"/>
        <v>0</v>
      </c>
      <c r="N96" s="232">
        <f t="shared" si="27"/>
        <v>0</v>
      </c>
      <c r="O96" s="232">
        <f t="shared" si="27"/>
        <v>0</v>
      </c>
      <c r="P96" s="232">
        <f t="shared" si="27"/>
        <v>0</v>
      </c>
      <c r="Q96" s="232">
        <f t="shared" si="27"/>
        <v>0</v>
      </c>
      <c r="R96" s="232">
        <f t="shared" si="27"/>
        <v>0</v>
      </c>
      <c r="S96" s="232">
        <f t="shared" si="27"/>
        <v>0</v>
      </c>
      <c r="T96" s="232">
        <f t="shared" si="27"/>
        <v>0</v>
      </c>
      <c r="U96" s="232">
        <f t="shared" si="27"/>
        <v>0</v>
      </c>
    </row>
    <row r="97" spans="1:23" outlineLevel="1">
      <c r="A97" s="17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</row>
    <row r="98" spans="1:23" ht="13.5" outlineLevel="1" thickBot="1">
      <c r="A98" s="32" t="s">
        <v>131</v>
      </c>
      <c r="B98" s="330">
        <f t="shared" ref="B98:U98" si="28">IF(B90&lt;0,0,B90+B95)</f>
        <v>0</v>
      </c>
      <c r="C98" s="330">
        <f t="shared" si="28"/>
        <v>0</v>
      </c>
      <c r="D98" s="330">
        <f t="shared" si="28"/>
        <v>0</v>
      </c>
      <c r="E98" s="330">
        <f t="shared" si="28"/>
        <v>0</v>
      </c>
      <c r="F98" s="330">
        <f t="shared" si="28"/>
        <v>0</v>
      </c>
      <c r="G98" s="330">
        <f t="shared" si="28"/>
        <v>256.63700177906003</v>
      </c>
      <c r="H98" s="330">
        <f t="shared" si="28"/>
        <v>1383.2893826746824</v>
      </c>
      <c r="I98" s="330">
        <f t="shared" si="28"/>
        <v>1505.9840812052021</v>
      </c>
      <c r="J98" s="330">
        <f t="shared" si="28"/>
        <v>1646.7016503366945</v>
      </c>
      <c r="K98" s="330">
        <f t="shared" si="28"/>
        <v>1792.0210388181285</v>
      </c>
      <c r="L98" s="330">
        <f t="shared" si="28"/>
        <v>1944.4228673738512</v>
      </c>
      <c r="M98" s="330">
        <f t="shared" si="28"/>
        <v>2101.219751777372</v>
      </c>
      <c r="N98" s="330">
        <f t="shared" si="28"/>
        <v>2267.4478621522589</v>
      </c>
      <c r="O98" s="330">
        <f t="shared" si="28"/>
        <v>2429.1692952048197</v>
      </c>
      <c r="P98" s="330">
        <f t="shared" si="28"/>
        <v>2597.3162291782878</v>
      </c>
      <c r="Q98" s="330">
        <f t="shared" si="28"/>
        <v>3321.559642785272</v>
      </c>
      <c r="R98" s="330">
        <f t="shared" si="28"/>
        <v>4052.0726733656543</v>
      </c>
      <c r="S98" s="330">
        <f t="shared" si="28"/>
        <v>4205.234337601084</v>
      </c>
      <c r="T98" s="330">
        <f t="shared" si="28"/>
        <v>4346.5139579679517</v>
      </c>
      <c r="U98" s="330">
        <f t="shared" si="28"/>
        <v>4488.4786801440323</v>
      </c>
      <c r="W98" s="424">
        <f>SUM(B98:U98)</f>
        <v>38338.06845236435</v>
      </c>
    </row>
    <row r="99" spans="1:23" ht="15.75" outlineLevel="1">
      <c r="A99" s="72"/>
      <c r="B99" s="7"/>
      <c r="C99" s="73"/>
      <c r="D99" s="7"/>
      <c r="E99" s="7"/>
      <c r="F99" s="7"/>
      <c r="G99" s="7"/>
      <c r="H99" s="7"/>
      <c r="I99" s="7"/>
      <c r="J99" s="7"/>
      <c r="K99" s="7"/>
      <c r="L99" s="59"/>
      <c r="M99" s="59"/>
      <c r="N99" s="59"/>
      <c r="O99" s="59"/>
      <c r="P99" s="59"/>
      <c r="Q99" s="59"/>
      <c r="R99" s="59"/>
      <c r="S99" s="59"/>
      <c r="T99" s="59"/>
      <c r="U99" s="59"/>
    </row>
    <row r="100" spans="1:23" outlineLevel="1">
      <c r="A100" s="57"/>
      <c r="B100" s="73"/>
      <c r="C100" s="76"/>
      <c r="D100" s="77"/>
      <c r="E100" s="77"/>
      <c r="F100" s="77"/>
      <c r="G100" s="77"/>
      <c r="H100" s="77"/>
      <c r="I100" s="77"/>
      <c r="J100" s="77"/>
      <c r="K100" s="77"/>
      <c r="L100" s="59"/>
      <c r="M100" s="59"/>
      <c r="N100" s="59"/>
      <c r="O100" s="59"/>
      <c r="P100" s="59"/>
      <c r="Q100" s="59"/>
      <c r="R100" s="59"/>
      <c r="S100" s="59"/>
      <c r="T100" s="59"/>
      <c r="U100" s="59"/>
    </row>
    <row r="101" spans="1:23" outlineLevel="1">
      <c r="A101" s="80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</row>
    <row r="102" spans="1:23" outlineLevel="1">
      <c r="A102" s="524"/>
      <c r="B102" s="524"/>
      <c r="C102" s="524"/>
      <c r="D102" s="524"/>
      <c r="E102" s="524"/>
      <c r="F102" s="524"/>
      <c r="G102" s="524"/>
      <c r="H102" s="524"/>
      <c r="I102" s="524"/>
      <c r="J102" s="524"/>
      <c r="K102" s="524"/>
      <c r="L102" s="524"/>
      <c r="M102" s="524"/>
      <c r="N102" s="524"/>
      <c r="O102" s="524"/>
      <c r="P102" s="524"/>
      <c r="Q102" s="524"/>
      <c r="R102" s="524"/>
      <c r="S102" s="524"/>
      <c r="T102" s="524"/>
      <c r="U102" s="524"/>
    </row>
    <row r="103" spans="1:23" outlineLevel="1">
      <c r="A103" s="78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</row>
    <row r="104" spans="1:23" outlineLevel="1">
      <c r="A104" s="527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</row>
    <row r="105" spans="1:23" outlineLevel="1">
      <c r="A105" s="528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</row>
    <row r="106" spans="1:23" outlineLevel="1">
      <c r="A106" s="7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</row>
    <row r="107" spans="1:23" outlineLevel="1">
      <c r="A107" s="7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</row>
    <row r="108" spans="1:23" outlineLevel="1">
      <c r="A108" s="7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</row>
    <row r="109" spans="1:23" ht="18.75" outlineLevel="1">
      <c r="A109" s="84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</row>
    <row r="110" spans="1:23" outlineLevel="1">
      <c r="A110" s="57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</row>
    <row r="111" spans="1:23" outlineLevel="1">
      <c r="A111" s="57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</row>
    <row r="112" spans="1:23" outlineLevel="1">
      <c r="A112" s="7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</row>
    <row r="113" spans="1:21" outlineLevel="1">
      <c r="A113" s="7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</row>
    <row r="114" spans="1:21" outlineLevel="1">
      <c r="A114" s="2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</row>
    <row r="115" spans="1:21" outlineLevel="1">
      <c r="A115" s="80"/>
      <c r="B115" s="69"/>
      <c r="C115" s="6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</row>
    <row r="116" spans="1:21" outlineLevel="1">
      <c r="A116" s="79"/>
      <c r="B116" s="69"/>
      <c r="C116" s="6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</row>
    <row r="117" spans="1:21" outlineLevel="1">
      <c r="A117" s="79"/>
      <c r="B117" s="69"/>
      <c r="C117" s="6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</row>
    <row r="118" spans="1:21" outlineLevel="1">
      <c r="A118" s="78"/>
      <c r="B118" s="69"/>
      <c r="C118" s="6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</row>
    <row r="119" spans="1:21" outlineLevel="1">
      <c r="A119" s="69"/>
      <c r="B119" s="69"/>
      <c r="C119" s="6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</row>
    <row r="120" spans="1:21" outlineLevel="1">
      <c r="A120" s="80"/>
      <c r="B120" s="69"/>
      <c r="C120" s="6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</row>
    <row r="121" spans="1:21" outlineLevel="1">
      <c r="A121" s="79"/>
      <c r="B121" s="69"/>
      <c r="C121" s="6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</row>
    <row r="122" spans="1:21" outlineLevel="1">
      <c r="A122" s="79"/>
      <c r="B122" s="69"/>
      <c r="C122" s="6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</row>
    <row r="123" spans="1:21" outlineLevel="1">
      <c r="A123" s="79"/>
      <c r="B123" s="69"/>
      <c r="C123" s="6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</row>
    <row r="124" spans="1:21" outlineLevel="1">
      <c r="A124" s="79"/>
      <c r="B124" s="69"/>
      <c r="C124" s="6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</row>
    <row r="125" spans="1:21" outlineLevel="1">
      <c r="A125" s="69"/>
      <c r="B125" s="69"/>
      <c r="C125" s="6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</row>
    <row r="126" spans="1:21" outlineLevel="1">
      <c r="A126" s="80"/>
      <c r="B126" s="69"/>
      <c r="C126" s="6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</row>
    <row r="127" spans="1:21" outlineLevel="1">
      <c r="A127" s="69"/>
      <c r="B127" s="69"/>
      <c r="C127" s="6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</row>
    <row r="128" spans="1:21" outlineLevel="1">
      <c r="A128" s="80"/>
      <c r="B128" s="69"/>
      <c r="C128" s="6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</row>
    <row r="129" spans="1:21" outlineLevel="1">
      <c r="A129" s="79"/>
      <c r="B129" s="69"/>
      <c r="C129" s="6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</row>
    <row r="130" spans="1:21" outlineLevel="1">
      <c r="A130" s="80"/>
      <c r="B130" s="69"/>
      <c r="C130" s="6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</row>
    <row r="131" spans="1:21" outlineLevel="1">
      <c r="A131" s="82"/>
      <c r="B131" s="69"/>
      <c r="C131" s="6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</row>
    <row r="132" spans="1:21" outlineLevel="1">
      <c r="A132" s="79"/>
      <c r="B132" s="69"/>
      <c r="C132" s="6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</row>
    <row r="133" spans="1:21" outlineLevel="1">
      <c r="A133" s="78"/>
      <c r="B133" s="69"/>
      <c r="C133" s="6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</row>
    <row r="134" spans="1:21" outlineLevel="1">
      <c r="A134" s="79"/>
      <c r="B134" s="69"/>
      <c r="C134" s="6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</row>
    <row r="135" spans="1:21" outlineLevel="1">
      <c r="A135" s="78"/>
      <c r="B135" s="69"/>
      <c r="C135" s="6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</row>
    <row r="136" spans="1:21" outlineLevel="1">
      <c r="A136" s="79"/>
      <c r="B136" s="69"/>
      <c r="C136" s="6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</row>
    <row r="137" spans="1:21" outlineLevel="1">
      <c r="A137" s="79"/>
      <c r="B137" s="69"/>
      <c r="C137" s="6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</row>
    <row r="138" spans="1:21" outlineLevel="1">
      <c r="A138" s="79"/>
      <c r="B138" s="69"/>
      <c r="C138" s="6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</row>
    <row r="139" spans="1:21" outlineLevel="1">
      <c r="A139" s="79"/>
      <c r="B139" s="69"/>
      <c r="C139" s="6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</row>
    <row r="140" spans="1:21" outlineLevel="1">
      <c r="A140" s="79"/>
      <c r="B140" s="69"/>
      <c r="C140" s="6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</row>
    <row r="141" spans="1:21" outlineLevel="1">
      <c r="A141" s="79"/>
      <c r="B141" s="69"/>
      <c r="C141" s="6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</row>
    <row r="142" spans="1:21" outlineLevel="1">
      <c r="A142" s="80"/>
      <c r="B142" s="69"/>
      <c r="C142" s="6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</row>
    <row r="143" spans="1:21" outlineLevel="1">
      <c r="A143" s="81"/>
      <c r="B143" s="69"/>
      <c r="C143" s="6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</row>
    <row r="144" spans="1:21" outlineLevel="1">
      <c r="A144" s="79"/>
      <c r="B144" s="69"/>
      <c r="C144" s="6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</row>
    <row r="145" spans="1:21" outlineLevel="1">
      <c r="A145" s="82"/>
      <c r="B145" s="69"/>
      <c r="C145" s="6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</row>
    <row r="146" spans="1:21" outlineLevel="1">
      <c r="A146" s="82"/>
      <c r="B146" s="69"/>
      <c r="C146" s="6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</row>
    <row r="147" spans="1:21" outlineLevel="1">
      <c r="A147" s="79"/>
      <c r="B147" s="69"/>
      <c r="C147" s="6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</row>
    <row r="148" spans="1:21" outlineLevel="1">
      <c r="A148" s="79"/>
      <c r="B148" s="69"/>
      <c r="C148" s="6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</row>
    <row r="149" spans="1:21" outlineLevel="1">
      <c r="A149" s="78"/>
      <c r="B149" s="69"/>
      <c r="C149" s="6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</row>
    <row r="150" spans="1:21" outlineLevel="1">
      <c r="A150" s="80"/>
      <c r="B150" s="69"/>
      <c r="C150" s="6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</row>
    <row r="151" spans="1:21" outlineLevel="1">
      <c r="A151" s="80"/>
      <c r="B151" s="69"/>
      <c r="C151" s="6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</row>
    <row r="152" spans="1:21" outlineLevel="1">
      <c r="A152" s="80"/>
      <c r="B152" s="69"/>
      <c r="C152" s="6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</row>
    <row r="153" spans="1:21" outlineLevel="1">
      <c r="A153" s="80"/>
      <c r="B153" s="69"/>
      <c r="C153" s="6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</row>
    <row r="154" spans="1:21" outlineLevel="1">
      <c r="A154" s="80"/>
      <c r="B154" s="69"/>
      <c r="C154" s="6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</row>
    <row r="155" spans="1:21" outlineLevel="1">
      <c r="A155" s="80"/>
      <c r="B155" s="69"/>
      <c r="C155" s="6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</row>
    <row r="156" spans="1:21" outlineLevel="1">
      <c r="A156" s="80"/>
      <c r="B156" s="69"/>
      <c r="C156" s="6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</row>
    <row r="157" spans="1:21" outlineLevel="1">
      <c r="A157" s="7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</row>
    <row r="158" spans="1:21" outlineLevel="1">
      <c r="A158" s="7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</row>
    <row r="159" spans="1:21" outlineLevel="1">
      <c r="A159" s="7"/>
      <c r="B159" s="7"/>
      <c r="C159" s="7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</row>
    <row r="160" spans="1:21" ht="18.75" outlineLevel="1">
      <c r="A160" s="8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</row>
    <row r="161" spans="1:21" outlineLevel="1">
      <c r="A161" s="5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</row>
    <row r="162" spans="1:21" outlineLevel="1">
      <c r="A162" s="5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</row>
    <row r="163" spans="1:21" outlineLevel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</row>
    <row r="164" spans="1:21" outlineLevel="1">
      <c r="A164" s="2"/>
      <c r="B164" s="9"/>
      <c r="C164" s="9"/>
      <c r="D164" s="9"/>
      <c r="E164" s="9"/>
      <c r="F164" s="9"/>
      <c r="G164" s="9"/>
      <c r="H164" s="9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</row>
    <row r="165" spans="1:21" outlineLevel="1">
      <c r="A165" s="5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</row>
    <row r="166" spans="1:21" outlineLevel="1">
      <c r="A166" s="86"/>
      <c r="B166" s="87"/>
      <c r="C166" s="87"/>
      <c r="D166" s="87"/>
      <c r="E166" s="87"/>
      <c r="F166" s="87"/>
      <c r="G166" s="87"/>
      <c r="H166" s="87"/>
      <c r="I166" s="7"/>
      <c r="J166" s="8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</row>
    <row r="167" spans="1:21" outlineLevel="1">
      <c r="A167" s="86"/>
      <c r="B167" s="87"/>
      <c r="C167" s="87"/>
      <c r="D167" s="87"/>
      <c r="E167" s="87"/>
      <c r="F167" s="87"/>
      <c r="G167" s="87"/>
      <c r="H167" s="87"/>
      <c r="I167" s="7"/>
      <c r="J167" s="8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</row>
    <row r="168" spans="1:21" outlineLevel="1">
      <c r="A168" s="86"/>
      <c r="B168" s="87"/>
      <c r="C168" s="87"/>
      <c r="D168" s="87"/>
      <c r="E168" s="87"/>
      <c r="F168" s="87"/>
      <c r="G168" s="87"/>
      <c r="H168" s="87"/>
      <c r="I168" s="7"/>
      <c r="J168" s="8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 spans="1:21" outlineLevel="1">
      <c r="A169" s="86"/>
      <c r="B169" s="87"/>
      <c r="C169" s="87"/>
      <c r="D169" s="87"/>
      <c r="E169" s="87"/>
      <c r="F169" s="87"/>
      <c r="G169" s="87"/>
      <c r="H169" s="87"/>
      <c r="I169" s="7"/>
      <c r="J169" s="8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</row>
    <row r="170" spans="1:21" outlineLevel="1">
      <c r="A170" s="86"/>
      <c r="B170" s="87"/>
      <c r="C170" s="87"/>
      <c r="D170" s="87"/>
      <c r="E170" s="87"/>
      <c r="F170" s="87"/>
      <c r="G170" s="87"/>
      <c r="H170" s="87"/>
      <c r="I170" s="7"/>
      <c r="J170" s="8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 spans="1:21" outlineLevel="1">
      <c r="A171" s="7"/>
      <c r="B171" s="87"/>
      <c r="C171" s="87"/>
      <c r="D171" s="87"/>
      <c r="E171" s="87"/>
      <c r="F171" s="87"/>
      <c r="G171" s="87"/>
      <c r="H171" s="87"/>
      <c r="I171" s="7"/>
      <c r="J171" s="8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</row>
    <row r="172" spans="1:21" outlineLevel="1">
      <c r="A172" s="57"/>
      <c r="B172" s="87"/>
      <c r="C172" s="87"/>
      <c r="D172" s="87"/>
      <c r="E172" s="87"/>
      <c r="F172" s="87"/>
      <c r="G172" s="87"/>
      <c r="H172" s="87"/>
      <c r="I172" s="7"/>
      <c r="J172" s="8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 spans="1:21" outlineLevel="1">
      <c r="A173" s="86"/>
      <c r="B173" s="87"/>
      <c r="C173" s="87"/>
      <c r="D173" s="87"/>
      <c r="E173" s="87"/>
      <c r="F173" s="87"/>
      <c r="G173" s="87"/>
      <c r="H173" s="87"/>
      <c r="I173" s="7"/>
      <c r="J173" s="8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</row>
    <row r="174" spans="1:21" outlineLevel="1">
      <c r="A174" s="86"/>
      <c r="B174" s="87"/>
      <c r="C174" s="87"/>
      <c r="D174" s="87"/>
      <c r="E174" s="87"/>
      <c r="F174" s="87"/>
      <c r="G174" s="87"/>
      <c r="H174" s="87"/>
      <c r="I174" s="7"/>
      <c r="J174" s="8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 spans="1:21" outlineLevel="1">
      <c r="A175" s="86"/>
      <c r="B175" s="87"/>
      <c r="C175" s="87"/>
      <c r="D175" s="87"/>
      <c r="E175" s="87"/>
      <c r="F175" s="87"/>
      <c r="G175" s="87"/>
      <c r="H175" s="87"/>
      <c r="I175" s="7"/>
      <c r="J175" s="8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</row>
    <row r="176" spans="1:21" outlineLevel="1">
      <c r="A176" s="86"/>
      <c r="B176" s="87"/>
      <c r="C176" s="87"/>
      <c r="D176" s="87"/>
      <c r="E176" s="87"/>
      <c r="F176" s="87"/>
      <c r="G176" s="87"/>
      <c r="H176" s="87"/>
      <c r="I176" s="7"/>
      <c r="J176" s="8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 spans="1:21" outlineLevel="1">
      <c r="A177" s="86"/>
      <c r="B177" s="87"/>
      <c r="C177" s="87"/>
      <c r="D177" s="87"/>
      <c r="E177" s="87"/>
      <c r="F177" s="87"/>
      <c r="G177" s="87"/>
      <c r="H177" s="87"/>
      <c r="I177" s="7"/>
      <c r="J177" s="8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</row>
    <row r="178" spans="1:21" outlineLevel="1">
      <c r="A178" s="86"/>
      <c r="B178" s="87"/>
      <c r="C178" s="87"/>
      <c r="D178" s="87"/>
      <c r="E178" s="87"/>
      <c r="F178" s="87"/>
      <c r="G178" s="87"/>
      <c r="H178" s="87"/>
      <c r="I178" s="7"/>
      <c r="J178" s="8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 spans="1:21" outlineLevel="1">
      <c r="A179" s="86"/>
      <c r="B179" s="87"/>
      <c r="C179" s="87"/>
      <c r="D179" s="87"/>
      <c r="E179" s="87"/>
      <c r="F179" s="87"/>
      <c r="G179" s="87"/>
      <c r="H179" s="87"/>
      <c r="I179" s="7"/>
      <c r="J179" s="8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</row>
    <row r="180" spans="1:21" outlineLevel="1">
      <c r="A180" s="86"/>
      <c r="B180" s="87"/>
      <c r="C180" s="87"/>
      <c r="D180" s="87"/>
      <c r="E180" s="87"/>
      <c r="F180" s="87"/>
      <c r="G180" s="87"/>
      <c r="H180" s="87"/>
      <c r="I180" s="7"/>
      <c r="J180" s="8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 spans="1:21" outlineLevel="1">
      <c r="A181" s="86"/>
      <c r="B181" s="87"/>
      <c r="C181" s="87"/>
      <c r="D181" s="87"/>
      <c r="E181" s="87"/>
      <c r="F181" s="87"/>
      <c r="G181" s="87"/>
      <c r="H181" s="87"/>
      <c r="I181" s="7"/>
      <c r="J181" s="8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</row>
    <row r="182" spans="1:21" outlineLevel="1">
      <c r="A182" s="86"/>
      <c r="B182" s="87"/>
      <c r="C182" s="87"/>
      <c r="D182" s="87"/>
      <c r="E182" s="87"/>
      <c r="F182" s="87"/>
      <c r="G182" s="87"/>
      <c r="H182" s="87"/>
      <c r="I182" s="7"/>
      <c r="J182" s="8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 spans="1:21" outlineLevel="1">
      <c r="A183" s="86"/>
      <c r="B183" s="87"/>
      <c r="C183" s="87"/>
      <c r="D183" s="87"/>
      <c r="E183" s="87"/>
      <c r="F183" s="87"/>
      <c r="G183" s="87"/>
      <c r="H183" s="87"/>
      <c r="I183" s="7"/>
      <c r="J183" s="8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</row>
    <row r="184" spans="1:21" outlineLevel="1">
      <c r="A184" s="57"/>
      <c r="B184" s="87"/>
      <c r="C184" s="87"/>
      <c r="D184" s="87"/>
      <c r="E184" s="87"/>
      <c r="F184" s="87"/>
      <c r="G184" s="87"/>
      <c r="H184" s="87"/>
      <c r="I184" s="7"/>
      <c r="J184" s="8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</row>
    <row r="185" spans="1:21" outlineLevel="1">
      <c r="A185" s="86"/>
      <c r="B185" s="87"/>
      <c r="C185" s="87"/>
      <c r="D185" s="87"/>
      <c r="E185" s="87"/>
      <c r="F185" s="87"/>
      <c r="G185" s="87"/>
      <c r="H185" s="87"/>
      <c r="I185" s="7"/>
      <c r="J185" s="8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</row>
    <row r="186" spans="1:21" outlineLevel="1">
      <c r="A186" s="86"/>
      <c r="B186" s="87"/>
      <c r="C186" s="87"/>
      <c r="D186" s="87"/>
      <c r="E186" s="87"/>
      <c r="F186" s="87"/>
      <c r="G186" s="87"/>
      <c r="H186" s="87"/>
      <c r="I186" s="7"/>
      <c r="J186" s="8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</row>
    <row r="187" spans="1:21" outlineLevel="1">
      <c r="A187" s="57"/>
      <c r="B187" s="87"/>
      <c r="C187" s="87"/>
      <c r="D187" s="87"/>
      <c r="E187" s="87"/>
      <c r="F187" s="87"/>
      <c r="G187" s="87"/>
      <c r="H187" s="87"/>
      <c r="I187" s="7"/>
      <c r="J187" s="8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</row>
    <row r="188" spans="1:21" outlineLevel="1">
      <c r="A188" s="57"/>
      <c r="B188" s="87"/>
      <c r="C188" s="87"/>
      <c r="D188" s="87"/>
      <c r="E188" s="87"/>
      <c r="F188" s="87"/>
      <c r="G188" s="87"/>
      <c r="H188" s="87"/>
      <c r="I188" s="7"/>
      <c r="J188" s="8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</row>
    <row r="189" spans="1:21" outlineLevel="1">
      <c r="A189" s="7"/>
      <c r="B189" s="87"/>
      <c r="C189" s="87"/>
      <c r="D189" s="87"/>
      <c r="E189" s="87"/>
      <c r="F189" s="87"/>
      <c r="G189" s="87"/>
      <c r="H189" s="87"/>
      <c r="I189" s="7"/>
      <c r="J189" s="8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</row>
    <row r="190" spans="1:21" outlineLevel="1">
      <c r="A190" s="7"/>
      <c r="B190" s="87"/>
      <c r="C190" s="87"/>
      <c r="D190" s="87"/>
      <c r="E190" s="87"/>
      <c r="F190" s="87"/>
      <c r="G190" s="87"/>
      <c r="H190" s="87"/>
      <c r="I190" s="7"/>
      <c r="J190" s="8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</row>
    <row r="191" spans="1:21" outlineLevel="1">
      <c r="A191" s="57"/>
      <c r="B191" s="87"/>
      <c r="C191" s="87"/>
      <c r="D191" s="87"/>
      <c r="E191" s="87"/>
      <c r="F191" s="87"/>
      <c r="G191" s="87"/>
      <c r="H191" s="87"/>
      <c r="I191" s="7"/>
      <c r="J191" s="8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</row>
    <row r="192" spans="1:21" outlineLevel="1">
      <c r="A192" s="86"/>
      <c r="B192" s="87"/>
      <c r="C192" s="87"/>
      <c r="D192" s="87"/>
      <c r="E192" s="87"/>
      <c r="F192" s="87"/>
      <c r="G192" s="87"/>
      <c r="H192" s="87"/>
      <c r="I192" s="7"/>
      <c r="J192" s="8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</row>
    <row r="193" spans="1:21" outlineLevel="1">
      <c r="A193" s="57"/>
      <c r="B193" s="87"/>
      <c r="C193" s="87"/>
      <c r="D193" s="87"/>
      <c r="E193" s="87"/>
      <c r="F193" s="87"/>
      <c r="G193" s="87"/>
      <c r="H193" s="87"/>
      <c r="I193" s="7"/>
      <c r="J193" s="8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</row>
    <row r="194" spans="1:21" outlineLevel="1">
      <c r="A194" s="7"/>
      <c r="B194" s="87"/>
      <c r="C194" s="87"/>
      <c r="D194" s="87"/>
      <c r="E194" s="87"/>
      <c r="F194" s="87"/>
      <c r="G194" s="87"/>
      <c r="H194" s="87"/>
      <c r="I194" s="7"/>
      <c r="J194" s="8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</row>
    <row r="195" spans="1:21" outlineLevel="1">
      <c r="A195" s="57"/>
      <c r="B195" s="87"/>
      <c r="C195" s="87"/>
      <c r="D195" s="87"/>
      <c r="E195" s="87"/>
      <c r="F195" s="87"/>
      <c r="G195" s="87"/>
      <c r="H195" s="87"/>
      <c r="I195" s="7"/>
      <c r="J195" s="8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</row>
    <row r="196" spans="1:21" outlineLevel="1">
      <c r="A196" s="86"/>
      <c r="B196" s="87"/>
      <c r="C196" s="87"/>
      <c r="D196" s="87"/>
      <c r="E196" s="87"/>
      <c r="F196" s="87"/>
      <c r="G196" s="87"/>
      <c r="H196" s="87"/>
      <c r="I196" s="7"/>
      <c r="J196" s="8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</row>
    <row r="197" spans="1:21" outlineLevel="1">
      <c r="A197" s="86"/>
      <c r="B197" s="87"/>
      <c r="C197" s="87"/>
      <c r="D197" s="87"/>
      <c r="E197" s="87"/>
      <c r="F197" s="87"/>
      <c r="G197" s="87"/>
      <c r="H197" s="87"/>
      <c r="I197" s="7"/>
      <c r="J197" s="8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</row>
    <row r="198" spans="1:21" outlineLevel="1">
      <c r="A198" s="86"/>
      <c r="B198" s="87"/>
      <c r="C198" s="87"/>
      <c r="D198" s="87"/>
      <c r="E198" s="87"/>
      <c r="F198" s="87"/>
      <c r="G198" s="87"/>
      <c r="H198" s="87"/>
      <c r="I198" s="7"/>
      <c r="J198" s="8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</row>
    <row r="199" spans="1:21" outlineLevel="1">
      <c r="A199" s="86"/>
      <c r="B199" s="87"/>
      <c r="C199" s="87"/>
      <c r="D199" s="87"/>
      <c r="E199" s="87"/>
      <c r="F199" s="87"/>
      <c r="G199" s="87"/>
      <c r="H199" s="87"/>
      <c r="I199" s="7"/>
      <c r="J199" s="8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</row>
    <row r="200" spans="1:21" outlineLevel="1">
      <c r="A200" s="86"/>
      <c r="B200" s="87"/>
      <c r="C200" s="87"/>
      <c r="D200" s="87"/>
      <c r="E200" s="87"/>
      <c r="F200" s="87"/>
      <c r="G200" s="87"/>
      <c r="H200" s="87"/>
      <c r="I200" s="7"/>
      <c r="J200" s="8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</row>
    <row r="201" spans="1:21" outlineLevel="1">
      <c r="A201" s="86"/>
      <c r="B201" s="87"/>
      <c r="C201" s="87"/>
      <c r="D201" s="87"/>
      <c r="E201" s="87"/>
      <c r="F201" s="87"/>
      <c r="G201" s="87"/>
      <c r="H201" s="87"/>
      <c r="I201" s="7"/>
      <c r="J201" s="8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</row>
    <row r="202" spans="1:21" outlineLevel="1">
      <c r="A202" s="57"/>
      <c r="B202" s="87"/>
      <c r="C202" s="87"/>
      <c r="D202" s="87"/>
      <c r="E202" s="87"/>
      <c r="F202" s="87"/>
      <c r="G202" s="87"/>
      <c r="H202" s="87"/>
      <c r="I202" s="7"/>
      <c r="J202" s="8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spans="1:21" outlineLevel="1">
      <c r="A203" s="57"/>
      <c r="B203" s="87"/>
      <c r="C203" s="87"/>
      <c r="D203" s="87"/>
      <c r="E203" s="87"/>
      <c r="F203" s="87"/>
      <c r="G203" s="87"/>
      <c r="H203" s="87"/>
      <c r="I203" s="7"/>
      <c r="J203" s="8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 spans="1:21" outlineLevel="1">
      <c r="A204" s="7"/>
      <c r="B204" s="87"/>
      <c r="C204" s="87"/>
      <c r="D204" s="87"/>
      <c r="E204" s="87"/>
      <c r="F204" s="87"/>
      <c r="G204" s="87"/>
      <c r="H204" s="87"/>
      <c r="I204" s="7"/>
      <c r="J204" s="8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 spans="1:21" outlineLevel="1">
      <c r="A205" s="57"/>
      <c r="B205" s="87"/>
      <c r="C205" s="87"/>
      <c r="D205" s="87"/>
      <c r="E205" s="87"/>
      <c r="F205" s="87"/>
      <c r="G205" s="87"/>
      <c r="H205" s="87"/>
      <c r="I205" s="7"/>
      <c r="J205" s="8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</row>
    <row r="206" spans="1:21" outlineLevel="1">
      <c r="A206" s="57"/>
      <c r="B206" s="87"/>
      <c r="C206" s="87"/>
      <c r="D206" s="87"/>
      <c r="E206" s="87"/>
      <c r="F206" s="87"/>
      <c r="G206" s="87"/>
      <c r="H206" s="87"/>
      <c r="I206" s="7"/>
      <c r="J206" s="8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spans="1:21" outlineLevel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</row>
    <row r="208" spans="1:21" outlineLevel="1">
      <c r="A208" s="57"/>
      <c r="B208" s="7"/>
      <c r="C208" s="59"/>
      <c r="D208" s="59"/>
      <c r="E208" s="59"/>
      <c r="F208" s="59"/>
      <c r="G208" s="59"/>
      <c r="H208" s="59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spans="1:21" outlineLevel="1">
      <c r="A209" s="57"/>
      <c r="B209" s="7"/>
      <c r="C209" s="59"/>
      <c r="D209" s="59"/>
      <c r="E209" s="59"/>
      <c r="F209" s="59"/>
      <c r="G209" s="59"/>
      <c r="H209" s="59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 spans="1:21" outlineLevel="1">
      <c r="A210" s="57"/>
      <c r="B210" s="7"/>
      <c r="C210" s="59"/>
      <c r="D210" s="59"/>
      <c r="E210" s="59"/>
      <c r="F210" s="59"/>
      <c r="G210" s="59"/>
      <c r="H210" s="59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spans="1:21" outlineLevel="1">
      <c r="A211" s="57"/>
      <c r="B211" s="7"/>
      <c r="C211" s="59"/>
      <c r="D211" s="59"/>
      <c r="E211" s="59"/>
      <c r="F211" s="59"/>
      <c r="G211" s="59"/>
      <c r="H211" s="59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 spans="1:21" outlineLevel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spans="1:21" ht="18.75" outlineLevel="1">
      <c r="A213" s="84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spans="1:21" outlineLevel="1">
      <c r="A214" s="5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21" outlineLevel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spans="1:21" outlineLevel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spans="1:21" s="90" customFormat="1" outlineLevel="1">
      <c r="A217" s="89"/>
    </row>
    <row r="218" spans="1:21" outlineLevel="1">
      <c r="A218" s="5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 outlineLevel="1">
      <c r="A219" s="57"/>
      <c r="B219" s="7"/>
      <c r="C219" s="91"/>
      <c r="D219" s="91"/>
      <c r="E219" s="91"/>
      <c r="F219" s="91"/>
      <c r="G219" s="91"/>
      <c r="H219" s="91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</row>
    <row r="220" spans="1:21" outlineLevel="1">
      <c r="A220" s="57"/>
      <c r="B220" s="7"/>
      <c r="C220" s="91"/>
      <c r="D220" s="91"/>
      <c r="E220" s="91"/>
      <c r="F220" s="91"/>
      <c r="G220" s="91"/>
      <c r="H220" s="91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 spans="1:21" outlineLevel="1">
      <c r="A221" s="7"/>
      <c r="B221" s="7"/>
      <c r="C221" s="93"/>
      <c r="D221" s="93"/>
      <c r="E221" s="93"/>
      <c r="F221" s="93"/>
      <c r="G221" s="93"/>
      <c r="H221" s="93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</row>
    <row r="222" spans="1:21" outlineLevel="1">
      <c r="A222" s="5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21" outlineLevel="1">
      <c r="A223" s="89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 spans="1:21" outlineLevel="1">
      <c r="A224" s="94"/>
      <c r="B224" s="7"/>
      <c r="C224" s="59"/>
      <c r="D224" s="59"/>
      <c r="E224" s="59"/>
      <c r="F224" s="59"/>
      <c r="G224" s="59"/>
      <c r="H224" s="59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</row>
    <row r="225" spans="1:21" outlineLevel="1">
      <c r="A225" s="94"/>
      <c r="B225" s="7"/>
      <c r="C225" s="59"/>
      <c r="D225" s="59"/>
      <c r="E225" s="59"/>
      <c r="F225" s="59"/>
      <c r="G225" s="59"/>
      <c r="H225" s="59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 spans="1:21" outlineLevel="1">
      <c r="A226" s="94"/>
      <c r="B226" s="7"/>
      <c r="C226" s="59"/>
      <c r="D226" s="59"/>
      <c r="E226" s="59"/>
      <c r="F226" s="59"/>
      <c r="G226" s="59"/>
      <c r="H226" s="59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 outlineLevel="1">
      <c r="A227" s="94"/>
      <c r="B227" s="7"/>
      <c r="C227" s="59"/>
      <c r="D227" s="59"/>
      <c r="E227" s="59"/>
      <c r="F227" s="59"/>
      <c r="G227" s="59"/>
      <c r="H227" s="59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 spans="1:21" outlineLevel="1">
      <c r="A228" s="94"/>
      <c r="B228" s="7"/>
      <c r="C228" s="91"/>
      <c r="D228" s="91"/>
      <c r="E228" s="91"/>
      <c r="F228" s="91"/>
      <c r="G228" s="91"/>
      <c r="H228" s="91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spans="1:21" outlineLevel="1">
      <c r="A229" s="57"/>
      <c r="B229" s="7"/>
      <c r="C229" s="95"/>
      <c r="D229" s="95"/>
      <c r="E229" s="95"/>
      <c r="F229" s="95"/>
      <c r="G229" s="95"/>
      <c r="H229" s="95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 spans="1:21" outlineLevel="1">
      <c r="A230" s="94"/>
      <c r="B230" s="7"/>
      <c r="C230" s="96"/>
      <c r="D230" s="96"/>
      <c r="E230" s="96"/>
      <c r="F230" s="96"/>
      <c r="G230" s="96"/>
      <c r="H230" s="96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 outlineLevel="1">
      <c r="A231" s="94"/>
      <c r="B231" s="7"/>
      <c r="C231" s="96"/>
      <c r="D231" s="96"/>
      <c r="E231" s="96"/>
      <c r="F231" s="96"/>
      <c r="G231" s="96"/>
      <c r="H231" s="96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 spans="1:21" outlineLevel="1">
      <c r="A232" s="94"/>
      <c r="B232" s="7"/>
      <c r="C232" s="96"/>
      <c r="D232" s="96"/>
      <c r="E232" s="96"/>
      <c r="F232" s="96"/>
      <c r="G232" s="96"/>
      <c r="H232" s="96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 outlineLevel="1">
      <c r="A233" s="94"/>
      <c r="B233" s="7"/>
      <c r="C233" s="96"/>
      <c r="D233" s="96"/>
      <c r="E233" s="96"/>
      <c r="F233" s="96"/>
      <c r="G233" s="96"/>
      <c r="H233" s="96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</row>
    <row r="234" spans="1:21" outlineLevel="1">
      <c r="A234" s="94"/>
      <c r="B234" s="7"/>
      <c r="C234" s="95"/>
      <c r="D234" s="95"/>
      <c r="E234" s="95"/>
      <c r="F234" s="95"/>
      <c r="G234" s="95"/>
      <c r="H234" s="95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 spans="1:21" outlineLevel="1">
      <c r="A235" s="5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 spans="1:21" outlineLevel="1">
      <c r="A236" s="7"/>
      <c r="B236" s="7"/>
      <c r="C236" s="59"/>
      <c r="D236" s="59"/>
      <c r="E236" s="59"/>
      <c r="F236" s="59"/>
      <c r="G236" s="59"/>
      <c r="H236" s="59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 outlineLevel="1">
      <c r="A237" s="7"/>
      <c r="B237" s="7"/>
      <c r="C237" s="59"/>
      <c r="D237" s="59"/>
      <c r="E237" s="59"/>
      <c r="F237" s="59"/>
      <c r="G237" s="59"/>
      <c r="H237" s="59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 spans="1:21" outlineLevel="1">
      <c r="A238" s="7"/>
      <c r="B238" s="7"/>
      <c r="C238" s="59"/>
      <c r="D238" s="59"/>
      <c r="E238" s="59"/>
      <c r="F238" s="59"/>
      <c r="G238" s="59"/>
      <c r="H238" s="59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 spans="1:21" outlineLevel="1">
      <c r="A239" s="7"/>
      <c r="B239" s="97"/>
      <c r="C239" s="59"/>
      <c r="D239" s="59"/>
      <c r="E239" s="59"/>
      <c r="F239" s="59"/>
      <c r="G239" s="59"/>
      <c r="H239" s="59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</row>
    <row r="240" spans="1:21" outlineLevel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 outlineLevel="1">
      <c r="A241" s="5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 spans="1:21" outlineLevel="1">
      <c r="A242" s="7"/>
      <c r="B242" s="7"/>
      <c r="C242" s="91"/>
      <c r="D242" s="91"/>
      <c r="E242" s="91"/>
      <c r="F242" s="91"/>
      <c r="G242" s="91"/>
      <c r="H242" s="91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 spans="1:21" outlineLevel="1">
      <c r="A243" s="94"/>
      <c r="B243" s="7"/>
      <c r="C243" s="91"/>
      <c r="D243" s="91"/>
      <c r="E243" s="91"/>
      <c r="F243" s="91"/>
      <c r="G243" s="91"/>
      <c r="H243" s="91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 spans="1:21" outlineLevel="1">
      <c r="A244" s="94"/>
      <c r="B244" s="7"/>
      <c r="C244" s="91"/>
      <c r="D244" s="91"/>
      <c r="E244" s="91"/>
      <c r="F244" s="91"/>
      <c r="G244" s="91"/>
      <c r="H244" s="91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 outlineLevel="1">
      <c r="A245" s="94"/>
      <c r="B245" s="97"/>
      <c r="C245" s="91"/>
      <c r="D245" s="91"/>
      <c r="E245" s="91"/>
      <c r="F245" s="91"/>
      <c r="G245" s="91"/>
      <c r="H245" s="91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 spans="1:21" outlineLevel="1">
      <c r="A246" s="7"/>
      <c r="B246" s="7"/>
      <c r="C246" s="91"/>
      <c r="D246" s="91"/>
      <c r="E246" s="91"/>
      <c r="F246" s="91"/>
      <c r="G246" s="91"/>
      <c r="H246" s="91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spans="1:21" outlineLevel="1">
      <c r="A247" s="7"/>
      <c r="B247" s="7"/>
      <c r="C247" s="91"/>
      <c r="D247" s="91"/>
      <c r="E247" s="91"/>
      <c r="F247" s="91"/>
      <c r="G247" s="91"/>
      <c r="H247" s="91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</row>
    <row r="248" spans="1:21" outlineLevel="1">
      <c r="A248" s="7"/>
      <c r="B248" s="7"/>
      <c r="C248" s="91"/>
      <c r="D248" s="91"/>
      <c r="E248" s="91"/>
      <c r="F248" s="91"/>
      <c r="G248" s="91"/>
      <c r="H248" s="91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 outlineLevel="1">
      <c r="A249" s="7"/>
      <c r="B249" s="7"/>
      <c r="C249" s="91"/>
      <c r="D249" s="91"/>
      <c r="E249" s="91"/>
      <c r="F249" s="91"/>
      <c r="G249" s="91"/>
      <c r="H249" s="91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 spans="1:21" outlineLevel="1">
      <c r="A250" s="7"/>
      <c r="B250" s="7"/>
      <c r="C250" s="91"/>
      <c r="D250" s="91"/>
      <c r="E250" s="91"/>
      <c r="F250" s="91"/>
      <c r="G250" s="91"/>
      <c r="H250" s="91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spans="1:21" outlineLevel="1">
      <c r="A251" s="7"/>
      <c r="B251" s="7"/>
      <c r="C251" s="91"/>
      <c r="D251" s="91"/>
      <c r="E251" s="91"/>
      <c r="F251" s="91"/>
      <c r="G251" s="91"/>
      <c r="H251" s="91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</row>
    <row r="252" spans="1:21" outlineLevel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 outlineLevel="1">
      <c r="A253" s="57"/>
      <c r="B253" s="98"/>
      <c r="C253" s="98"/>
      <c r="D253" s="98"/>
      <c r="E253" s="98"/>
      <c r="F253" s="98"/>
      <c r="G253" s="98"/>
      <c r="H253" s="98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 spans="1:21" outlineLevel="1">
      <c r="A254" s="57"/>
      <c r="B254" s="97"/>
      <c r="C254" s="98"/>
      <c r="D254" s="98"/>
      <c r="E254" s="98"/>
      <c r="F254" s="98"/>
      <c r="G254" s="98"/>
      <c r="H254" s="98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 outlineLevel="1">
      <c r="A255" s="57"/>
      <c r="B255" s="98"/>
      <c r="C255" s="98"/>
      <c r="D255" s="98"/>
      <c r="E255" s="98"/>
      <c r="F255" s="98"/>
      <c r="G255" s="98"/>
      <c r="H255" s="98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 spans="1:21" outlineLevel="1">
      <c r="A256" s="57"/>
      <c r="B256" s="7"/>
      <c r="C256" s="98"/>
      <c r="D256" s="98"/>
      <c r="E256" s="98"/>
      <c r="F256" s="98"/>
      <c r="G256" s="98"/>
      <c r="H256" s="98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 outlineLevel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 spans="1:21" outlineLevel="1">
      <c r="A258" s="5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</row>
    <row r="259" spans="1:21" outlineLevel="1">
      <c r="A259" s="5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</row>
    <row r="260" spans="1:21" outlineLevel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 outlineLevel="1">
      <c r="A261" s="7"/>
      <c r="B261" s="7"/>
      <c r="C261" s="87"/>
      <c r="D261" s="87"/>
      <c r="E261" s="87"/>
      <c r="F261" s="87"/>
      <c r="G261" s="87"/>
      <c r="H261" s="8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</row>
    <row r="262" spans="1:21" outlineLevel="1">
      <c r="A262" s="7"/>
      <c r="B262" s="7"/>
      <c r="C262" s="98"/>
      <c r="D262" s="98"/>
      <c r="E262" s="98"/>
      <c r="F262" s="98"/>
      <c r="G262" s="98"/>
      <c r="H262" s="98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 outlineLevel="1">
      <c r="A263" s="7"/>
      <c r="B263" s="7"/>
      <c r="C263" s="99"/>
      <c r="D263" s="99"/>
      <c r="E263" s="99"/>
      <c r="F263" s="99"/>
      <c r="G263" s="99"/>
      <c r="H263" s="99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 spans="1:21" outlineLevel="1">
      <c r="A264" s="7"/>
      <c r="B264" s="7"/>
      <c r="C264" s="87"/>
      <c r="D264" s="87"/>
      <c r="E264" s="87"/>
      <c r="F264" s="87"/>
      <c r="G264" s="87"/>
      <c r="H264" s="8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 outlineLevel="1">
      <c r="A265" s="7"/>
      <c r="B265" s="7"/>
      <c r="C265" s="99"/>
      <c r="D265" s="99"/>
      <c r="E265" s="99"/>
      <c r="F265" s="99"/>
      <c r="G265" s="99"/>
      <c r="H265" s="99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 spans="1:21" outlineLevel="1">
      <c r="A266" s="7"/>
      <c r="B266" s="7"/>
      <c r="C266" s="100"/>
      <c r="D266" s="100"/>
      <c r="E266" s="100"/>
      <c r="F266" s="100"/>
      <c r="G266" s="100"/>
      <c r="H266" s="100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spans="1:21" outlineLevel="1">
      <c r="A267" s="7"/>
      <c r="B267" s="7"/>
      <c r="C267" s="100"/>
      <c r="D267" s="100"/>
      <c r="E267" s="100"/>
      <c r="F267" s="100"/>
      <c r="G267" s="100"/>
      <c r="H267" s="100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</row>
    <row r="268" spans="1:21" ht="18.75" hidden="1" outlineLevel="2">
      <c r="A268" s="84"/>
      <c r="B268" s="7"/>
      <c r="C268" s="100"/>
      <c r="D268" s="100"/>
      <c r="E268" s="100"/>
      <c r="F268" s="100"/>
      <c r="G268" s="100"/>
      <c r="H268" s="100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 hidden="1" outlineLevel="2">
      <c r="A269" s="57"/>
      <c r="B269" s="7"/>
      <c r="C269" s="100"/>
      <c r="D269" s="100"/>
      <c r="E269" s="100"/>
      <c r="F269" s="100"/>
      <c r="G269" s="100"/>
      <c r="H269" s="100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 spans="1:21" hidden="1" outlineLevel="2">
      <c r="A270" s="7"/>
      <c r="B270" s="7"/>
      <c r="C270" s="100"/>
      <c r="D270" s="100"/>
      <c r="E270" s="100"/>
      <c r="F270" s="100"/>
      <c r="G270" s="100"/>
      <c r="H270" s="100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spans="1:21" hidden="1" outlineLevel="2">
      <c r="A271" s="57"/>
      <c r="B271" s="11"/>
      <c r="C271" s="11"/>
      <c r="D271" s="10"/>
      <c r="E271" s="10"/>
      <c r="F271" s="11"/>
      <c r="G271" s="11"/>
      <c r="H271" s="10"/>
      <c r="I271" s="11"/>
      <c r="J271" s="11"/>
      <c r="K271" s="11"/>
      <c r="L271" s="10"/>
      <c r="M271" s="11"/>
      <c r="N271" s="11"/>
      <c r="O271" s="7"/>
      <c r="P271" s="7"/>
      <c r="Q271" s="7"/>
      <c r="R271" s="7"/>
      <c r="S271" s="7"/>
      <c r="T271" s="11"/>
      <c r="U271" s="7"/>
    </row>
    <row r="272" spans="1:21" hidden="1" outlineLevel="2">
      <c r="A272" s="5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5" hidden="1" outlineLevel="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 spans="1:25" hidden="1" outlineLevel="2">
      <c r="A274" s="7"/>
      <c r="B274" s="87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7"/>
      <c r="P274" s="7"/>
      <c r="Q274" s="7"/>
      <c r="R274" s="7"/>
      <c r="S274" s="7"/>
      <c r="T274" s="87"/>
      <c r="U274" s="7"/>
    </row>
    <row r="275" spans="1:25" hidden="1" outlineLevel="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 spans="1:25" hidden="1" outlineLevel="2">
      <c r="A276" s="7"/>
      <c r="B276" s="98"/>
      <c r="C276" s="98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7"/>
      <c r="P276" s="7"/>
      <c r="Q276" s="7"/>
      <c r="R276" s="7"/>
      <c r="S276" s="7"/>
      <c r="T276" s="87"/>
      <c r="U276" s="7"/>
    </row>
    <row r="277" spans="1:25" hidden="1" outlineLevel="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 spans="1:25" hidden="1" outlineLevel="2">
      <c r="A278" s="7"/>
      <c r="B278" s="8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7"/>
      <c r="P278" s="7"/>
      <c r="Q278" s="7"/>
      <c r="R278" s="7"/>
      <c r="S278" s="7"/>
      <c r="T278" s="87"/>
      <c r="U278" s="87"/>
      <c r="V278" s="87"/>
      <c r="W278" s="87"/>
      <c r="X278" s="87"/>
      <c r="Y278" s="87"/>
    </row>
    <row r="279" spans="1:25" hidden="1" outlineLevel="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 spans="1:25" hidden="1" outlineLevel="2">
      <c r="A280" s="7"/>
      <c r="B280" s="8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7"/>
      <c r="P280" s="7"/>
      <c r="Q280" s="7"/>
      <c r="R280" s="7"/>
      <c r="S280" s="7"/>
      <c r="T280" s="87"/>
      <c r="U280" s="7"/>
    </row>
    <row r="281" spans="1:25" hidden="1" outlineLevel="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</row>
    <row r="282" spans="1:25" hidden="1" outlineLevel="2">
      <c r="A282" s="7"/>
      <c r="B282" s="87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7"/>
      <c r="P282" s="7"/>
      <c r="Q282" s="7"/>
      <c r="R282" s="7"/>
      <c r="S282" s="7"/>
      <c r="T282" s="87"/>
      <c r="U282" s="87"/>
    </row>
    <row r="283" spans="1:25" hidden="1" outlineLevel="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 spans="1:25" hidden="1" outlineLevel="2">
      <c r="A284" s="7"/>
      <c r="B284" s="8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7"/>
      <c r="P284" s="7"/>
      <c r="Q284" s="7"/>
      <c r="R284" s="7"/>
      <c r="S284" s="7"/>
      <c r="T284" s="87"/>
      <c r="U284" s="87"/>
    </row>
    <row r="285" spans="1:25" hidden="1" outlineLevel="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 spans="1:25" outlineLevel="1" collapsed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5" outlineLevel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 spans="1:25" outlineLevel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 ht="18.75" outlineLevel="1">
      <c r="A289" s="8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</row>
    <row r="290" spans="1:21" outlineLevel="1">
      <c r="A290" s="5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 outlineLevel="1">
      <c r="A291" s="5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</row>
    <row r="292" spans="1:21" outlineLevel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 outlineLevel="1">
      <c r="A293" s="2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</row>
    <row r="294" spans="1:21" outlineLevel="1">
      <c r="A294" s="5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 outlineLevel="1">
      <c r="A295" s="86"/>
      <c r="B295" s="8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</row>
    <row r="296" spans="1:21" outlineLevel="1">
      <c r="A296" s="86"/>
      <c r="B296" s="8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</row>
    <row r="297" spans="1:21" outlineLevel="1">
      <c r="A297" s="86"/>
      <c r="B297" s="8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</row>
    <row r="298" spans="1:21" outlineLevel="1">
      <c r="A298" s="86"/>
      <c r="B298" s="8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</row>
    <row r="299" spans="1:21" outlineLevel="1">
      <c r="A299" s="86"/>
      <c r="B299" s="8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</row>
    <row r="300" spans="1:21" outlineLevel="1">
      <c r="A300" s="7"/>
      <c r="B300" s="8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</row>
    <row r="301" spans="1:21" outlineLevel="1">
      <c r="A301" s="57"/>
      <c r="B301" s="8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</row>
    <row r="302" spans="1:21" outlineLevel="1">
      <c r="A302" s="86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</row>
    <row r="303" spans="1:21" outlineLevel="1">
      <c r="A303" s="86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</row>
    <row r="304" spans="1:21" outlineLevel="1">
      <c r="A304" s="86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</row>
    <row r="305" spans="1:21" outlineLevel="1">
      <c r="A305" s="86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</row>
    <row r="306" spans="1:21" outlineLevel="1">
      <c r="A306" s="86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</row>
    <row r="307" spans="1:21" outlineLevel="1">
      <c r="A307" s="86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</row>
    <row r="308" spans="1:21" outlineLevel="1">
      <c r="A308" s="86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</row>
    <row r="309" spans="1:21" outlineLevel="1">
      <c r="A309" s="86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</row>
    <row r="310" spans="1:21" outlineLevel="1">
      <c r="A310" s="86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</row>
    <row r="311" spans="1:21" outlineLevel="1">
      <c r="A311" s="86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</row>
    <row r="312" spans="1:21" outlineLevel="1">
      <c r="A312" s="86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</row>
    <row r="313" spans="1:21" outlineLevel="1">
      <c r="A313" s="57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</row>
    <row r="314" spans="1:21" outlineLevel="1">
      <c r="A314" s="86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</row>
    <row r="315" spans="1:21" outlineLevel="1">
      <c r="A315" s="57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</row>
    <row r="316" spans="1:21" outlineLevel="1">
      <c r="A316" s="86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</row>
    <row r="317" spans="1:21" outlineLevel="1">
      <c r="A317" s="57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</row>
    <row r="318" spans="1:21" outlineLevel="1">
      <c r="A318" s="7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</row>
    <row r="319" spans="1:21" outlineLevel="1">
      <c r="A319" s="57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</row>
    <row r="320" spans="1:21" outlineLevel="1">
      <c r="A320" s="86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</row>
    <row r="321" spans="1:21" outlineLevel="1">
      <c r="A321" s="86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</row>
    <row r="322" spans="1:21" outlineLevel="1">
      <c r="A322" s="86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</row>
    <row r="323" spans="1:21" outlineLevel="1">
      <c r="A323" s="86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</row>
    <row r="324" spans="1:21" outlineLevel="1">
      <c r="A324" s="57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</row>
    <row r="325" spans="1:21" outlineLevel="1">
      <c r="A325" s="5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</row>
    <row r="326" spans="1:21" outlineLevel="1">
      <c r="A326" s="86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</row>
    <row r="327" spans="1:21" outlineLevel="1">
      <c r="A327" s="86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</row>
    <row r="328" spans="1:21" outlineLevel="1">
      <c r="A328" s="86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</row>
    <row r="329" spans="1:21" outlineLevel="1">
      <c r="A329" s="86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</row>
    <row r="330" spans="1:21" outlineLevel="1">
      <c r="A330" s="86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</row>
    <row r="331" spans="1:21" outlineLevel="1">
      <c r="A331" s="2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</row>
    <row r="332" spans="1:21" outlineLevel="1">
      <c r="A332" s="57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</row>
    <row r="333" spans="1:21" outlineLevel="1">
      <c r="A333" s="7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</row>
    <row r="334" spans="1:21" outlineLevel="1">
      <c r="A334" s="57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</row>
    <row r="335" spans="1:21" outlineLevel="1">
      <c r="A335" s="57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</row>
    <row r="336" spans="1:21" outlineLevel="1">
      <c r="A336" s="57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</row>
    <row r="337" spans="1:21" outlineLevel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</row>
    <row r="338" spans="1:21" outlineLevel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</row>
    <row r="339" spans="1:21" ht="18.75" outlineLevel="1">
      <c r="A339" s="8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</row>
    <row r="340" spans="1:21" outlineLevel="1">
      <c r="A340" s="5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</row>
    <row r="341" spans="1:21" outlineLevel="1">
      <c r="A341" s="5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</row>
    <row r="342" spans="1:21" outlineLevel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</row>
    <row r="343" spans="1:21" outlineLevel="1">
      <c r="A343" s="2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7"/>
      <c r="P343" s="7"/>
      <c r="Q343" s="7"/>
      <c r="R343" s="7"/>
      <c r="S343" s="7"/>
      <c r="T343" s="7"/>
      <c r="U343" s="7"/>
    </row>
    <row r="344" spans="1:21" outlineLevel="1">
      <c r="A344" s="5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</row>
    <row r="345" spans="1:21" outlineLevel="1">
      <c r="A345" s="86"/>
      <c r="B345" s="101"/>
      <c r="C345" s="101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7"/>
      <c r="P345" s="7"/>
      <c r="Q345" s="7"/>
      <c r="R345" s="7"/>
      <c r="S345" s="7"/>
      <c r="T345" s="7"/>
      <c r="U345" s="7"/>
    </row>
    <row r="346" spans="1:21" outlineLevel="1">
      <c r="A346" s="86"/>
      <c r="B346" s="101"/>
      <c r="C346" s="101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7"/>
      <c r="P346" s="7"/>
      <c r="Q346" s="7"/>
      <c r="R346" s="7"/>
      <c r="S346" s="7"/>
      <c r="T346" s="7"/>
      <c r="U346" s="7"/>
    </row>
    <row r="347" spans="1:21" outlineLevel="1">
      <c r="A347" s="86"/>
      <c r="B347" s="101"/>
      <c r="C347" s="101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7"/>
      <c r="P347" s="7"/>
      <c r="Q347" s="7"/>
      <c r="R347" s="7"/>
      <c r="S347" s="7"/>
      <c r="T347" s="7"/>
      <c r="U347" s="7"/>
    </row>
    <row r="348" spans="1:21" outlineLevel="1">
      <c r="A348" s="86"/>
      <c r="B348" s="101"/>
      <c r="C348" s="101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7"/>
      <c r="P348" s="7"/>
      <c r="Q348" s="7"/>
      <c r="R348" s="7"/>
      <c r="S348" s="7"/>
      <c r="T348" s="7"/>
      <c r="U348" s="7"/>
    </row>
    <row r="349" spans="1:21" outlineLevel="1">
      <c r="A349" s="86"/>
      <c r="B349" s="101"/>
      <c r="C349" s="101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7"/>
      <c r="P349" s="7"/>
      <c r="Q349" s="7"/>
      <c r="R349" s="7"/>
      <c r="S349" s="7"/>
      <c r="T349" s="7"/>
      <c r="U349" s="7"/>
    </row>
    <row r="350" spans="1:21" outlineLevel="1">
      <c r="A350" s="86"/>
      <c r="B350" s="101"/>
      <c r="C350" s="101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7"/>
      <c r="P350" s="7"/>
      <c r="Q350" s="7"/>
      <c r="R350" s="7"/>
      <c r="S350" s="7"/>
      <c r="T350" s="7"/>
      <c r="U350" s="7"/>
    </row>
    <row r="351" spans="1:21" outlineLevel="1">
      <c r="A351" s="57"/>
      <c r="B351" s="101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7"/>
      <c r="P351" s="7"/>
      <c r="Q351" s="7"/>
      <c r="R351" s="7"/>
      <c r="S351" s="7"/>
      <c r="T351" s="7"/>
      <c r="U351" s="7"/>
    </row>
    <row r="352" spans="1:21" outlineLevel="1">
      <c r="A352" s="86"/>
      <c r="B352" s="101"/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7"/>
      <c r="P352" s="7"/>
      <c r="Q352" s="7"/>
      <c r="R352" s="7"/>
      <c r="S352" s="7"/>
      <c r="T352" s="7"/>
      <c r="U352" s="7"/>
    </row>
    <row r="353" spans="1:21" outlineLevel="1">
      <c r="A353" s="86"/>
      <c r="B353" s="101"/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7"/>
      <c r="P353" s="7"/>
      <c r="Q353" s="7"/>
      <c r="R353" s="7"/>
      <c r="S353" s="7"/>
      <c r="T353" s="7"/>
      <c r="U353" s="7"/>
    </row>
    <row r="354" spans="1:21" outlineLevel="1">
      <c r="A354" s="86"/>
      <c r="B354" s="101"/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7"/>
      <c r="P354" s="7"/>
      <c r="Q354" s="7"/>
      <c r="R354" s="7"/>
      <c r="S354" s="7"/>
      <c r="T354" s="7"/>
      <c r="U354" s="7"/>
    </row>
    <row r="355" spans="1:21" outlineLevel="1">
      <c r="A355" s="86"/>
      <c r="B355" s="101"/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7"/>
      <c r="P355" s="7"/>
      <c r="Q355" s="7"/>
      <c r="R355" s="7"/>
      <c r="S355" s="7"/>
      <c r="T355" s="7"/>
      <c r="U355" s="7"/>
    </row>
    <row r="356" spans="1:21" outlineLevel="1">
      <c r="A356" s="86"/>
      <c r="B356" s="101"/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7"/>
      <c r="P356" s="7"/>
      <c r="Q356" s="7"/>
      <c r="R356" s="7"/>
      <c r="S356" s="7"/>
      <c r="T356" s="7"/>
      <c r="U356" s="7"/>
    </row>
    <row r="357" spans="1:21" outlineLevel="1">
      <c r="A357" s="86"/>
      <c r="B357" s="101"/>
      <c r="C357" s="101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7"/>
      <c r="P357" s="7"/>
      <c r="Q357" s="7"/>
      <c r="R357" s="7"/>
      <c r="S357" s="7"/>
      <c r="T357" s="7"/>
      <c r="U357" s="7"/>
    </row>
    <row r="358" spans="1:21" outlineLevel="1">
      <c r="A358" s="86"/>
      <c r="B358" s="101"/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7"/>
      <c r="P358" s="7"/>
      <c r="Q358" s="7"/>
      <c r="R358" s="7"/>
      <c r="S358" s="7"/>
      <c r="T358" s="7"/>
      <c r="U358" s="7"/>
    </row>
    <row r="359" spans="1:21" outlineLevel="1">
      <c r="A359" s="86"/>
      <c r="B359" s="101"/>
      <c r="C359" s="101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7"/>
      <c r="P359" s="7"/>
      <c r="Q359" s="7"/>
      <c r="R359" s="7"/>
      <c r="S359" s="7"/>
      <c r="T359" s="7"/>
      <c r="U359" s="7"/>
    </row>
    <row r="360" spans="1:21" outlineLevel="1">
      <c r="A360" s="86"/>
      <c r="B360" s="101"/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7"/>
      <c r="P360" s="7"/>
      <c r="Q360" s="7"/>
      <c r="R360" s="7"/>
      <c r="S360" s="7"/>
      <c r="T360" s="7"/>
      <c r="U360" s="7"/>
    </row>
    <row r="361" spans="1:21" outlineLevel="1">
      <c r="A361" s="86"/>
      <c r="B361" s="101"/>
      <c r="C361" s="101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7"/>
      <c r="P361" s="7"/>
      <c r="Q361" s="7"/>
      <c r="R361" s="7"/>
      <c r="S361" s="7"/>
      <c r="T361" s="7"/>
      <c r="U361" s="7"/>
    </row>
    <row r="362" spans="1:21" outlineLevel="1">
      <c r="A362" s="86"/>
      <c r="B362" s="101"/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7"/>
      <c r="P362" s="7"/>
      <c r="Q362" s="7"/>
      <c r="R362" s="7"/>
      <c r="S362" s="7"/>
      <c r="T362" s="7"/>
      <c r="U362" s="7"/>
    </row>
    <row r="363" spans="1:21" outlineLevel="1">
      <c r="A363" s="86"/>
      <c r="B363" s="101"/>
      <c r="C363" s="101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7"/>
      <c r="P363" s="7"/>
      <c r="Q363" s="7"/>
      <c r="R363" s="7"/>
      <c r="S363" s="7"/>
      <c r="T363" s="7"/>
      <c r="U363" s="7"/>
    </row>
    <row r="364" spans="1:21" outlineLevel="1">
      <c r="A364" s="57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7"/>
      <c r="P364" s="7"/>
      <c r="Q364" s="7"/>
      <c r="R364" s="7"/>
      <c r="S364" s="7"/>
      <c r="T364" s="7"/>
      <c r="U364" s="7"/>
    </row>
    <row r="365" spans="1:21" outlineLevel="1">
      <c r="A365" s="7"/>
      <c r="B365" s="101"/>
      <c r="C365" s="101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7"/>
      <c r="P365" s="7"/>
      <c r="Q365" s="7"/>
      <c r="R365" s="7"/>
      <c r="S365" s="7"/>
      <c r="T365" s="7"/>
      <c r="U365" s="7"/>
    </row>
    <row r="366" spans="1:21" outlineLevel="1">
      <c r="A366" s="86"/>
      <c r="B366" s="101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7"/>
      <c r="P366" s="7"/>
      <c r="Q366" s="7"/>
      <c r="R366" s="7"/>
      <c r="S366" s="7"/>
      <c r="T366" s="7"/>
      <c r="U366" s="7"/>
    </row>
    <row r="367" spans="1:21" outlineLevel="1">
      <c r="A367" s="57"/>
      <c r="B367" s="101"/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7"/>
      <c r="P367" s="7"/>
      <c r="Q367" s="7"/>
      <c r="R367" s="7"/>
      <c r="S367" s="7"/>
      <c r="T367" s="7"/>
      <c r="U367" s="7"/>
    </row>
    <row r="368" spans="1:21" outlineLevel="1">
      <c r="A368" s="86"/>
      <c r="B368" s="101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7"/>
      <c r="P368" s="7"/>
      <c r="Q368" s="7"/>
      <c r="R368" s="7"/>
      <c r="S368" s="7"/>
      <c r="T368" s="7"/>
      <c r="U368" s="7"/>
    </row>
    <row r="369" spans="1:21" outlineLevel="1">
      <c r="A369" s="57"/>
      <c r="B369" s="101"/>
      <c r="C369" s="101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7"/>
      <c r="P369" s="7"/>
      <c r="Q369" s="7"/>
      <c r="R369" s="7"/>
      <c r="S369" s="7"/>
      <c r="T369" s="7"/>
      <c r="U369" s="7"/>
    </row>
    <row r="370" spans="1:21" outlineLevel="1">
      <c r="A370" s="57"/>
      <c r="B370" s="101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7"/>
      <c r="P370" s="7"/>
      <c r="Q370" s="7"/>
      <c r="R370" s="7"/>
      <c r="S370" s="7"/>
      <c r="T370" s="7"/>
      <c r="U370" s="7"/>
    </row>
    <row r="371" spans="1:21" outlineLevel="1">
      <c r="A371" s="57"/>
      <c r="B371" s="101"/>
      <c r="C371" s="101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7"/>
      <c r="P371" s="7"/>
      <c r="Q371" s="7"/>
      <c r="R371" s="7"/>
      <c r="S371" s="7"/>
      <c r="T371" s="7"/>
      <c r="U371" s="7"/>
    </row>
    <row r="372" spans="1:21" outlineLevel="1">
      <c r="A372" s="57"/>
      <c r="B372" s="101"/>
      <c r="C372"/>
      <c r="D372"/>
      <c r="E372"/>
      <c r="F372"/>
      <c r="G372"/>
      <c r="H372"/>
      <c r="I372"/>
      <c r="J372" s="101"/>
      <c r="K372" s="101"/>
      <c r="L372" s="101"/>
      <c r="M372" s="101"/>
      <c r="N372" s="101"/>
      <c r="O372" s="7"/>
      <c r="P372" s="7"/>
      <c r="Q372" s="7"/>
      <c r="R372" s="7"/>
      <c r="S372" s="7"/>
      <c r="T372" s="7"/>
      <c r="U372" s="7"/>
    </row>
    <row r="373" spans="1:21" outlineLevel="1">
      <c r="A373" s="57"/>
      <c r="B373" s="101"/>
      <c r="C373"/>
      <c r="D373"/>
      <c r="E373"/>
      <c r="F373"/>
      <c r="G373"/>
      <c r="H373"/>
      <c r="I373"/>
      <c r="J373" s="101"/>
      <c r="K373" s="101"/>
      <c r="L373" s="101"/>
      <c r="M373" s="101"/>
      <c r="N373" s="101"/>
      <c r="O373" s="7"/>
      <c r="P373" s="7"/>
      <c r="Q373" s="7"/>
      <c r="R373" s="7"/>
      <c r="S373" s="7"/>
      <c r="T373" s="7"/>
      <c r="U373" s="7"/>
    </row>
    <row r="374" spans="1:21" outlineLevel="1">
      <c r="A374" s="57"/>
      <c r="B374" s="101"/>
      <c r="C374"/>
      <c r="D374"/>
      <c r="E374"/>
      <c r="F374"/>
      <c r="G374"/>
      <c r="H374"/>
      <c r="I374"/>
      <c r="J374" s="101"/>
      <c r="K374" s="101"/>
      <c r="L374" s="101"/>
      <c r="M374" s="101"/>
      <c r="N374" s="101"/>
      <c r="O374" s="7"/>
      <c r="P374" s="7"/>
      <c r="Q374" s="7"/>
      <c r="R374" s="7"/>
      <c r="S374" s="7"/>
      <c r="T374" s="7"/>
      <c r="U374" s="7"/>
    </row>
    <row r="375" spans="1:21" outlineLevel="1">
      <c r="A375" s="57"/>
      <c r="B375" s="101"/>
      <c r="C375"/>
      <c r="D375"/>
      <c r="E375"/>
      <c r="F375"/>
      <c r="G375"/>
      <c r="H375"/>
      <c r="I375"/>
      <c r="J375" s="101"/>
      <c r="K375" s="101"/>
      <c r="L375" s="101"/>
      <c r="M375" s="101"/>
      <c r="N375" s="101"/>
      <c r="O375" s="7"/>
      <c r="P375" s="7"/>
      <c r="Q375" s="7"/>
      <c r="R375" s="7"/>
      <c r="S375" s="7"/>
      <c r="T375" s="7"/>
      <c r="U375" s="7"/>
    </row>
    <row r="376" spans="1:21" outlineLevel="1">
      <c r="A376" s="57"/>
      <c r="B376" s="101"/>
      <c r="C376"/>
      <c r="D376"/>
      <c r="E376"/>
      <c r="F376"/>
      <c r="G376"/>
      <c r="H376"/>
      <c r="I376"/>
      <c r="J376" s="101"/>
      <c r="K376" s="101"/>
      <c r="L376" s="101"/>
      <c r="M376" s="101"/>
      <c r="N376" s="101"/>
      <c r="O376" s="7"/>
      <c r="P376" s="7"/>
      <c r="Q376" s="7"/>
      <c r="R376" s="7"/>
      <c r="S376" s="7"/>
      <c r="T376" s="7"/>
      <c r="U376" s="7"/>
    </row>
    <row r="377" spans="1:21" outlineLevel="1">
      <c r="A377" s="7"/>
      <c r="B377" s="101"/>
      <c r="C377"/>
      <c r="D377"/>
      <c r="E377"/>
      <c r="F377"/>
      <c r="G377"/>
      <c r="H377"/>
      <c r="I377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</row>
    <row r="378" spans="1:21" outlineLevel="1">
      <c r="A378" s="7"/>
      <c r="B378" s="101"/>
      <c r="C378"/>
      <c r="D378"/>
      <c r="E378"/>
      <c r="F378"/>
      <c r="G378"/>
      <c r="H378"/>
      <c r="I378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</row>
    <row r="379" spans="1:21" outlineLevel="1">
      <c r="A379" s="7"/>
      <c r="B379" s="101"/>
      <c r="C379"/>
      <c r="D379"/>
      <c r="E379"/>
      <c r="F379"/>
      <c r="G379"/>
      <c r="H379"/>
      <c r="I379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</row>
    <row r="380" spans="1:21" outlineLevel="1">
      <c r="A380" s="7"/>
      <c r="B380" s="101"/>
      <c r="C380"/>
      <c r="D380"/>
      <c r="E380"/>
      <c r="F380"/>
      <c r="G380"/>
      <c r="H380"/>
      <c r="I380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</row>
    <row r="381" spans="1:21" outlineLevel="1">
      <c r="A381" s="7"/>
      <c r="B381" s="101"/>
      <c r="C381"/>
      <c r="D381"/>
      <c r="E381"/>
      <c r="F381"/>
      <c r="G381"/>
      <c r="H381"/>
      <c r="I38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</row>
    <row r="382" spans="1:21" outlineLevel="1">
      <c r="A382" s="7"/>
      <c r="B382" s="101"/>
      <c r="C382"/>
      <c r="D382"/>
      <c r="E382"/>
      <c r="F382"/>
      <c r="G382"/>
      <c r="H382"/>
      <c r="I382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</row>
    <row r="383" spans="1:21" outlineLevel="1">
      <c r="A383" s="57"/>
      <c r="B383" s="101"/>
      <c r="C383"/>
      <c r="D383"/>
      <c r="E383"/>
      <c r="F383"/>
      <c r="G383"/>
      <c r="H383"/>
      <c r="I383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</row>
    <row r="384" spans="1:21" outlineLevel="1">
      <c r="A384" s="7"/>
      <c r="B384" s="101"/>
      <c r="C384"/>
      <c r="D384"/>
      <c r="E384"/>
      <c r="F384"/>
      <c r="G384"/>
      <c r="H384"/>
      <c r="I384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</row>
    <row r="385" spans="1:21" outlineLevel="1">
      <c r="A385" s="7"/>
      <c r="B385" s="101"/>
      <c r="C385"/>
      <c r="D385"/>
      <c r="E385"/>
      <c r="F385"/>
      <c r="G385"/>
      <c r="H385"/>
      <c r="I385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</row>
    <row r="386" spans="1:21" outlineLevel="1">
      <c r="A386" s="57"/>
      <c r="B386" s="101"/>
      <c r="C386"/>
      <c r="D386"/>
      <c r="E386"/>
      <c r="F386"/>
      <c r="G386"/>
      <c r="H386"/>
      <c r="I386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</row>
    <row r="387" spans="1:21" outlineLevel="1">
      <c r="A387" s="57"/>
      <c r="B387" s="101"/>
      <c r="C387"/>
      <c r="D387"/>
      <c r="E387"/>
      <c r="F387"/>
      <c r="G387"/>
      <c r="H387"/>
      <c r="I387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</row>
    <row r="388" spans="1:21" outlineLevel="1">
      <c r="A388" s="7"/>
      <c r="B388" s="101"/>
      <c r="C388"/>
      <c r="D388"/>
      <c r="E388"/>
      <c r="F388"/>
      <c r="G388"/>
      <c r="H388"/>
      <c r="I388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</row>
    <row r="389" spans="1:21" outlineLevel="1">
      <c r="A389" s="7"/>
      <c r="B389" s="101"/>
      <c r="C389"/>
      <c r="D389"/>
      <c r="E389"/>
      <c r="F389"/>
      <c r="G389"/>
      <c r="H389"/>
      <c r="I389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</row>
    <row r="390" spans="1:21" outlineLevel="1">
      <c r="A390" s="7"/>
      <c r="B390" s="101"/>
      <c r="C390"/>
      <c r="D390"/>
      <c r="E390"/>
      <c r="F390"/>
      <c r="G390"/>
      <c r="H390"/>
      <c r="I390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</row>
    <row r="391" spans="1:21" outlineLevel="1">
      <c r="A391" s="7"/>
      <c r="B391" s="101"/>
      <c r="C391"/>
      <c r="D391"/>
      <c r="E391"/>
      <c r="F391"/>
      <c r="G391"/>
      <c r="H391"/>
      <c r="I39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</row>
    <row r="392" spans="1:21" outlineLevel="1">
      <c r="A392" s="7"/>
      <c r="B392" s="101"/>
      <c r="C392"/>
      <c r="D392"/>
      <c r="E392"/>
      <c r="F392"/>
      <c r="G392"/>
      <c r="H392"/>
      <c r="I392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</row>
    <row r="393" spans="1:21" outlineLevel="1">
      <c r="A393" s="7"/>
      <c r="B393" s="101"/>
      <c r="C393"/>
      <c r="D393"/>
      <c r="E393"/>
      <c r="F393"/>
      <c r="G393"/>
      <c r="H393"/>
      <c r="I393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</row>
    <row r="394" spans="1:21" outlineLevel="1">
      <c r="A394" s="7"/>
      <c r="B394" s="101"/>
      <c r="C394"/>
      <c r="D394"/>
      <c r="E394"/>
      <c r="F394"/>
      <c r="G394"/>
      <c r="H394"/>
      <c r="I394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</row>
    <row r="395" spans="1:21" outlineLevel="1">
      <c r="A395" s="7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7"/>
      <c r="P395" s="7"/>
      <c r="Q395" s="7"/>
      <c r="R395" s="7"/>
      <c r="S395" s="7"/>
      <c r="T395" s="7"/>
      <c r="U395" s="7"/>
    </row>
    <row r="396" spans="1:21" outlineLevel="1">
      <c r="A396" s="57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7"/>
      <c r="P396" s="7"/>
      <c r="Q396" s="7"/>
      <c r="R396" s="7"/>
      <c r="S396" s="7"/>
      <c r="T396" s="7"/>
      <c r="U396" s="7"/>
    </row>
    <row r="397" spans="1:21" outlineLevel="1">
      <c r="A397" s="57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7"/>
      <c r="P397" s="7"/>
      <c r="Q397" s="7"/>
      <c r="R397" s="7"/>
      <c r="S397" s="7"/>
      <c r="T397" s="7"/>
      <c r="U397" s="7"/>
    </row>
    <row r="398" spans="1:21" outlineLevel="1">
      <c r="A398" s="57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7"/>
      <c r="P398" s="7"/>
      <c r="Q398" s="7"/>
      <c r="R398" s="7"/>
      <c r="S398" s="7"/>
      <c r="T398" s="7"/>
      <c r="U398" s="7"/>
    </row>
    <row r="399" spans="1:21" outlineLevel="1">
      <c r="A399" s="57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7"/>
      <c r="P399" s="7"/>
      <c r="Q399" s="7"/>
      <c r="R399" s="7"/>
      <c r="S399" s="7"/>
      <c r="T399" s="7"/>
      <c r="U399" s="7"/>
    </row>
    <row r="400" spans="1:21" outlineLevel="1">
      <c r="A400" s="57"/>
      <c r="B400" s="102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7"/>
      <c r="P400" s="7"/>
      <c r="Q400" s="7"/>
      <c r="R400" s="7"/>
      <c r="S400" s="7"/>
      <c r="T400" s="7"/>
      <c r="U400" s="7"/>
    </row>
    <row r="401" spans="1:21" outlineLevel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</row>
    <row r="402" spans="1:21" ht="18.75" outlineLevel="1">
      <c r="A402" s="84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</row>
    <row r="403" spans="1:21" outlineLevel="1">
      <c r="A403" s="5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</row>
    <row r="404" spans="1:21" outlineLevel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</row>
    <row r="405" spans="1:21" outlineLevel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</row>
    <row r="406" spans="1:21" outlineLevel="1">
      <c r="A406" s="2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</row>
    <row r="407" spans="1:21" outlineLevel="1">
      <c r="A407" s="7"/>
      <c r="B407" s="7"/>
      <c r="C407" s="73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</row>
    <row r="408" spans="1:21" outlineLevel="1">
      <c r="A408" s="57"/>
      <c r="B408" s="7"/>
      <c r="C408" s="73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7"/>
      <c r="P408" s="7"/>
      <c r="Q408" s="7"/>
      <c r="R408" s="7"/>
      <c r="S408" s="7"/>
      <c r="T408" s="7"/>
      <c r="U408" s="7"/>
    </row>
    <row r="409" spans="1:21" outlineLevel="1">
      <c r="A409" s="7"/>
      <c r="B409" s="7"/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"/>
      <c r="P409" s="7"/>
      <c r="Q409" s="7"/>
      <c r="R409" s="7"/>
      <c r="S409" s="7"/>
      <c r="T409" s="7"/>
      <c r="U409" s="7"/>
    </row>
    <row r="410" spans="1:21" outlineLevel="1">
      <c r="A410" s="7"/>
      <c r="B410" s="7"/>
      <c r="C410" s="73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7"/>
      <c r="P410" s="7"/>
      <c r="Q410" s="7"/>
      <c r="R410" s="7"/>
      <c r="S410" s="7"/>
      <c r="T410" s="7"/>
      <c r="U410" s="7"/>
    </row>
    <row r="411" spans="1:21" outlineLevel="1">
      <c r="A411" s="7"/>
      <c r="B411" s="7"/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"/>
      <c r="P411" s="7"/>
      <c r="Q411" s="7"/>
      <c r="R411" s="7"/>
      <c r="S411" s="7"/>
      <c r="T411" s="7"/>
      <c r="U411" s="7"/>
    </row>
    <row r="412" spans="1:21" outlineLevel="1">
      <c r="A412" s="7"/>
      <c r="B412" s="7"/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"/>
      <c r="P412" s="7"/>
      <c r="Q412" s="7"/>
      <c r="R412" s="7"/>
      <c r="S412" s="7"/>
      <c r="T412" s="7"/>
      <c r="U412" s="7"/>
    </row>
    <row r="413" spans="1:21" outlineLevel="1">
      <c r="A413" s="94"/>
      <c r="B413" s="7"/>
      <c r="C413" s="73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7"/>
      <c r="P413" s="7"/>
      <c r="Q413" s="7"/>
      <c r="R413" s="7"/>
      <c r="S413" s="7"/>
      <c r="T413" s="7"/>
      <c r="U413" s="7"/>
    </row>
    <row r="414" spans="1:21" outlineLevel="1">
      <c r="A414" s="94"/>
      <c r="B414" s="7"/>
      <c r="C414" s="73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7"/>
      <c r="P414" s="7"/>
      <c r="Q414" s="7"/>
      <c r="R414" s="7"/>
      <c r="S414" s="7"/>
      <c r="T414" s="7"/>
      <c r="U414" s="7"/>
    </row>
    <row r="415" spans="1:21" outlineLevel="1">
      <c r="A415" s="57"/>
      <c r="B415" s="7"/>
      <c r="C415" s="73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</row>
    <row r="416" spans="1:21" outlineLevel="1">
      <c r="A416" s="7"/>
      <c r="B416" s="102"/>
      <c r="C416" s="103"/>
      <c r="D416" s="103"/>
      <c r="E416" s="103"/>
      <c r="F416" s="103"/>
      <c r="G416" s="103"/>
      <c r="H416" s="103"/>
      <c r="I416" s="103"/>
      <c r="J416" s="103"/>
      <c r="K416" s="103"/>
      <c r="L416" s="103"/>
      <c r="M416" s="103"/>
      <c r="N416" s="103"/>
      <c r="O416" s="7"/>
      <c r="P416" s="7"/>
      <c r="Q416" s="7"/>
      <c r="R416" s="7"/>
      <c r="S416" s="7"/>
      <c r="T416" s="7"/>
      <c r="U416" s="7"/>
    </row>
    <row r="417" spans="1:21" outlineLevel="1">
      <c r="A417" s="7"/>
      <c r="B417" s="7"/>
      <c r="C417" s="73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</row>
    <row r="418" spans="1:21" outlineLevel="1">
      <c r="A418" s="57"/>
      <c r="B418" s="7"/>
      <c r="C418" s="73"/>
      <c r="D418" s="98"/>
      <c r="E418" s="98"/>
      <c r="F418" s="98"/>
      <c r="G418" s="98"/>
      <c r="H418" s="98"/>
      <c r="I418" s="98"/>
      <c r="J418" s="98"/>
      <c r="K418" s="98"/>
      <c r="L418" s="98"/>
      <c r="M418" s="98"/>
      <c r="N418" s="98"/>
      <c r="O418" s="7"/>
      <c r="P418" s="7"/>
      <c r="Q418" s="7"/>
      <c r="R418" s="7"/>
      <c r="S418" s="7"/>
      <c r="T418" s="7"/>
      <c r="U418" s="7"/>
    </row>
    <row r="419" spans="1:21" outlineLevel="1">
      <c r="A419" s="7"/>
      <c r="B419" s="7"/>
      <c r="C419" s="73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7"/>
      <c r="P419" s="7"/>
      <c r="Q419" s="7"/>
      <c r="R419" s="7"/>
      <c r="S419" s="7"/>
      <c r="T419" s="7"/>
      <c r="U419" s="7"/>
    </row>
    <row r="420" spans="1:21" outlineLevel="1">
      <c r="A420" s="57"/>
      <c r="B420" s="7"/>
      <c r="C420" s="73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7"/>
      <c r="P420" s="7"/>
      <c r="Q420" s="7"/>
      <c r="R420" s="7"/>
      <c r="S420" s="7"/>
      <c r="T420" s="7"/>
      <c r="U420" s="7"/>
    </row>
    <row r="421" spans="1:21" outlineLevel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</row>
    <row r="422" spans="1:21" outlineLevel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</row>
    <row r="423" spans="1:21" s="106" customFormat="1" ht="18.75" outlineLevel="1">
      <c r="A423" s="104"/>
      <c r="B423" s="105"/>
      <c r="C423" s="105"/>
    </row>
    <row r="424" spans="1:21" s="106" customFormat="1" outlineLevel="1">
      <c r="A424" s="105"/>
      <c r="B424" s="107"/>
      <c r="C424" s="108"/>
      <c r="D424" s="105"/>
      <c r="E424" s="109"/>
    </row>
    <row r="425" spans="1:21" s="106" customFormat="1" outlineLevel="1">
      <c r="A425" s="105"/>
      <c r="B425" s="110"/>
      <c r="C425" s="88"/>
      <c r="D425" s="88"/>
      <c r="E425" s="109"/>
    </row>
    <row r="426" spans="1:21" s="106" customFormat="1" outlineLevel="1">
      <c r="A426" s="105"/>
      <c r="B426" s="88"/>
      <c r="C426" s="109"/>
      <c r="D426" s="88"/>
      <c r="E426" s="110"/>
    </row>
    <row r="427" spans="1:21" s="106" customFormat="1" outlineLevel="1">
      <c r="A427" s="111"/>
      <c r="B427" s="107"/>
      <c r="C427" s="107"/>
      <c r="D427" s="107"/>
      <c r="E427" s="107"/>
      <c r="F427" s="107"/>
      <c r="G427" s="107"/>
      <c r="H427" s="107"/>
      <c r="I427" s="107"/>
      <c r="J427" s="107"/>
      <c r="K427" s="107"/>
      <c r="L427" s="107"/>
      <c r="M427" s="107"/>
      <c r="N427" s="107"/>
      <c r="O427" s="107"/>
      <c r="P427" s="107"/>
      <c r="Q427" s="107"/>
      <c r="R427" s="107"/>
      <c r="S427" s="107"/>
      <c r="T427" s="107"/>
      <c r="U427" s="107"/>
    </row>
    <row r="428" spans="1:21" s="106" customFormat="1" outlineLevel="1">
      <c r="A428" s="80"/>
      <c r="B428" s="105"/>
      <c r="C428" s="112"/>
      <c r="D428" s="112"/>
      <c r="E428" s="112"/>
      <c r="F428" s="112"/>
      <c r="G428" s="112"/>
      <c r="H428" s="112"/>
      <c r="I428" s="112"/>
      <c r="J428" s="112"/>
      <c r="K428" s="112"/>
      <c r="L428" s="112"/>
      <c r="M428" s="112"/>
      <c r="N428" s="112"/>
      <c r="O428" s="112"/>
      <c r="P428" s="112"/>
      <c r="Q428" s="112"/>
      <c r="R428" s="112"/>
      <c r="S428" s="112"/>
      <c r="T428" s="112"/>
      <c r="U428" s="112"/>
    </row>
    <row r="429" spans="1:21" s="106" customFormat="1" outlineLevel="1">
      <c r="A429" s="79"/>
      <c r="B429" s="112"/>
      <c r="C429" s="112"/>
      <c r="D429" s="112"/>
      <c r="E429" s="112"/>
      <c r="F429" s="112"/>
      <c r="G429" s="112"/>
      <c r="H429" s="112"/>
      <c r="I429" s="112"/>
      <c r="J429" s="112"/>
      <c r="K429" s="112"/>
      <c r="L429" s="112"/>
      <c r="M429" s="112"/>
      <c r="N429" s="112"/>
      <c r="O429" s="112"/>
      <c r="P429" s="112"/>
      <c r="Q429" s="112"/>
      <c r="R429" s="112"/>
      <c r="S429" s="112"/>
      <c r="T429" s="112"/>
      <c r="U429" s="112"/>
    </row>
    <row r="430" spans="1:21" s="106" customFormat="1" outlineLevel="1">
      <c r="A430" s="79"/>
      <c r="B430" s="112"/>
      <c r="C430" s="112"/>
      <c r="D430" s="112"/>
      <c r="E430" s="112"/>
      <c r="F430" s="112"/>
      <c r="G430" s="112"/>
      <c r="H430" s="112"/>
      <c r="I430" s="112"/>
      <c r="J430" s="112"/>
      <c r="K430" s="112"/>
      <c r="L430" s="112"/>
      <c r="M430" s="112"/>
      <c r="N430" s="112"/>
      <c r="O430" s="112"/>
      <c r="P430" s="112"/>
      <c r="Q430" s="112"/>
      <c r="R430" s="112"/>
      <c r="S430" s="112"/>
      <c r="T430" s="112"/>
      <c r="U430" s="112"/>
    </row>
    <row r="431" spans="1:21" s="106" customFormat="1" outlineLevel="1">
      <c r="A431" s="79"/>
      <c r="B431" s="112"/>
      <c r="C431" s="112"/>
      <c r="D431" s="112"/>
      <c r="E431" s="112"/>
      <c r="F431" s="112"/>
      <c r="G431" s="112"/>
      <c r="H431" s="112"/>
      <c r="I431" s="112"/>
      <c r="J431" s="112"/>
      <c r="K431" s="112"/>
      <c r="L431" s="112"/>
      <c r="M431" s="112"/>
      <c r="N431" s="112"/>
      <c r="O431" s="112"/>
      <c r="P431" s="112"/>
      <c r="Q431" s="112"/>
      <c r="R431" s="112"/>
      <c r="S431" s="112"/>
      <c r="T431" s="112"/>
      <c r="U431" s="112"/>
    </row>
    <row r="432" spans="1:21" s="106" customFormat="1" outlineLevel="1">
      <c r="A432" s="78"/>
      <c r="B432" s="112"/>
      <c r="C432" s="112"/>
      <c r="D432" s="112"/>
      <c r="E432" s="112"/>
      <c r="F432" s="112"/>
      <c r="G432" s="112"/>
      <c r="H432" s="112"/>
      <c r="I432" s="112"/>
      <c r="J432" s="112"/>
      <c r="K432" s="112"/>
      <c r="L432" s="112"/>
      <c r="M432" s="112"/>
      <c r="N432" s="112"/>
      <c r="O432" s="112"/>
      <c r="P432" s="112"/>
      <c r="Q432" s="112"/>
      <c r="R432" s="112"/>
      <c r="S432" s="112"/>
      <c r="T432" s="112"/>
      <c r="U432" s="112"/>
    </row>
    <row r="433" spans="1:21" s="106" customFormat="1" outlineLevel="1">
      <c r="A433" s="69"/>
      <c r="B433" s="112"/>
      <c r="C433" s="112"/>
      <c r="D433" s="112"/>
      <c r="E433" s="112"/>
      <c r="F433" s="112"/>
      <c r="G433" s="112"/>
      <c r="H433" s="112"/>
      <c r="I433" s="112"/>
      <c r="J433" s="112"/>
      <c r="K433" s="112"/>
      <c r="L433" s="112"/>
      <c r="M433" s="112"/>
      <c r="N433" s="112"/>
      <c r="O433" s="112"/>
      <c r="P433" s="112"/>
      <c r="Q433" s="112"/>
      <c r="R433" s="112"/>
      <c r="S433" s="112"/>
      <c r="T433" s="112"/>
      <c r="U433" s="112"/>
    </row>
    <row r="434" spans="1:21" s="106" customFormat="1" outlineLevel="1">
      <c r="A434" s="80"/>
      <c r="B434" s="112"/>
      <c r="C434" s="112"/>
      <c r="D434" s="112"/>
      <c r="E434" s="112"/>
      <c r="F434" s="112"/>
      <c r="G434" s="112"/>
      <c r="H434" s="112"/>
      <c r="I434" s="112"/>
      <c r="J434" s="112"/>
      <c r="K434" s="112"/>
      <c r="L434" s="112"/>
      <c r="M434" s="112"/>
      <c r="N434" s="112"/>
      <c r="O434" s="112"/>
      <c r="P434" s="112"/>
      <c r="Q434" s="112"/>
      <c r="R434" s="112"/>
      <c r="S434" s="112"/>
      <c r="T434" s="112"/>
      <c r="U434" s="112"/>
    </row>
    <row r="435" spans="1:21" s="106" customFormat="1" outlineLevel="1">
      <c r="A435" s="113"/>
      <c r="B435" s="112"/>
      <c r="C435" s="112"/>
      <c r="D435" s="112"/>
      <c r="E435" s="112"/>
      <c r="F435" s="112"/>
      <c r="G435" s="112"/>
      <c r="H435" s="112"/>
      <c r="I435" s="112"/>
      <c r="J435" s="112"/>
      <c r="K435" s="112"/>
      <c r="L435" s="112"/>
      <c r="M435" s="112"/>
      <c r="N435" s="112"/>
      <c r="O435" s="112"/>
      <c r="P435" s="112"/>
      <c r="Q435" s="112"/>
      <c r="R435" s="112"/>
      <c r="S435" s="112"/>
      <c r="T435" s="112"/>
      <c r="U435" s="112"/>
    </row>
    <row r="436" spans="1:21" s="106" customFormat="1" outlineLevel="1">
      <c r="A436" s="113"/>
      <c r="B436" s="112"/>
      <c r="C436" s="112"/>
      <c r="D436" s="112"/>
      <c r="E436" s="112"/>
      <c r="F436" s="112"/>
      <c r="G436" s="112"/>
      <c r="H436" s="112"/>
      <c r="I436" s="112"/>
      <c r="J436" s="112"/>
      <c r="K436" s="112"/>
      <c r="L436" s="112"/>
      <c r="M436" s="112"/>
      <c r="N436" s="112"/>
      <c r="O436" s="112"/>
      <c r="P436" s="112"/>
      <c r="Q436" s="112"/>
      <c r="R436" s="112"/>
      <c r="S436" s="112"/>
      <c r="T436" s="112"/>
      <c r="U436" s="112"/>
    </row>
    <row r="437" spans="1:21" s="106" customFormat="1" outlineLevel="1">
      <c r="A437" s="113"/>
      <c r="B437" s="112"/>
      <c r="C437" s="112"/>
      <c r="D437" s="112"/>
      <c r="E437" s="112"/>
      <c r="F437" s="112"/>
      <c r="G437" s="112"/>
      <c r="H437" s="112"/>
      <c r="I437" s="112"/>
      <c r="J437" s="112"/>
      <c r="K437" s="112"/>
      <c r="L437" s="112"/>
      <c r="M437" s="112"/>
      <c r="N437" s="112"/>
      <c r="O437" s="112"/>
      <c r="P437" s="112"/>
      <c r="Q437" s="112"/>
      <c r="R437" s="112"/>
      <c r="S437" s="112"/>
      <c r="T437" s="112"/>
      <c r="U437" s="112"/>
    </row>
    <row r="438" spans="1:21" s="106" customFormat="1" outlineLevel="1">
      <c r="A438" s="113"/>
      <c r="B438" s="112"/>
      <c r="C438" s="112"/>
      <c r="D438" s="112"/>
      <c r="E438" s="112"/>
      <c r="F438" s="112"/>
      <c r="G438" s="112"/>
      <c r="H438" s="112"/>
      <c r="I438" s="112"/>
      <c r="J438" s="112"/>
      <c r="K438" s="112"/>
      <c r="L438" s="112"/>
      <c r="M438" s="112"/>
      <c r="N438" s="112"/>
      <c r="O438" s="112"/>
      <c r="P438" s="112"/>
      <c r="Q438" s="112"/>
      <c r="R438" s="112"/>
      <c r="S438" s="112"/>
      <c r="T438" s="112"/>
      <c r="U438" s="112"/>
    </row>
    <row r="439" spans="1:21" s="106" customFormat="1" outlineLevel="1">
      <c r="A439" s="113"/>
      <c r="B439" s="112"/>
      <c r="C439" s="112"/>
      <c r="D439" s="112"/>
      <c r="E439" s="112"/>
      <c r="F439" s="112"/>
      <c r="G439" s="112"/>
      <c r="H439" s="112"/>
      <c r="I439" s="112"/>
      <c r="J439" s="112"/>
      <c r="K439" s="112"/>
      <c r="L439" s="112"/>
      <c r="M439" s="112"/>
      <c r="N439" s="112"/>
      <c r="O439" s="112"/>
      <c r="P439" s="112"/>
      <c r="Q439" s="112"/>
      <c r="R439" s="112"/>
      <c r="S439" s="112"/>
      <c r="T439" s="112"/>
      <c r="U439" s="112"/>
    </row>
    <row r="440" spans="1:21" s="106" customFormat="1" outlineLevel="1">
      <c r="A440" s="83"/>
      <c r="B440" s="112"/>
      <c r="C440" s="112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2"/>
      <c r="Q440" s="112"/>
      <c r="R440" s="112"/>
      <c r="S440" s="112"/>
      <c r="T440" s="112"/>
      <c r="U440" s="112"/>
    </row>
    <row r="441" spans="1:21" s="106" customFormat="1" outlineLevel="1">
      <c r="A441" s="113"/>
      <c r="B441" s="112"/>
      <c r="C441" s="112"/>
      <c r="D441" s="112"/>
      <c r="E441" s="112"/>
      <c r="F441" s="112"/>
      <c r="G441" s="112"/>
      <c r="H441" s="112"/>
      <c r="I441" s="112"/>
      <c r="J441" s="112"/>
      <c r="K441" s="112"/>
      <c r="L441" s="112"/>
      <c r="M441" s="112"/>
      <c r="N441" s="112"/>
      <c r="O441" s="112"/>
      <c r="P441" s="112"/>
      <c r="Q441" s="112"/>
      <c r="R441" s="112"/>
      <c r="S441" s="112"/>
      <c r="T441" s="112"/>
      <c r="U441" s="112"/>
    </row>
    <row r="442" spans="1:21" s="106" customFormat="1" outlineLevel="1">
      <c r="A442" s="113"/>
      <c r="B442" s="112"/>
      <c r="C442" s="112"/>
      <c r="D442" s="112"/>
      <c r="E442" s="112"/>
      <c r="F442" s="112"/>
      <c r="G442" s="112"/>
      <c r="H442" s="112"/>
      <c r="I442" s="112"/>
      <c r="J442" s="112"/>
      <c r="K442" s="112"/>
      <c r="L442" s="112"/>
      <c r="M442" s="112"/>
      <c r="N442" s="112"/>
      <c r="O442" s="112"/>
      <c r="P442" s="112"/>
      <c r="Q442" s="112"/>
      <c r="R442" s="112"/>
      <c r="S442" s="112"/>
      <c r="T442" s="112"/>
      <c r="U442" s="112"/>
    </row>
    <row r="443" spans="1:21" s="106" customFormat="1" outlineLevel="1">
      <c r="A443" s="113"/>
      <c r="B443" s="112"/>
      <c r="C443" s="112"/>
      <c r="D443" s="112"/>
      <c r="E443" s="112"/>
      <c r="F443" s="112"/>
      <c r="G443" s="112"/>
      <c r="H443" s="112"/>
      <c r="I443" s="112"/>
      <c r="J443" s="112"/>
      <c r="K443" s="112"/>
      <c r="L443" s="112"/>
      <c r="M443" s="112"/>
      <c r="N443" s="112"/>
      <c r="O443" s="112"/>
      <c r="P443" s="112"/>
      <c r="Q443" s="112"/>
      <c r="R443" s="112"/>
      <c r="S443" s="112"/>
      <c r="T443" s="112"/>
      <c r="U443" s="112"/>
    </row>
    <row r="444" spans="1:21" s="106" customFormat="1" outlineLevel="1">
      <c r="A444" s="113"/>
      <c r="B444" s="112"/>
      <c r="C444" s="112"/>
      <c r="D444" s="112"/>
      <c r="E444" s="112"/>
      <c r="F444" s="112"/>
      <c r="G444" s="112"/>
      <c r="H444" s="112"/>
      <c r="I444" s="112"/>
      <c r="J444" s="112"/>
      <c r="K444" s="112"/>
      <c r="L444" s="112"/>
      <c r="M444" s="112"/>
      <c r="N444" s="112"/>
      <c r="O444" s="112"/>
      <c r="P444" s="112"/>
      <c r="Q444" s="112"/>
      <c r="R444" s="112"/>
      <c r="S444" s="112"/>
      <c r="T444" s="112"/>
      <c r="U444" s="112"/>
    </row>
    <row r="445" spans="1:21" s="106" customFormat="1" outlineLevel="1">
      <c r="A445" s="113"/>
      <c r="B445" s="112"/>
      <c r="C445" s="112"/>
      <c r="D445" s="112"/>
      <c r="E445" s="112"/>
      <c r="F445" s="112"/>
      <c r="G445" s="112"/>
      <c r="H445" s="112"/>
      <c r="I445" s="112"/>
      <c r="J445" s="112"/>
      <c r="K445" s="112"/>
      <c r="L445" s="112"/>
      <c r="M445" s="112"/>
      <c r="N445" s="112"/>
      <c r="O445" s="112"/>
      <c r="P445" s="112"/>
      <c r="Q445" s="112"/>
      <c r="R445" s="112"/>
      <c r="S445" s="112"/>
      <c r="T445" s="112"/>
      <c r="U445" s="112"/>
    </row>
    <row r="446" spans="1:21" s="106" customFormat="1" outlineLevel="1">
      <c r="A446" s="80"/>
      <c r="B446" s="112"/>
      <c r="C446" s="112"/>
      <c r="D446" s="112"/>
      <c r="E446" s="112"/>
      <c r="F446" s="112"/>
      <c r="G446" s="112"/>
      <c r="H446" s="112"/>
      <c r="I446" s="112"/>
      <c r="J446" s="112"/>
      <c r="K446" s="112"/>
      <c r="L446" s="112"/>
      <c r="M446" s="112"/>
      <c r="N446" s="112"/>
      <c r="O446" s="112"/>
      <c r="P446" s="112"/>
      <c r="Q446" s="112"/>
      <c r="R446" s="112"/>
      <c r="S446" s="112"/>
      <c r="T446" s="112"/>
      <c r="U446" s="112"/>
    </row>
    <row r="447" spans="1:21" s="106" customFormat="1" outlineLevel="1">
      <c r="A447" s="80"/>
      <c r="B447" s="112"/>
      <c r="C447" s="112"/>
      <c r="D447" s="112"/>
      <c r="E447" s="112"/>
      <c r="F447" s="112"/>
      <c r="G447" s="112"/>
      <c r="H447" s="112"/>
      <c r="I447" s="112"/>
      <c r="J447" s="112"/>
      <c r="K447" s="112"/>
      <c r="L447" s="112"/>
      <c r="M447" s="112"/>
      <c r="N447" s="112"/>
      <c r="O447" s="112"/>
      <c r="P447" s="112"/>
      <c r="Q447" s="112"/>
      <c r="R447" s="112"/>
      <c r="S447" s="112"/>
      <c r="T447" s="112"/>
      <c r="U447" s="112"/>
    </row>
    <row r="448" spans="1:21" s="106" customFormat="1" outlineLevel="1">
      <c r="A448" s="80"/>
      <c r="B448" s="112"/>
      <c r="C448" s="112"/>
      <c r="D448" s="112"/>
      <c r="E448" s="112"/>
      <c r="F448" s="112"/>
      <c r="G448" s="112"/>
      <c r="H448" s="112"/>
      <c r="I448" s="112"/>
      <c r="J448" s="112"/>
      <c r="K448" s="112"/>
      <c r="L448" s="112"/>
      <c r="M448" s="112"/>
      <c r="N448" s="112"/>
      <c r="O448" s="112"/>
      <c r="P448" s="112"/>
      <c r="Q448" s="112"/>
      <c r="R448" s="112"/>
      <c r="S448" s="112"/>
      <c r="T448" s="112"/>
      <c r="U448" s="112"/>
    </row>
    <row r="449" spans="1:21" s="106" customFormat="1" outlineLevel="1">
      <c r="A449" s="80"/>
      <c r="B449" s="112"/>
      <c r="C449" s="112"/>
      <c r="D449" s="112"/>
      <c r="E449" s="112"/>
      <c r="F449" s="112"/>
      <c r="G449" s="112"/>
      <c r="H449" s="112"/>
      <c r="I449" s="112"/>
      <c r="J449" s="112"/>
      <c r="K449" s="112"/>
      <c r="L449" s="112"/>
      <c r="M449" s="112"/>
      <c r="N449" s="112"/>
      <c r="O449" s="112"/>
      <c r="P449" s="112"/>
      <c r="Q449" s="112"/>
      <c r="R449" s="112"/>
      <c r="S449" s="112"/>
      <c r="T449" s="112"/>
      <c r="U449" s="112"/>
    </row>
    <row r="450" spans="1:21" s="106" customFormat="1" outlineLevel="1">
      <c r="A450" s="79"/>
      <c r="B450" s="112"/>
      <c r="C450" s="112"/>
      <c r="D450" s="112"/>
      <c r="E450" s="112"/>
      <c r="F450" s="112"/>
      <c r="G450" s="112"/>
      <c r="H450" s="112"/>
      <c r="I450" s="112"/>
      <c r="J450" s="112"/>
      <c r="K450" s="112"/>
      <c r="L450" s="112"/>
      <c r="M450" s="112"/>
      <c r="N450" s="112"/>
      <c r="O450" s="112"/>
      <c r="P450" s="112"/>
      <c r="Q450" s="112"/>
      <c r="R450" s="112"/>
      <c r="S450" s="112"/>
      <c r="T450" s="112"/>
      <c r="U450" s="112"/>
    </row>
    <row r="451" spans="1:21" s="106" customFormat="1" outlineLevel="1">
      <c r="A451" s="79"/>
      <c r="B451" s="112"/>
      <c r="C451" s="112"/>
      <c r="D451" s="112"/>
      <c r="E451" s="112"/>
      <c r="F451" s="112"/>
      <c r="G451" s="112"/>
      <c r="H451" s="112"/>
      <c r="I451" s="112"/>
      <c r="J451" s="112"/>
      <c r="K451" s="112"/>
      <c r="L451" s="112"/>
      <c r="M451" s="112"/>
      <c r="N451" s="112"/>
      <c r="O451" s="112"/>
      <c r="P451" s="112"/>
      <c r="Q451" s="112"/>
      <c r="R451" s="112"/>
      <c r="S451" s="112"/>
      <c r="T451" s="112"/>
      <c r="U451" s="112"/>
    </row>
    <row r="452" spans="1:21" s="106" customFormat="1" outlineLevel="1">
      <c r="A452" s="80"/>
      <c r="B452" s="112"/>
      <c r="C452" s="112"/>
      <c r="D452" s="112"/>
      <c r="E452" s="112"/>
      <c r="F452" s="112"/>
      <c r="G452" s="112"/>
      <c r="H452" s="112"/>
      <c r="I452" s="112"/>
      <c r="J452" s="112"/>
      <c r="K452" s="112"/>
      <c r="L452" s="112"/>
      <c r="M452" s="112"/>
      <c r="N452" s="112"/>
      <c r="O452" s="112"/>
      <c r="P452" s="112"/>
      <c r="Q452" s="112"/>
      <c r="R452" s="112"/>
      <c r="S452" s="112"/>
      <c r="T452" s="112"/>
      <c r="U452" s="112"/>
    </row>
    <row r="453" spans="1:21" s="106" customFormat="1" outlineLevel="1">
      <c r="A453" s="82"/>
      <c r="B453" s="114"/>
      <c r="C453" s="114"/>
      <c r="D453" s="114"/>
      <c r="E453" s="114"/>
      <c r="F453" s="114"/>
      <c r="G453" s="114"/>
      <c r="H453" s="114"/>
      <c r="I453" s="114"/>
      <c r="J453" s="114"/>
      <c r="K453" s="114"/>
      <c r="L453" s="114"/>
      <c r="M453" s="114"/>
      <c r="N453" s="114"/>
      <c r="O453" s="114"/>
      <c r="P453" s="114"/>
      <c r="Q453" s="114"/>
      <c r="R453" s="114"/>
      <c r="S453" s="114"/>
      <c r="T453" s="114"/>
      <c r="U453" s="114"/>
    </row>
    <row r="454" spans="1:21" s="106" customFormat="1" outlineLevel="1">
      <c r="A454" s="79"/>
      <c r="B454" s="112"/>
      <c r="C454" s="112"/>
      <c r="D454" s="112"/>
      <c r="E454" s="112"/>
      <c r="F454" s="112"/>
      <c r="G454" s="112"/>
      <c r="H454" s="112"/>
      <c r="I454" s="112"/>
      <c r="J454" s="112"/>
      <c r="K454" s="112"/>
      <c r="L454" s="112"/>
      <c r="M454" s="112"/>
      <c r="N454" s="112"/>
      <c r="O454" s="112"/>
      <c r="P454" s="112"/>
      <c r="Q454" s="112"/>
      <c r="R454" s="112"/>
      <c r="S454" s="112"/>
      <c r="T454" s="112"/>
      <c r="U454" s="112"/>
    </row>
    <row r="455" spans="1:21" s="106" customFormat="1" ht="13.9" customHeight="1" outlineLevel="1">
      <c r="A455" s="78"/>
      <c r="B455" s="112"/>
      <c r="C455" s="112"/>
      <c r="D455" s="112"/>
      <c r="E455" s="112"/>
      <c r="F455" s="112"/>
      <c r="G455" s="112"/>
      <c r="H455" s="112"/>
      <c r="I455" s="112"/>
      <c r="J455" s="112"/>
      <c r="K455" s="112"/>
      <c r="L455" s="112"/>
      <c r="M455" s="112"/>
      <c r="N455" s="112"/>
      <c r="O455" s="112"/>
      <c r="P455" s="112"/>
      <c r="Q455" s="112"/>
      <c r="R455" s="112"/>
      <c r="S455" s="112"/>
      <c r="T455" s="112"/>
      <c r="U455" s="112"/>
    </row>
    <row r="456" spans="1:21" s="116" customFormat="1" outlineLevel="1">
      <c r="A456" s="115"/>
      <c r="B456" s="112"/>
      <c r="C456" s="112"/>
      <c r="D456" s="112"/>
      <c r="E456" s="112"/>
      <c r="F456" s="112"/>
      <c r="G456" s="112"/>
      <c r="H456" s="112"/>
      <c r="I456" s="112"/>
      <c r="J456" s="112"/>
      <c r="K456" s="112"/>
      <c r="L456" s="112"/>
      <c r="M456" s="112"/>
      <c r="N456" s="112"/>
      <c r="O456" s="112"/>
      <c r="P456" s="112"/>
      <c r="Q456" s="112"/>
      <c r="R456" s="112"/>
      <c r="S456" s="112"/>
      <c r="T456" s="112"/>
      <c r="U456" s="112"/>
    </row>
    <row r="457" spans="1:21" s="106" customFormat="1" outlineLevel="1">
      <c r="A457" s="78"/>
      <c r="B457" s="112"/>
      <c r="C457" s="112"/>
      <c r="D457" s="112"/>
      <c r="E457" s="112"/>
      <c r="F457" s="112"/>
      <c r="G457" s="112"/>
      <c r="H457" s="112"/>
      <c r="I457" s="112"/>
      <c r="J457" s="112"/>
      <c r="K457" s="112"/>
      <c r="L457" s="112"/>
      <c r="M457" s="112"/>
      <c r="N457" s="112"/>
      <c r="O457" s="112"/>
      <c r="P457" s="112"/>
      <c r="Q457" s="112"/>
      <c r="R457" s="112"/>
      <c r="S457" s="112"/>
      <c r="T457" s="112"/>
      <c r="U457" s="112"/>
    </row>
    <row r="458" spans="1:21" s="106" customFormat="1" outlineLevel="1">
      <c r="A458" s="79"/>
      <c r="B458" s="112"/>
      <c r="C458" s="112"/>
      <c r="D458" s="112"/>
      <c r="E458" s="112"/>
      <c r="F458" s="112"/>
      <c r="G458" s="112"/>
      <c r="H458" s="112"/>
      <c r="I458" s="112"/>
      <c r="J458" s="112"/>
      <c r="K458" s="112"/>
      <c r="L458" s="112"/>
      <c r="M458" s="112"/>
      <c r="N458" s="112"/>
      <c r="O458" s="112"/>
      <c r="P458" s="112"/>
      <c r="Q458" s="112"/>
      <c r="R458" s="112"/>
      <c r="S458" s="112"/>
      <c r="T458" s="112"/>
      <c r="U458" s="112"/>
    </row>
    <row r="459" spans="1:21" s="106" customFormat="1" outlineLevel="1">
      <c r="A459" s="79"/>
      <c r="B459" s="112"/>
      <c r="C459" s="112"/>
      <c r="D459" s="112"/>
      <c r="E459" s="112"/>
      <c r="F459" s="112"/>
      <c r="G459" s="112"/>
      <c r="H459" s="112"/>
      <c r="I459" s="112"/>
      <c r="J459" s="112"/>
      <c r="K459" s="112"/>
      <c r="L459" s="112"/>
      <c r="M459" s="112"/>
      <c r="N459" s="112"/>
      <c r="O459" s="112"/>
      <c r="P459" s="112"/>
      <c r="Q459" s="112"/>
      <c r="R459" s="112"/>
      <c r="S459" s="112"/>
      <c r="T459" s="112"/>
      <c r="U459" s="112"/>
    </row>
    <row r="460" spans="1:21" s="106" customFormat="1" outlineLevel="1">
      <c r="A460" s="79"/>
      <c r="B460" s="112"/>
      <c r="C460" s="112"/>
      <c r="D460" s="112"/>
      <c r="E460" s="112"/>
      <c r="F460" s="112"/>
      <c r="G460" s="112"/>
      <c r="H460" s="112"/>
      <c r="I460" s="112"/>
      <c r="J460" s="112"/>
      <c r="K460" s="112"/>
      <c r="L460" s="112"/>
      <c r="M460" s="112"/>
      <c r="N460" s="112"/>
      <c r="O460" s="112"/>
      <c r="P460" s="112"/>
      <c r="Q460" s="112"/>
      <c r="R460" s="112"/>
      <c r="S460" s="112"/>
      <c r="T460" s="112"/>
      <c r="U460" s="112"/>
    </row>
    <row r="461" spans="1:21" s="106" customFormat="1" outlineLevel="1">
      <c r="A461" s="79"/>
      <c r="B461" s="112"/>
      <c r="C461" s="112"/>
      <c r="D461" s="112"/>
      <c r="E461" s="112"/>
      <c r="F461" s="112"/>
      <c r="G461" s="112"/>
      <c r="H461" s="112"/>
      <c r="I461" s="112"/>
      <c r="J461" s="112"/>
      <c r="K461" s="112"/>
      <c r="L461" s="112"/>
      <c r="M461" s="112"/>
      <c r="N461" s="112"/>
      <c r="O461" s="112"/>
      <c r="P461" s="112"/>
      <c r="Q461" s="112"/>
      <c r="R461" s="112"/>
      <c r="S461" s="112"/>
      <c r="T461" s="112"/>
      <c r="U461" s="112"/>
    </row>
    <row r="462" spans="1:21" s="106" customFormat="1" outlineLevel="1">
      <c r="A462" s="80"/>
      <c r="B462" s="112"/>
      <c r="C462" s="112"/>
      <c r="D462" s="112"/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</row>
    <row r="463" spans="1:21" s="116" customFormat="1" outlineLevel="1">
      <c r="A463" s="117"/>
      <c r="B463" s="112"/>
      <c r="C463" s="112"/>
      <c r="D463" s="112"/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</row>
    <row r="464" spans="1:21" s="106" customFormat="1" outlineLevel="1">
      <c r="A464"/>
      <c r="B464"/>
      <c r="C464"/>
      <c r="D464"/>
      <c r="E464"/>
      <c r="F464"/>
      <c r="G464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</row>
    <row r="465" spans="1:21" s="106" customFormat="1" outlineLevel="1">
      <c r="A465"/>
      <c r="B465"/>
      <c r="C465"/>
      <c r="D465"/>
      <c r="E465"/>
      <c r="F465"/>
      <c r="G465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</row>
    <row r="466" spans="1:21" s="106" customFormat="1" outlineLevel="1">
      <c r="A466"/>
      <c r="B466"/>
      <c r="C466"/>
      <c r="D466"/>
      <c r="E466"/>
      <c r="F466"/>
      <c r="G466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</row>
    <row r="467" spans="1:21" s="106" customFormat="1" outlineLevel="1">
      <c r="A467"/>
      <c r="B467"/>
      <c r="C467"/>
      <c r="D467"/>
      <c r="E467"/>
      <c r="F467"/>
      <c r="G467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</row>
    <row r="468" spans="1:21" s="106" customFormat="1" outlineLevel="1">
      <c r="A468"/>
      <c r="B468"/>
      <c r="C468"/>
      <c r="D468"/>
      <c r="E468"/>
      <c r="F468"/>
      <c r="G468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</row>
    <row r="469" spans="1:21" s="116" customFormat="1" outlineLevel="1">
      <c r="A469"/>
      <c r="B469"/>
      <c r="C469"/>
      <c r="D469"/>
      <c r="E469"/>
      <c r="F469"/>
      <c r="G469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</row>
    <row r="470" spans="1:21" s="106" customFormat="1" outlineLevel="1">
      <c r="A470"/>
      <c r="B470"/>
      <c r="C470"/>
      <c r="D470"/>
      <c r="E470"/>
      <c r="F470"/>
      <c r="G470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</row>
    <row r="471" spans="1:21" s="106" customFormat="1" outlineLevel="1">
      <c r="A471"/>
      <c r="B471"/>
      <c r="C471"/>
      <c r="D471"/>
      <c r="E471"/>
      <c r="F471"/>
      <c r="G471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</row>
    <row r="472" spans="1:21" s="106" customFormat="1" outlineLevel="1">
      <c r="A472"/>
      <c r="B472"/>
      <c r="C472"/>
      <c r="D472"/>
      <c r="E472"/>
      <c r="F472"/>
      <c r="G47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</row>
    <row r="473" spans="1:21" s="116" customFormat="1" outlineLevel="1">
      <c r="A473"/>
      <c r="B473"/>
      <c r="C473"/>
      <c r="D473"/>
      <c r="E473"/>
      <c r="F473"/>
      <c r="G473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</row>
    <row r="474" spans="1:21" s="106" customFormat="1" outlineLevel="1">
      <c r="A474"/>
      <c r="B474"/>
      <c r="C474"/>
      <c r="D474"/>
      <c r="E474"/>
      <c r="F474"/>
      <c r="G474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</row>
    <row r="475" spans="1:21" s="116" customFormat="1" outlineLevel="1">
      <c r="A475"/>
      <c r="B475"/>
      <c r="C475"/>
      <c r="D475"/>
      <c r="E475"/>
      <c r="F475"/>
      <c r="G475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</row>
    <row r="476" spans="1:21" s="106" customFormat="1" outlineLevel="1">
      <c r="A476"/>
      <c r="B476"/>
      <c r="C476"/>
      <c r="D476"/>
      <c r="E476"/>
      <c r="F476"/>
      <c r="G476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</row>
    <row r="477" spans="1:21" s="106" customFormat="1" outlineLevel="1">
      <c r="A477"/>
      <c r="B477"/>
      <c r="C477"/>
      <c r="D477"/>
      <c r="E477"/>
      <c r="F477"/>
      <c r="G477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</row>
    <row r="478" spans="1:21" s="106" customFormat="1" outlineLevel="1">
      <c r="A478"/>
      <c r="B478"/>
      <c r="C478"/>
      <c r="D478"/>
      <c r="E478"/>
      <c r="F478"/>
      <c r="G478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</row>
    <row r="479" spans="1:21" outlineLevel="1">
      <c r="A479"/>
      <c r="B479"/>
      <c r="C479"/>
      <c r="D479"/>
      <c r="E479"/>
      <c r="F479"/>
      <c r="G479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</row>
    <row r="480" spans="1:21" outlineLevel="1">
      <c r="A480"/>
      <c r="B480"/>
      <c r="C480"/>
      <c r="D480"/>
      <c r="E480"/>
      <c r="F480"/>
      <c r="G480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</row>
    <row r="481" spans="1:21" outlineLevel="1">
      <c r="A481"/>
      <c r="B481"/>
      <c r="C481"/>
      <c r="D481"/>
      <c r="E481"/>
      <c r="F481"/>
      <c r="G481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</row>
    <row r="482" spans="1:21" ht="18.75" outlineLevel="1">
      <c r="A482" s="8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</row>
    <row r="483" spans="1:21" outlineLevel="1">
      <c r="A483" s="5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</row>
    <row r="484" spans="1:21" outlineLevel="1">
      <c r="A484" s="118"/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7"/>
      <c r="N484" s="7"/>
      <c r="O484" s="7"/>
      <c r="P484" s="7"/>
      <c r="Q484" s="7"/>
      <c r="R484" s="7"/>
      <c r="S484" s="7"/>
      <c r="T484" s="7"/>
      <c r="U484" s="7"/>
    </row>
    <row r="485" spans="1:21" outlineLevel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</row>
    <row r="486" spans="1:21" outlineLevel="1">
      <c r="A486" s="2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7"/>
      <c r="N486" s="7"/>
      <c r="O486" s="7"/>
      <c r="P486" s="7"/>
      <c r="Q486" s="7"/>
      <c r="R486" s="7"/>
      <c r="S486" s="7"/>
      <c r="T486" s="7"/>
      <c r="U486" s="7"/>
    </row>
    <row r="487" spans="1:21" hidden="1" outlineLevel="2">
      <c r="A487" s="5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</row>
    <row r="488" spans="1:21" hidden="1" outlineLevel="2">
      <c r="A488" s="86"/>
      <c r="B488" s="87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7"/>
      <c r="N488" s="7"/>
      <c r="O488" s="7"/>
      <c r="P488" s="7"/>
      <c r="Q488" s="7"/>
      <c r="R488" s="7"/>
      <c r="S488" s="7"/>
      <c r="T488" s="7"/>
      <c r="U488" s="7"/>
    </row>
    <row r="489" spans="1:21" hidden="1" outlineLevel="2">
      <c r="A489" s="86"/>
      <c r="B489" s="87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7"/>
      <c r="N489" s="7"/>
      <c r="O489" s="7"/>
      <c r="P489" s="7"/>
      <c r="Q489" s="7"/>
      <c r="R489" s="7"/>
      <c r="S489" s="7"/>
      <c r="T489" s="7"/>
      <c r="U489" s="7"/>
    </row>
    <row r="490" spans="1:21" hidden="1" outlineLevel="2">
      <c r="A490" s="119"/>
      <c r="B490" s="87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7"/>
      <c r="N490" s="7"/>
      <c r="O490" s="7"/>
      <c r="P490" s="7"/>
      <c r="Q490" s="7"/>
      <c r="R490" s="7"/>
      <c r="S490" s="7"/>
      <c r="T490" s="7"/>
      <c r="U490" s="7"/>
    </row>
    <row r="491" spans="1:21" hidden="1" outlineLevel="2">
      <c r="A491" s="86"/>
      <c r="B491" s="87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7"/>
      <c r="N491" s="7"/>
      <c r="O491" s="7"/>
      <c r="P491" s="7"/>
      <c r="Q491" s="7"/>
      <c r="R491" s="7"/>
      <c r="S491" s="7"/>
      <c r="T491" s="7"/>
      <c r="U491" s="7"/>
    </row>
    <row r="492" spans="1:21" hidden="1" outlineLevel="2">
      <c r="A492" s="7"/>
      <c r="B492" s="87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7"/>
      <c r="N492" s="7"/>
      <c r="O492" s="7"/>
      <c r="P492" s="7"/>
      <c r="Q492" s="7"/>
      <c r="R492" s="7"/>
      <c r="S492" s="7"/>
      <c r="T492" s="7"/>
      <c r="U492" s="7"/>
    </row>
    <row r="493" spans="1:21" hidden="1" outlineLevel="2">
      <c r="A493" s="57"/>
      <c r="B493" s="87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7"/>
      <c r="N493" s="7"/>
      <c r="O493" s="7"/>
      <c r="P493" s="7"/>
      <c r="Q493" s="7"/>
      <c r="R493" s="7"/>
      <c r="S493" s="7"/>
      <c r="T493" s="7"/>
      <c r="U493" s="7"/>
    </row>
    <row r="494" spans="1:21" hidden="1" outlineLevel="2">
      <c r="A494" s="86"/>
      <c r="B494" s="87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7"/>
      <c r="N494" s="7"/>
      <c r="O494" s="7"/>
      <c r="P494" s="7"/>
      <c r="Q494" s="7"/>
      <c r="R494" s="7"/>
      <c r="S494" s="7"/>
      <c r="T494" s="7"/>
      <c r="U494" s="7"/>
    </row>
    <row r="495" spans="1:21" hidden="1" outlineLevel="2">
      <c r="A495" s="86"/>
      <c r="B495" s="8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7"/>
      <c r="N495" s="7"/>
      <c r="O495" s="7"/>
      <c r="P495" s="7"/>
      <c r="Q495" s="7"/>
      <c r="R495" s="7"/>
      <c r="S495" s="7"/>
      <c r="T495" s="7"/>
      <c r="U495" s="7"/>
    </row>
    <row r="496" spans="1:21" hidden="1" outlineLevel="2">
      <c r="A496" s="86"/>
      <c r="B496" s="8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7"/>
      <c r="N496" s="7"/>
      <c r="O496" s="7"/>
      <c r="P496" s="7"/>
      <c r="Q496" s="7"/>
      <c r="R496" s="7"/>
      <c r="S496" s="7"/>
      <c r="T496" s="7"/>
      <c r="U496" s="7"/>
    </row>
    <row r="497" spans="1:21" hidden="1" outlineLevel="2">
      <c r="A497" s="86"/>
      <c r="B497" s="8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7"/>
      <c r="N497" s="7"/>
      <c r="O497" s="7"/>
      <c r="P497" s="7"/>
      <c r="Q497" s="7"/>
      <c r="R497" s="7"/>
      <c r="S497" s="7"/>
      <c r="T497" s="7"/>
      <c r="U497" s="7"/>
    </row>
    <row r="498" spans="1:21" hidden="1" outlineLevel="2">
      <c r="A498" s="86"/>
      <c r="B498" s="8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7"/>
      <c r="N498" s="7"/>
      <c r="O498" s="7"/>
      <c r="P498" s="7"/>
      <c r="Q498" s="7"/>
      <c r="R498" s="7"/>
      <c r="S498" s="7"/>
      <c r="T498" s="7"/>
      <c r="U498" s="7"/>
    </row>
    <row r="499" spans="1:21" hidden="1" outlineLevel="2">
      <c r="A499" s="86"/>
      <c r="B499" s="8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7"/>
      <c r="N499" s="7"/>
      <c r="O499" s="7"/>
      <c r="P499" s="7"/>
      <c r="Q499" s="7"/>
      <c r="R499" s="7"/>
      <c r="S499" s="7"/>
      <c r="T499" s="7"/>
      <c r="U499" s="7"/>
    </row>
    <row r="500" spans="1:21" hidden="1" outlineLevel="2">
      <c r="A500" s="86"/>
      <c r="B500" s="8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7"/>
      <c r="N500" s="7"/>
      <c r="O500" s="7"/>
      <c r="P500" s="7"/>
      <c r="Q500" s="7"/>
      <c r="R500" s="7"/>
      <c r="S500" s="7"/>
      <c r="T500" s="7"/>
      <c r="U500" s="7"/>
    </row>
    <row r="501" spans="1:21" hidden="1" outlineLevel="2">
      <c r="A501" s="86"/>
      <c r="B501" s="8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7"/>
      <c r="N501" s="7"/>
      <c r="O501" s="7"/>
      <c r="P501" s="7"/>
      <c r="Q501" s="7"/>
      <c r="R501" s="7"/>
      <c r="S501" s="7"/>
      <c r="T501" s="7"/>
      <c r="U501" s="7"/>
    </row>
    <row r="502" spans="1:21" hidden="1" outlineLevel="2">
      <c r="A502" s="86"/>
      <c r="B502" s="8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7"/>
      <c r="N502" s="7"/>
      <c r="O502" s="7"/>
      <c r="P502" s="7"/>
      <c r="Q502" s="7"/>
      <c r="R502" s="7"/>
      <c r="S502" s="7"/>
      <c r="T502" s="7"/>
      <c r="U502" s="7"/>
    </row>
    <row r="503" spans="1:21" hidden="1" outlineLevel="2">
      <c r="A503" s="86"/>
      <c r="B503" s="8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7"/>
      <c r="N503" s="7"/>
      <c r="O503" s="7"/>
      <c r="P503" s="7"/>
      <c r="Q503" s="7"/>
      <c r="R503" s="7"/>
      <c r="S503" s="7"/>
      <c r="T503" s="7"/>
      <c r="U503" s="7"/>
    </row>
    <row r="504" spans="1:21" hidden="1" outlineLevel="2">
      <c r="A504" s="7"/>
      <c r="B504" s="8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7"/>
      <c r="N504" s="7"/>
      <c r="O504" s="7"/>
      <c r="P504" s="7"/>
      <c r="Q504" s="7"/>
      <c r="R504" s="7"/>
      <c r="S504" s="7"/>
      <c r="T504" s="7"/>
      <c r="U504" s="7"/>
    </row>
    <row r="505" spans="1:21" hidden="1" outlineLevel="2">
      <c r="A505" s="7"/>
      <c r="B505" s="8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7"/>
      <c r="N505" s="7"/>
      <c r="O505" s="7"/>
      <c r="P505" s="7"/>
      <c r="Q505" s="7"/>
      <c r="R505" s="7"/>
      <c r="S505" s="7"/>
      <c r="T505" s="7"/>
      <c r="U505" s="7"/>
    </row>
    <row r="506" spans="1:21" hidden="1" outlineLevel="2">
      <c r="A506" s="7"/>
      <c r="B506" s="8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7"/>
      <c r="N506" s="7"/>
      <c r="O506" s="7"/>
      <c r="P506" s="7"/>
      <c r="Q506" s="7"/>
      <c r="R506" s="7"/>
      <c r="S506" s="7"/>
      <c r="T506" s="7"/>
      <c r="U506" s="7"/>
    </row>
    <row r="507" spans="1:21" hidden="1" outlineLevel="2">
      <c r="A507" s="86"/>
      <c r="B507" s="8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7"/>
      <c r="N507" s="7"/>
      <c r="O507" s="7"/>
      <c r="P507" s="7"/>
      <c r="Q507" s="7"/>
      <c r="R507" s="7"/>
      <c r="S507" s="7"/>
      <c r="T507" s="7"/>
      <c r="U507" s="7"/>
    </row>
    <row r="508" spans="1:21" hidden="1" outlineLevel="2">
      <c r="A508" s="7"/>
      <c r="B508" s="8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7"/>
      <c r="N508" s="7"/>
      <c r="O508" s="7"/>
      <c r="P508" s="7"/>
      <c r="Q508" s="7"/>
      <c r="R508" s="7"/>
      <c r="S508" s="7"/>
      <c r="T508" s="7"/>
      <c r="U508" s="7"/>
    </row>
    <row r="509" spans="1:21" hidden="1" outlineLevel="2">
      <c r="A509" s="7"/>
      <c r="B509" s="8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7"/>
      <c r="N509" s="7"/>
      <c r="O509" s="7"/>
      <c r="P509" s="7"/>
      <c r="Q509" s="7"/>
      <c r="R509" s="7"/>
      <c r="S509" s="7"/>
      <c r="T509" s="7"/>
      <c r="U509" s="7"/>
    </row>
    <row r="510" spans="1:21" hidden="1" outlineLevel="2">
      <c r="A510" s="57"/>
      <c r="B510" s="8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7"/>
      <c r="N510" s="7"/>
      <c r="O510" s="7"/>
      <c r="P510" s="7"/>
      <c r="Q510" s="7"/>
      <c r="R510" s="7"/>
      <c r="S510" s="7"/>
      <c r="T510" s="7"/>
      <c r="U510" s="7"/>
    </row>
    <row r="511" spans="1:21" hidden="1" outlineLevel="2">
      <c r="A511" s="86"/>
      <c r="B511" s="8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7"/>
      <c r="N511" s="7"/>
      <c r="O511" s="7"/>
      <c r="P511" s="7"/>
      <c r="Q511" s="7"/>
      <c r="R511" s="7"/>
      <c r="S511" s="7"/>
      <c r="T511" s="7"/>
      <c r="U511" s="7"/>
    </row>
    <row r="512" spans="1:21" outlineLevel="1" collapsed="1">
      <c r="A512" s="57"/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7"/>
      <c r="N512" s="7"/>
      <c r="O512" s="7"/>
      <c r="P512" s="7"/>
      <c r="Q512" s="7"/>
      <c r="R512" s="7"/>
      <c r="S512" s="7"/>
      <c r="T512" s="7"/>
      <c r="U512" s="7"/>
    </row>
    <row r="513" spans="1:21" outlineLevel="1">
      <c r="A513" s="57"/>
      <c r="B513" s="8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7"/>
      <c r="N513" s="7"/>
      <c r="O513" s="7"/>
      <c r="P513" s="7"/>
      <c r="Q513" s="7"/>
      <c r="R513" s="7"/>
      <c r="S513" s="7"/>
      <c r="T513" s="7"/>
      <c r="U513" s="7"/>
    </row>
    <row r="514" spans="1:21" outlineLevel="1">
      <c r="A514" s="57"/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7"/>
      <c r="N514" s="7"/>
      <c r="O514" s="7"/>
      <c r="P514" s="7"/>
      <c r="Q514" s="7"/>
      <c r="R514" s="7"/>
      <c r="S514" s="7"/>
      <c r="T514" s="7"/>
      <c r="U514" s="7"/>
    </row>
    <row r="515" spans="1:21" outlineLevel="1">
      <c r="A515" s="7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7"/>
      <c r="N515" s="7"/>
      <c r="O515" s="7"/>
      <c r="P515" s="7"/>
      <c r="Q515" s="7"/>
      <c r="R515" s="7"/>
      <c r="S515" s="7"/>
      <c r="T515" s="7"/>
      <c r="U515" s="7"/>
    </row>
    <row r="516" spans="1:21" outlineLevel="1">
      <c r="A516" s="7"/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7"/>
      <c r="N516" s="7"/>
      <c r="O516" s="7"/>
      <c r="P516" s="7"/>
      <c r="Q516" s="7"/>
      <c r="R516" s="7"/>
      <c r="S516" s="7"/>
      <c r="T516" s="7"/>
      <c r="U516" s="7"/>
    </row>
    <row r="517" spans="1:21" outlineLevel="1">
      <c r="A517" s="57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7"/>
      <c r="N517" s="7"/>
      <c r="O517" s="7"/>
      <c r="P517" s="7"/>
      <c r="Q517" s="7"/>
      <c r="R517" s="7"/>
      <c r="S517" s="7"/>
      <c r="T517" s="7"/>
      <c r="U517" s="7"/>
    </row>
    <row r="518" spans="1:21" outlineLevel="1">
      <c r="A518" s="57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7"/>
      <c r="N518" s="7"/>
      <c r="O518" s="7"/>
      <c r="P518" s="7"/>
      <c r="Q518" s="7"/>
      <c r="R518" s="7"/>
      <c r="S518" s="7"/>
      <c r="T518" s="7"/>
      <c r="U518" s="7"/>
    </row>
    <row r="519" spans="1:21" outlineLevel="1">
      <c r="A519" s="57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7"/>
      <c r="N519" s="7"/>
      <c r="O519" s="7"/>
      <c r="P519" s="7"/>
      <c r="Q519" s="7"/>
      <c r="R519" s="7"/>
      <c r="S519" s="7"/>
      <c r="T519" s="7"/>
      <c r="U519" s="7"/>
    </row>
    <row r="520" spans="1:21" outlineLevel="1">
      <c r="A520" s="57"/>
      <c r="B520" s="8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7"/>
      <c r="N520" s="7"/>
      <c r="O520" s="7"/>
      <c r="P520" s="7"/>
      <c r="Q520" s="7"/>
      <c r="R520" s="7"/>
      <c r="S520" s="7"/>
      <c r="T520" s="7"/>
      <c r="U520" s="7"/>
    </row>
    <row r="521" spans="1:21">
      <c r="A521" s="7"/>
      <c r="B521" s="7"/>
      <c r="C521" s="7"/>
      <c r="D521" s="87"/>
      <c r="E521" s="87"/>
      <c r="F521" s="87"/>
      <c r="G521" s="87"/>
      <c r="H521" s="87"/>
      <c r="I521" s="87"/>
      <c r="J521" s="87"/>
      <c r="K521" s="87"/>
      <c r="L521" s="87"/>
      <c r="M521" s="7"/>
      <c r="N521" s="7"/>
      <c r="O521" s="7"/>
      <c r="P521" s="7"/>
      <c r="Q521" s="7"/>
      <c r="R521" s="7"/>
      <c r="S521" s="7"/>
      <c r="T521" s="7"/>
      <c r="U521" s="7"/>
    </row>
    <row r="522" spans="1:21">
      <c r="A522" s="7"/>
      <c r="B522" s="7"/>
      <c r="C522" s="7"/>
      <c r="D522" s="87"/>
      <c r="E522" s="87"/>
      <c r="F522" s="87"/>
      <c r="G522" s="87"/>
      <c r="H522" s="87"/>
      <c r="I522" s="87"/>
      <c r="J522" s="87"/>
      <c r="K522" s="87"/>
      <c r="L522" s="87"/>
      <c r="M522" s="7"/>
      <c r="N522" s="7"/>
      <c r="O522" s="7"/>
      <c r="P522" s="7"/>
      <c r="Q522" s="7"/>
      <c r="R522" s="7"/>
      <c r="S522" s="7"/>
      <c r="T522" s="7"/>
      <c r="U522" s="7"/>
    </row>
    <row r="523" spans="1:21">
      <c r="A523" s="7"/>
      <c r="B523" s="7"/>
      <c r="C523" s="7"/>
      <c r="D523" s="87"/>
      <c r="E523" s="87"/>
      <c r="F523" s="87"/>
      <c r="G523" s="87"/>
      <c r="H523" s="87"/>
      <c r="I523" s="87"/>
      <c r="J523" s="87"/>
      <c r="K523" s="87"/>
      <c r="L523" s="87"/>
      <c r="M523" s="7"/>
      <c r="N523" s="7"/>
      <c r="O523" s="7"/>
      <c r="P523" s="7"/>
      <c r="Q523" s="7"/>
      <c r="R523" s="7"/>
      <c r="S523" s="7"/>
      <c r="T523" s="7"/>
      <c r="U523" s="7"/>
    </row>
    <row r="524" spans="1:21">
      <c r="A524" s="7"/>
      <c r="B524" s="7"/>
      <c r="C524" s="7"/>
      <c r="D524" s="87"/>
      <c r="E524" s="87"/>
      <c r="F524" s="87"/>
      <c r="G524" s="87"/>
      <c r="H524" s="87"/>
      <c r="I524" s="87"/>
      <c r="J524" s="87"/>
      <c r="K524" s="87"/>
      <c r="L524" s="87"/>
      <c r="M524" s="7"/>
      <c r="N524" s="7"/>
      <c r="O524" s="7"/>
      <c r="P524" s="7"/>
      <c r="Q524" s="7"/>
      <c r="R524" s="7"/>
      <c r="S524" s="7"/>
      <c r="T524" s="7"/>
      <c r="U524" s="7"/>
    </row>
    <row r="525" spans="1:21">
      <c r="A525" s="7"/>
      <c r="B525" s="7"/>
      <c r="C525" s="7"/>
      <c r="D525" s="87"/>
      <c r="E525" s="87"/>
      <c r="F525" s="87"/>
      <c r="G525" s="87"/>
      <c r="H525" s="87"/>
      <c r="I525" s="87"/>
      <c r="J525" s="87"/>
      <c r="K525" s="87"/>
      <c r="L525" s="87"/>
      <c r="M525" s="7"/>
      <c r="N525" s="7"/>
      <c r="O525" s="7"/>
      <c r="P525" s="7"/>
      <c r="Q525" s="7"/>
      <c r="R525" s="7"/>
      <c r="S525" s="7"/>
      <c r="T525" s="7"/>
      <c r="U525" s="7"/>
    </row>
    <row r="526" spans="1:2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</row>
    <row r="527" spans="1:2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</row>
    <row r="528" spans="1:2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</row>
    <row r="529" spans="1:2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</row>
    <row r="530" spans="1:2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</row>
    <row r="531" spans="1:2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</row>
    <row r="532" spans="1:2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</row>
    <row r="533" spans="1:2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</row>
    <row r="534" spans="1:2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</row>
    <row r="535" spans="1:2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</row>
    <row r="536" spans="1:2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</row>
    <row r="537" spans="1:2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</row>
    <row r="538" spans="1:2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</row>
    <row r="539" spans="1:2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</row>
    <row r="540" spans="1:2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</row>
    <row r="541" spans="1:2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</row>
    <row r="542" spans="1:2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</row>
    <row r="543" spans="1:2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</row>
    <row r="544" spans="1:2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</row>
    <row r="545" spans="1:2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</row>
    <row r="546" spans="1:2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</row>
    <row r="547" spans="1:2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</row>
    <row r="548" spans="1:2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</row>
    <row r="549" spans="1:2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</row>
    <row r="550" spans="1:2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</row>
    <row r="551" spans="1:2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</row>
    <row r="552" spans="1:2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</row>
    <row r="553" spans="1:2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</row>
    <row r="554" spans="1:2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</row>
    <row r="555" spans="1:2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</row>
    <row r="556" spans="1:2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</row>
    <row r="557" spans="1:2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</row>
    <row r="558" spans="1:2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</row>
    <row r="559" spans="1:2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</row>
    <row r="560" spans="1:2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</row>
    <row r="561" spans="1:2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</row>
    <row r="562" spans="1:2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</row>
    <row r="563" spans="1:2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</row>
    <row r="564" spans="1:2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</row>
    <row r="565" spans="1:2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</row>
    <row r="566" spans="1:2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</row>
    <row r="567" spans="1:2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</row>
    <row r="568" spans="1:2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</row>
    <row r="569" spans="1:2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</row>
    <row r="570" spans="1:2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</row>
    <row r="571" spans="1:2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</row>
    <row r="572" spans="1:2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</row>
    <row r="573" spans="1:2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</row>
    <row r="574" spans="1:2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</row>
    <row r="575" spans="1:2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</row>
    <row r="576" spans="1:2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</row>
    <row r="577" spans="1:2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</row>
    <row r="578" spans="1:2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</row>
    <row r="579" spans="1:2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</row>
    <row r="580" spans="1:2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</row>
    <row r="581" spans="1:2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</row>
    <row r="582" spans="1:2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</row>
    <row r="583" spans="1:2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</row>
    <row r="584" spans="1:2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</row>
    <row r="585" spans="1:2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</row>
    <row r="586" spans="1:2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</row>
    <row r="587" spans="1:2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</row>
    <row r="588" spans="1:2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</row>
    <row r="589" spans="1:2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</row>
    <row r="590" spans="1:2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</row>
    <row r="591" spans="1:2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</row>
    <row r="592" spans="1:2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</row>
    <row r="593" spans="1:2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</row>
    <row r="594" spans="1:2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</row>
    <row r="595" spans="1:2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</row>
    <row r="596" spans="1:2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</row>
    <row r="597" spans="1:2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</row>
    <row r="598" spans="1:2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</row>
    <row r="599" spans="1:2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</row>
    <row r="600" spans="1:2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</row>
    <row r="601" spans="1:2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</row>
    <row r="602" spans="1:2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</row>
    <row r="603" spans="1:2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</row>
    <row r="604" spans="1:2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</row>
    <row r="605" spans="1:2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</row>
    <row r="606" spans="1:2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</row>
    <row r="607" spans="1:2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</row>
    <row r="608" spans="1:2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</row>
    <row r="609" spans="1:2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</row>
    <row r="610" spans="1:2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</row>
    <row r="611" spans="1:2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</row>
    <row r="612" spans="1:2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</row>
    <row r="613" spans="1:2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</row>
    <row r="614" spans="1:2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</row>
    <row r="615" spans="1:2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</row>
    <row r="616" spans="1:2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</row>
    <row r="617" spans="1:2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</row>
    <row r="618" spans="1:2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</row>
    <row r="619" spans="1:2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</row>
    <row r="620" spans="1:2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</row>
    <row r="621" spans="1: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</row>
    <row r="622" spans="1:2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</row>
    <row r="623" spans="1:2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</row>
    <row r="624" spans="1:2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</row>
    <row r="625" spans="1:2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</row>
    <row r="626" spans="1:2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</row>
    <row r="627" spans="1:2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</row>
    <row r="628" spans="1:2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</row>
    <row r="629" spans="1:2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</row>
    <row r="630" spans="1:2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</row>
    <row r="631" spans="1:2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</row>
    <row r="632" spans="1:2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</row>
    <row r="633" spans="1:2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</row>
    <row r="634" spans="1:2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</row>
    <row r="635" spans="1:2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</row>
    <row r="636" spans="1:2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</row>
    <row r="637" spans="1:2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</row>
    <row r="638" spans="1:2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</row>
    <row r="639" spans="1:2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</row>
    <row r="640" spans="1:2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</row>
    <row r="641" spans="1:2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</row>
    <row r="642" spans="1:2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</row>
    <row r="643" spans="1:2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</row>
    <row r="644" spans="1:2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</row>
    <row r="645" spans="1:2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</row>
    <row r="646" spans="1:2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</row>
    <row r="647" spans="1:2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</row>
    <row r="648" spans="1:2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</row>
    <row r="649" spans="1:2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</row>
    <row r="650" spans="1:2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</row>
    <row r="651" spans="1:2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</row>
    <row r="652" spans="1:2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</row>
    <row r="653" spans="1:2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</row>
    <row r="654" spans="1:2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</row>
    <row r="655" spans="1:2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</row>
    <row r="656" spans="1:2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</row>
    <row r="657" spans="1:2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</row>
    <row r="658" spans="1:2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</row>
    <row r="659" spans="1:2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</row>
    <row r="660" spans="1:2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</row>
    <row r="661" spans="1:2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</row>
    <row r="662" spans="1:2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</row>
    <row r="663" spans="1:2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</row>
    <row r="664" spans="1:2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</row>
    <row r="665" spans="1:2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</row>
    <row r="666" spans="1:2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</row>
    <row r="667" spans="1:2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</row>
    <row r="668" spans="1:2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</row>
    <row r="669" spans="1:2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</row>
    <row r="670" spans="1:2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</row>
    <row r="671" spans="1:2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</row>
    <row r="672" spans="1:2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</row>
    <row r="673" spans="1:2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</row>
    <row r="674" spans="1:2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</row>
    <row r="675" spans="1:2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</row>
    <row r="676" spans="1:2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</row>
    <row r="677" spans="1:2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</row>
    <row r="678" spans="1:2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</row>
    <row r="679" spans="1:2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</row>
    <row r="680" spans="1:2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</row>
    <row r="681" spans="1:2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</row>
    <row r="682" spans="1:2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</row>
    <row r="683" spans="1:2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</row>
    <row r="684" spans="1:2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</row>
    <row r="685" spans="1:2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</row>
    <row r="686" spans="1:2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</row>
    <row r="687" spans="1:2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</row>
    <row r="688" spans="1:2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</row>
    <row r="689" spans="1:2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</row>
    <row r="690" spans="1:2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</row>
    <row r="691" spans="1:2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</row>
    <row r="692" spans="1:2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</row>
    <row r="693" spans="1:2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</row>
    <row r="694" spans="1:2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</row>
    <row r="695" spans="1:2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</row>
    <row r="696" spans="1:2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</row>
    <row r="697" spans="1:2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</row>
    <row r="698" spans="1:2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</row>
    <row r="699" spans="1:2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</row>
    <row r="700" spans="1:2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</row>
    <row r="701" spans="1:2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</row>
    <row r="702" spans="1:2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</row>
    <row r="703" spans="1:2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</row>
    <row r="704" spans="1:2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</row>
    <row r="705" spans="1:2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</row>
    <row r="706" spans="1:2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</row>
    <row r="707" spans="1:2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</row>
    <row r="708" spans="1:2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</row>
    <row r="709" spans="1:2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</row>
    <row r="710" spans="1:2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</row>
    <row r="711" spans="1:2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</row>
    <row r="712" spans="1:2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</row>
    <row r="713" spans="1:2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</row>
    <row r="714" spans="1:2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</row>
    <row r="715" spans="1:2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</row>
    <row r="716" spans="1:2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</row>
    <row r="717" spans="1:2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</row>
    <row r="718" spans="1:2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</row>
    <row r="719" spans="1:2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</row>
    <row r="720" spans="1:2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</row>
    <row r="721" spans="1: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</row>
    <row r="722" spans="1:2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</row>
    <row r="723" spans="1:2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</row>
    <row r="724" spans="1:2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</row>
    <row r="725" spans="1:2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</row>
    <row r="726" spans="1:2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</row>
    <row r="727" spans="1:2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</row>
    <row r="728" spans="1:2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</row>
    <row r="729" spans="1:2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</row>
    <row r="730" spans="1:2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</row>
    <row r="731" spans="1:2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</row>
    <row r="732" spans="1:2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</row>
    <row r="733" spans="1:2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</row>
    <row r="734" spans="1:2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</row>
  </sheetData>
  <pageMargins left="0.75" right="0.75" top="1" bottom="1" header="0.5" footer="0.5"/>
  <pageSetup scale="38" orientation="landscape" r:id="rId1"/>
  <headerFooter alignWithMargins="0">
    <oddHeader>&amp;L&amp;12Enron's Generation&amp;RCONFIDENTIAL</oddHeader>
    <oddFooter>&amp;L&amp;D&amp;C&amp;F&amp;RPage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2:K56"/>
  <sheetViews>
    <sheetView zoomScale="75" zoomScaleNormal="75" workbookViewId="0">
      <selection activeCell="A6" sqref="A6"/>
    </sheetView>
  </sheetViews>
  <sheetFormatPr defaultRowHeight="12.75"/>
  <cols>
    <col min="1" max="1" width="52.28515625" customWidth="1"/>
    <col min="2" max="2" width="12.7109375" customWidth="1"/>
    <col min="3" max="3" width="12.42578125" customWidth="1"/>
    <col min="4" max="6" width="12.7109375" customWidth="1"/>
    <col min="9" max="9" width="20.28515625" bestFit="1" customWidth="1"/>
    <col min="10" max="10" width="12" bestFit="1" customWidth="1"/>
    <col min="11" max="11" width="20.28515625" bestFit="1" customWidth="1"/>
  </cols>
  <sheetData>
    <row r="2" spans="1:11" ht="18.75">
      <c r="A2" s="52" t="s">
        <v>278</v>
      </c>
      <c r="B2" s="55"/>
      <c r="C2" s="55"/>
      <c r="D2" s="23"/>
      <c r="E2" s="423"/>
      <c r="F2" s="23"/>
    </row>
    <row r="3" spans="1:11">
      <c r="A3" s="16"/>
      <c r="B3" s="16"/>
      <c r="C3" s="16"/>
      <c r="D3" s="23"/>
      <c r="E3" s="23"/>
      <c r="F3" s="23"/>
    </row>
    <row r="4" spans="1:11" ht="13.5" thickBot="1">
      <c r="A4" s="194" t="s">
        <v>56</v>
      </c>
      <c r="B4" s="194"/>
      <c r="C4" s="486">
        <v>36892</v>
      </c>
      <c r="D4" s="260">
        <v>37256</v>
      </c>
      <c r="E4" s="260">
        <v>37621</v>
      </c>
      <c r="F4" s="260">
        <v>37986</v>
      </c>
    </row>
    <row r="5" spans="1:11">
      <c r="A5" s="16"/>
      <c r="B5" s="16"/>
      <c r="C5" s="16"/>
      <c r="D5" s="304"/>
      <c r="E5" s="304"/>
      <c r="F5" s="304"/>
    </row>
    <row r="6" spans="1:11">
      <c r="A6" s="14"/>
      <c r="B6" s="14"/>
      <c r="C6" s="14"/>
      <c r="D6" s="23"/>
      <c r="E6" s="23"/>
      <c r="F6" s="23"/>
    </row>
    <row r="7" spans="1:11">
      <c r="A7" s="39" t="s">
        <v>9</v>
      </c>
      <c r="B7" s="39"/>
      <c r="C7" s="39"/>
      <c r="D7" s="16"/>
      <c r="E7" s="16"/>
      <c r="F7" s="16"/>
    </row>
    <row r="8" spans="1:11">
      <c r="A8" s="21" t="s">
        <v>250</v>
      </c>
      <c r="B8" s="21"/>
      <c r="C8" s="21"/>
      <c r="D8" s="307">
        <f>'Power Price Assumption'!D25-4</f>
        <v>1.5521731295013845</v>
      </c>
      <c r="E8" s="307">
        <f>'Power Price Assumption'!E25-4</f>
        <v>1.8274852891362618</v>
      </c>
      <c r="F8" s="307">
        <f>'Power Price Assumption'!F25-4</f>
        <v>2.1164491817907853</v>
      </c>
    </row>
    <row r="9" spans="1:11">
      <c r="A9" s="16" t="s">
        <v>234</v>
      </c>
      <c r="B9" s="16"/>
      <c r="C9" s="16"/>
      <c r="D9" s="19">
        <f>Assumptions!$C$9</f>
        <v>458</v>
      </c>
      <c r="E9" s="19">
        <f>Assumptions!$C$9</f>
        <v>458</v>
      </c>
      <c r="F9" s="19">
        <f>Assumptions!$C$9</f>
        <v>458</v>
      </c>
    </row>
    <row r="10" spans="1:11">
      <c r="A10" s="16" t="s">
        <v>244</v>
      </c>
      <c r="B10" s="16"/>
      <c r="C10" s="16">
        <v>0</v>
      </c>
      <c r="D10" s="19">
        <f>D8*D9*12</f>
        <v>8530.743519739608</v>
      </c>
      <c r="E10" s="19">
        <f>E8*E9*12</f>
        <v>10043.859149092896</v>
      </c>
      <c r="F10" s="19">
        <f>F8*F9*12</f>
        <v>11632.004703122157</v>
      </c>
    </row>
    <row r="11" spans="1:11">
      <c r="A11" t="s">
        <v>245</v>
      </c>
      <c r="B11" s="491">
        <f>'Summary Output'!$E$27</f>
        <v>0.10996598639455782</v>
      </c>
      <c r="C11" s="492">
        <f>XNPV(B11,C10:F10,C4:F4)</f>
        <v>24350.87386460862</v>
      </c>
      <c r="J11" s="490"/>
      <c r="K11" s="490"/>
    </row>
    <row r="13" spans="1:11">
      <c r="A13" s="39" t="s">
        <v>10</v>
      </c>
      <c r="B13" s="39"/>
      <c r="C13" s="39"/>
      <c r="D13" s="16"/>
      <c r="E13" s="16"/>
      <c r="F13" s="16"/>
    </row>
    <row r="14" spans="1:11">
      <c r="A14" s="21" t="s">
        <v>250</v>
      </c>
      <c r="B14" s="21"/>
      <c r="C14" s="21"/>
      <c r="D14" s="307">
        <f>D8</f>
        <v>1.5521731295013845</v>
      </c>
      <c r="E14" s="307">
        <f>E8</f>
        <v>1.8274852891362618</v>
      </c>
      <c r="F14" s="307">
        <f>F8</f>
        <v>2.1164491817907853</v>
      </c>
    </row>
    <row r="15" spans="1:11">
      <c r="A15" s="16" t="s">
        <v>234</v>
      </c>
      <c r="B15" s="16"/>
      <c r="C15" s="16"/>
      <c r="D15" s="19">
        <f>Assumptions!$D$9</f>
        <v>466</v>
      </c>
      <c r="E15" s="19">
        <f>Assumptions!$D$9</f>
        <v>466</v>
      </c>
      <c r="F15" s="19">
        <f>Assumptions!$D$9</f>
        <v>466</v>
      </c>
    </row>
    <row r="16" spans="1:11">
      <c r="A16" s="16" t="s">
        <v>244</v>
      </c>
      <c r="B16" s="16"/>
      <c r="C16" s="16">
        <v>0</v>
      </c>
      <c r="D16" s="19">
        <f>D14*D15*12</f>
        <v>8679.7521401717422</v>
      </c>
      <c r="E16" s="19">
        <f>E14*E15*12</f>
        <v>10219.297736849976</v>
      </c>
      <c r="F16" s="19">
        <f>F14*F15*12</f>
        <v>11835.183824574071</v>
      </c>
    </row>
    <row r="17" spans="1:6">
      <c r="A17" t="s">
        <v>245</v>
      </c>
      <c r="B17" s="491">
        <f>'Summary Output'!$E$27</f>
        <v>0.10996598639455782</v>
      </c>
      <c r="C17" s="492">
        <f>XNPV(B17,C16:F16,C4:F4)</f>
        <v>24776.216639536284</v>
      </c>
    </row>
    <row r="19" spans="1:6">
      <c r="A19" s="39" t="s">
        <v>11</v>
      </c>
      <c r="B19" s="39"/>
      <c r="C19" s="39"/>
      <c r="D19" s="16"/>
      <c r="E19" s="16"/>
      <c r="F19" s="16"/>
    </row>
    <row r="20" spans="1:6">
      <c r="A20" s="21" t="s">
        <v>250</v>
      </c>
      <c r="B20" s="21"/>
      <c r="C20" s="21"/>
      <c r="D20" s="307">
        <f>D8</f>
        <v>1.5521731295013845</v>
      </c>
      <c r="E20" s="307">
        <f>E8</f>
        <v>1.8274852891362618</v>
      </c>
      <c r="F20" s="307">
        <f>F8</f>
        <v>2.1164491817907853</v>
      </c>
    </row>
    <row r="21" spans="1:6">
      <c r="A21" s="16" t="s">
        <v>234</v>
      </c>
      <c r="B21" s="16"/>
      <c r="C21" s="16"/>
      <c r="D21" s="19">
        <f>Assumptions!$E$9</f>
        <v>371</v>
      </c>
      <c r="E21" s="19">
        <f>Assumptions!$E$9</f>
        <v>371</v>
      </c>
      <c r="F21" s="19">
        <f>Assumptions!$E$9</f>
        <v>371</v>
      </c>
    </row>
    <row r="22" spans="1:6">
      <c r="A22" s="16" t="s">
        <v>244</v>
      </c>
      <c r="B22" s="16"/>
      <c r="C22" s="16">
        <v>0</v>
      </c>
      <c r="D22" s="19">
        <f>D20*D21*12</f>
        <v>6910.2747725401641</v>
      </c>
      <c r="E22" s="19">
        <f>E20*E21*12</f>
        <v>8135.9645072346375</v>
      </c>
      <c r="F22" s="19">
        <f>F20*F21*12</f>
        <v>9422.4317573325752</v>
      </c>
    </row>
    <row r="23" spans="1:6">
      <c r="A23" t="s">
        <v>245</v>
      </c>
      <c r="B23" s="491">
        <f>'Summary Output'!$E$27</f>
        <v>0.10996598639455782</v>
      </c>
      <c r="C23" s="492">
        <f>XNPV(B23,C22:F22,$C$4:$F$4)</f>
        <v>19725.271187270304</v>
      </c>
    </row>
    <row r="25" spans="1:6">
      <c r="A25" s="39" t="s">
        <v>103</v>
      </c>
      <c r="B25" s="39"/>
      <c r="C25" s="39"/>
      <c r="D25" s="16"/>
      <c r="E25" s="16"/>
      <c r="F25" s="16"/>
    </row>
    <row r="26" spans="1:6">
      <c r="A26" s="21" t="s">
        <v>250</v>
      </c>
      <c r="B26" s="21"/>
      <c r="C26" s="21"/>
      <c r="D26" s="307">
        <f>D8</f>
        <v>1.5521731295013845</v>
      </c>
      <c r="E26" s="307">
        <f>E8</f>
        <v>1.8274852891362618</v>
      </c>
      <c r="F26" s="307">
        <f>F8</f>
        <v>2.1164491817907853</v>
      </c>
    </row>
    <row r="27" spans="1:6">
      <c r="A27" s="16" t="s">
        <v>234</v>
      </c>
      <c r="B27" s="16"/>
      <c r="C27" s="16"/>
      <c r="D27" s="19">
        <f>Assumptions!$G$9</f>
        <v>510</v>
      </c>
      <c r="E27" s="19">
        <f>Assumptions!$G$9</f>
        <v>510</v>
      </c>
      <c r="F27" s="19">
        <f>Assumptions!$G$9</f>
        <v>510</v>
      </c>
    </row>
    <row r="28" spans="1:6">
      <c r="A28" s="16" t="s">
        <v>244</v>
      </c>
      <c r="B28" s="16"/>
      <c r="C28" s="16">
        <v>0</v>
      </c>
      <c r="D28" s="19">
        <f>D26*D27*12</f>
        <v>9499.299552548473</v>
      </c>
      <c r="E28" s="19">
        <f>E26*E27*12</f>
        <v>11184.209969513922</v>
      </c>
      <c r="F28" s="19">
        <f>F26*F27*12</f>
        <v>12952.668992559606</v>
      </c>
    </row>
    <row r="29" spans="1:6">
      <c r="A29" t="s">
        <v>245</v>
      </c>
      <c r="B29" s="491">
        <f>'Summary Output'!$E$27</f>
        <v>0.10996598639455782</v>
      </c>
      <c r="C29" s="492">
        <f>XNPV(B29,C28:F28,$C$4:$F$4)</f>
        <v>27115.601901638423</v>
      </c>
    </row>
    <row r="31" spans="1:6">
      <c r="A31" s="39" t="s">
        <v>12</v>
      </c>
      <c r="B31" s="39"/>
      <c r="C31" s="39"/>
      <c r="D31" s="16"/>
      <c r="E31" s="16"/>
      <c r="F31" s="16"/>
    </row>
    <row r="32" spans="1:6">
      <c r="A32" s="21" t="s">
        <v>250</v>
      </c>
      <c r="B32" s="21"/>
      <c r="C32" s="21"/>
      <c r="D32" s="307">
        <f>'Power Price Assumption'!D38-4</f>
        <v>1.7985248261524829</v>
      </c>
      <c r="E32" s="307">
        <f>'Power Price Assumption'!E38-4</f>
        <v>2.1059584314016009</v>
      </c>
      <c r="F32" s="307">
        <f>'Power Price Assumption'!F38-4</f>
        <v>2.4296919447256471</v>
      </c>
    </row>
    <row r="33" spans="1:6">
      <c r="A33" s="16" t="s">
        <v>234</v>
      </c>
      <c r="B33" s="16"/>
      <c r="C33" s="16"/>
      <c r="D33" s="19">
        <f>Assumptions!$H$9</f>
        <v>470</v>
      </c>
      <c r="E33" s="19">
        <f>Assumptions!$H$9</f>
        <v>470</v>
      </c>
      <c r="F33" s="19">
        <f>Assumptions!$H$9</f>
        <v>470</v>
      </c>
    </row>
    <row r="34" spans="1:6">
      <c r="A34" s="16" t="s">
        <v>244</v>
      </c>
      <c r="B34" s="16"/>
      <c r="C34" s="16">
        <v>0</v>
      </c>
      <c r="D34" s="19">
        <f>D32*D33*12</f>
        <v>10143.680019500003</v>
      </c>
      <c r="E34" s="19">
        <f>E32*E33*12</f>
        <v>11877.605553105028</v>
      </c>
      <c r="F34" s="19">
        <f>F32*F33*12</f>
        <v>13703.462568252649</v>
      </c>
    </row>
    <row r="35" spans="1:6">
      <c r="A35" t="s">
        <v>245</v>
      </c>
      <c r="B35" s="491">
        <f>'Summary Output'!$E$27</f>
        <v>0.10996598639455782</v>
      </c>
      <c r="C35" s="492">
        <f>XNPV(B35,C34:F34,$C$4:$F$4)</f>
        <v>28808.460605203851</v>
      </c>
    </row>
    <row r="37" spans="1:6">
      <c r="A37" s="39" t="s">
        <v>13</v>
      </c>
      <c r="B37" s="39"/>
      <c r="C37" s="39"/>
      <c r="D37" s="16"/>
      <c r="E37" s="16"/>
      <c r="F37" s="16"/>
    </row>
    <row r="38" spans="1:6">
      <c r="A38" s="21" t="s">
        <v>250</v>
      </c>
      <c r="B38" s="21"/>
      <c r="C38" s="21"/>
      <c r="D38" s="307">
        <f>'Power Price Assumption'!D51-4</f>
        <v>1.8379155669285749</v>
      </c>
      <c r="E38" s="307">
        <f>'Power Price Assumption'!E51-4</f>
        <v>2.1116802769589782</v>
      </c>
      <c r="F38" s="307">
        <f>'Power Price Assumption'!F51-4</f>
        <v>2.3982829795226435</v>
      </c>
    </row>
    <row r="39" spans="1:6">
      <c r="A39" s="16" t="s">
        <v>234</v>
      </c>
      <c r="B39" s="16"/>
      <c r="C39" s="16"/>
      <c r="D39" s="19">
        <f>Assumptions!$I$9</f>
        <v>608</v>
      </c>
      <c r="E39" s="19">
        <f>Assumptions!$I$9</f>
        <v>608</v>
      </c>
      <c r="F39" s="19">
        <f>Assumptions!$I$9</f>
        <v>608</v>
      </c>
    </row>
    <row r="40" spans="1:6">
      <c r="A40" s="16" t="s">
        <v>244</v>
      </c>
      <c r="B40" s="16"/>
      <c r="C40" s="16">
        <v>0</v>
      </c>
      <c r="D40" s="19">
        <f>D38*D39*12</f>
        <v>13409.431976310883</v>
      </c>
      <c r="E40" s="19">
        <f>E38*E39*12</f>
        <v>15406.819300692705</v>
      </c>
      <c r="F40" s="19">
        <f>F38*F39*12</f>
        <v>17497.872618597205</v>
      </c>
    </row>
    <row r="41" spans="1:6">
      <c r="A41" t="s">
        <v>245</v>
      </c>
      <c r="B41" s="491">
        <f>'Summary Output'!$E$27</f>
        <v>0.10996598639455782</v>
      </c>
      <c r="C41" s="492">
        <f>XNPV(B41,C40:F40,$C$4:$F$4)</f>
        <v>37392.382463945469</v>
      </c>
    </row>
    <row r="44" spans="1:6">
      <c r="A44" s="39" t="s">
        <v>237</v>
      </c>
      <c r="B44" s="39"/>
      <c r="C44" s="39"/>
      <c r="D44" s="16"/>
      <c r="E44" s="16"/>
      <c r="F44" s="16"/>
    </row>
    <row r="45" spans="1:6">
      <c r="A45" s="16" t="s">
        <v>244</v>
      </c>
      <c r="B45" s="16"/>
      <c r="C45" s="123">
        <f>SUM(C10,C16,C22)</f>
        <v>0</v>
      </c>
      <c r="D45" s="123">
        <f>SUM(D10,D16,D22)</f>
        <v>24120.770432451514</v>
      </c>
      <c r="E45" s="123">
        <f>SUM(E10,E16,E22)</f>
        <v>28399.121393177513</v>
      </c>
      <c r="F45" s="123">
        <f>SUM(F10,F16,F22)</f>
        <v>32889.620285028803</v>
      </c>
    </row>
    <row r="46" spans="1:6">
      <c r="A46" t="s">
        <v>245</v>
      </c>
      <c r="B46" s="491">
        <f>'Summary Output'!$E$27</f>
        <v>0.10996598639455782</v>
      </c>
      <c r="C46" s="492">
        <f>XNPV(B46,C45:F45,$C$4:$F$4)</f>
        <v>68852.361691415223</v>
      </c>
    </row>
    <row r="48" spans="1:6">
      <c r="A48" s="39" t="s">
        <v>238</v>
      </c>
      <c r="B48" s="39"/>
      <c r="C48" s="39"/>
      <c r="D48" s="16"/>
      <c r="E48" s="16"/>
      <c r="F48" s="16"/>
    </row>
    <row r="49" spans="1:6">
      <c r="A49" s="16" t="s">
        <v>244</v>
      </c>
      <c r="B49" s="16"/>
      <c r="C49" s="16">
        <f>SUM(C28,C34,C40)</f>
        <v>0</v>
      </c>
      <c r="D49" s="19">
        <f>SUM(D28,D34,D40)</f>
        <v>33052.411548359363</v>
      </c>
      <c r="E49" s="19">
        <f>SUM(E28,E34,E40)</f>
        <v>38468.634823311651</v>
      </c>
      <c r="F49" s="19">
        <f>SUM(F28,F34,F40)</f>
        <v>44154.004179409458</v>
      </c>
    </row>
    <row r="50" spans="1:6">
      <c r="A50" t="s">
        <v>245</v>
      </c>
      <c r="B50" s="491">
        <f>'Summary Output'!$E$27</f>
        <v>0.10996598639455782</v>
      </c>
      <c r="C50" s="492">
        <f>XNPV(B50,C49:F49,$C$4:$F$4)</f>
        <v>93316.444970787736</v>
      </c>
    </row>
    <row r="52" spans="1:6">
      <c r="A52" s="39" t="s">
        <v>110</v>
      </c>
      <c r="B52" s="39"/>
      <c r="C52" s="39"/>
      <c r="D52" s="16"/>
      <c r="E52" s="16"/>
      <c r="F52" s="16"/>
    </row>
    <row r="53" spans="1:6">
      <c r="A53" s="16" t="s">
        <v>244</v>
      </c>
      <c r="B53" s="16"/>
      <c r="C53" s="16">
        <f>SUM(C40,C34,C28,C22,C16,C10)</f>
        <v>0</v>
      </c>
      <c r="D53" s="19">
        <f>SUM(D40,D34,D28,D22,D16,D10)</f>
        <v>57173.181980810885</v>
      </c>
      <c r="E53" s="19">
        <f>SUM(E40,E34,E28,E22,E16,E10)</f>
        <v>66867.756216489171</v>
      </c>
      <c r="F53" s="19">
        <f>SUM(F40,F34,F28,F22,F16,F10)</f>
        <v>77043.624464438268</v>
      </c>
    </row>
    <row r="54" spans="1:6">
      <c r="A54" t="s">
        <v>245</v>
      </c>
      <c r="B54" s="491">
        <f>'Summary Output'!$E$27</f>
        <v>0.10996598639455782</v>
      </c>
      <c r="C54" s="492">
        <f>XNPV(B54,C53:F53,$C$4:$F$4)</f>
        <v>162168.80666220299</v>
      </c>
    </row>
    <row r="56" spans="1:6">
      <c r="C56" s="494"/>
    </row>
  </sheetData>
  <pageMargins left="0.75" right="0.75" top="1" bottom="1" header="0.5" footer="0.5"/>
  <pageSetup scale="68" orientation="landscape" verticalDpi="0" r:id="rId1"/>
  <headerFooter alignWithMargins="0">
    <oddHeader>&amp;L&amp;12Enron's Generation&amp;RCONFIDENTIAL</oddHeader>
    <oddFooter>&amp;L&amp;D&amp;C&amp;F&amp;RPage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2:I27"/>
  <sheetViews>
    <sheetView zoomScale="75" zoomScaleNormal="75" workbookViewId="0"/>
  </sheetViews>
  <sheetFormatPr defaultRowHeight="12.75"/>
  <cols>
    <col min="1" max="1" width="21.28515625" style="16" bestFit="1" customWidth="1"/>
    <col min="2" max="2" width="4" style="16" customWidth="1"/>
    <col min="3" max="3" width="17.28515625" style="16" bestFit="1" customWidth="1"/>
    <col min="4" max="4" width="3.5703125" style="16" customWidth="1"/>
    <col min="5" max="5" width="13.7109375" style="16" bestFit="1" customWidth="1"/>
    <col min="6" max="16384" width="9.140625" style="16"/>
  </cols>
  <sheetData>
    <row r="2" spans="1:9" ht="18.75">
      <c r="A2" s="416" t="s">
        <v>89</v>
      </c>
    </row>
    <row r="3" spans="1:9" ht="15.75">
      <c r="A3" s="263"/>
    </row>
    <row r="4" spans="1:9">
      <c r="A4" s="378" t="s">
        <v>90</v>
      </c>
      <c r="B4" s="50"/>
      <c r="C4" s="378" t="s">
        <v>160</v>
      </c>
      <c r="D4" s="50"/>
      <c r="E4" s="378" t="s">
        <v>163</v>
      </c>
    </row>
    <row r="7" spans="1:9">
      <c r="A7" s="15" t="s">
        <v>9</v>
      </c>
      <c r="C7" s="414">
        <v>0.125039438479223</v>
      </c>
      <c r="E7" s="414">
        <v>0.15440554197847384</v>
      </c>
      <c r="G7" s="531"/>
      <c r="H7" s="531"/>
      <c r="I7" s="532"/>
    </row>
    <row r="8" spans="1:9">
      <c r="A8" s="15" t="s">
        <v>10</v>
      </c>
      <c r="C8" s="414">
        <v>0.1511835224699338</v>
      </c>
      <c r="E8" s="414">
        <v>0.1558587124333399</v>
      </c>
      <c r="G8" s="531"/>
      <c r="H8" s="531"/>
      <c r="I8" s="532"/>
    </row>
    <row r="9" spans="1:9">
      <c r="A9" s="39" t="s">
        <v>11</v>
      </c>
      <c r="C9" s="415">
        <v>0.14539217477626698</v>
      </c>
      <c r="E9" s="415">
        <v>0.1197550000844939</v>
      </c>
      <c r="G9" s="531"/>
      <c r="H9" s="531"/>
      <c r="I9" s="532"/>
    </row>
    <row r="10" spans="1:9">
      <c r="A10" s="15" t="s">
        <v>91</v>
      </c>
      <c r="C10" s="414">
        <f>SUM(C7:C9)</f>
        <v>0.42161513572542375</v>
      </c>
      <c r="E10" s="414">
        <f>SUM(E7:E9)</f>
        <v>0.43001925449630762</v>
      </c>
      <c r="G10" s="531"/>
      <c r="H10" s="531"/>
      <c r="I10" s="532"/>
    </row>
    <row r="11" spans="1:9">
      <c r="A11" s="39"/>
      <c r="C11" s="414"/>
      <c r="E11" s="414"/>
      <c r="G11" s="531"/>
      <c r="H11" s="531"/>
      <c r="I11" s="532"/>
    </row>
    <row r="12" spans="1:9">
      <c r="A12" s="15" t="s">
        <v>103</v>
      </c>
      <c r="C12" s="414">
        <v>0.17074206551655802</v>
      </c>
      <c r="E12" s="414">
        <v>0.17504968982648278</v>
      </c>
      <c r="G12" s="531"/>
      <c r="H12" s="531"/>
      <c r="I12" s="532"/>
    </row>
    <row r="13" spans="1:9">
      <c r="A13" s="15" t="s">
        <v>12</v>
      </c>
      <c r="C13" s="414">
        <v>0.1561848046993598</v>
      </c>
      <c r="E13" s="414">
        <v>0.17174199460296</v>
      </c>
    </row>
    <row r="14" spans="1:9">
      <c r="A14" s="39" t="s">
        <v>13</v>
      </c>
      <c r="C14" s="415">
        <v>0.25145799405865837</v>
      </c>
      <c r="E14" s="415">
        <v>0.22318906107424963</v>
      </c>
    </row>
    <row r="15" spans="1:9">
      <c r="A15" s="15" t="s">
        <v>91</v>
      </c>
      <c r="C15" s="414">
        <f>SUM(C12:C14)</f>
        <v>0.57838486427457614</v>
      </c>
      <c r="E15" s="414">
        <f>SUM(E12:E14)</f>
        <v>0.56998074550369238</v>
      </c>
    </row>
    <row r="16" spans="1:9">
      <c r="A16" s="39"/>
      <c r="C16" s="411"/>
      <c r="E16" s="411"/>
    </row>
    <row r="17" spans="1:5" ht="13.5" thickBot="1">
      <c r="A17" s="480" t="s">
        <v>20</v>
      </c>
      <c r="B17" s="410"/>
      <c r="C17" s="413">
        <f>SUM(C10,C15)</f>
        <v>0.99999999999999989</v>
      </c>
      <c r="D17" s="410"/>
      <c r="E17" s="413">
        <f>E15+E10</f>
        <v>1</v>
      </c>
    </row>
    <row r="18" spans="1:5" ht="13.5" thickTop="1">
      <c r="B18" s="6"/>
    </row>
    <row r="19" spans="1:5">
      <c r="B19" s="6"/>
      <c r="C19" s="6"/>
      <c r="D19" s="6"/>
    </row>
    <row r="20" spans="1:5">
      <c r="B20" s="379"/>
      <c r="C20" s="380"/>
    </row>
    <row r="25" spans="1:5">
      <c r="A25" s="39" t="s">
        <v>200</v>
      </c>
    </row>
    <row r="26" spans="1:5">
      <c r="A26" s="16" t="s">
        <v>224</v>
      </c>
    </row>
    <row r="27" spans="1:5">
      <c r="A27" s="16" t="s">
        <v>201</v>
      </c>
    </row>
  </sheetData>
  <pageMargins left="0.75" right="0.75" top="1" bottom="1" header="0.5" footer="0.5"/>
  <pageSetup orientation="landscape" r:id="rId1"/>
  <headerFooter alignWithMargins="0">
    <oddHeader>&amp;L&amp;12Enron's Generation&amp;RCONFIDENTIAL</oddHeader>
    <oddFooter>&amp;L&amp;D&amp;C&amp;F&amp;RPage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102</vt:i4>
      </vt:variant>
    </vt:vector>
  </HeadingPairs>
  <TitlesOfParts>
    <vt:vector size="119" baseType="lpstr">
      <vt:lpstr>Summary Output</vt:lpstr>
      <vt:lpstr>Assumptions</vt:lpstr>
      <vt:lpstr>Power Price Assumption</vt:lpstr>
      <vt:lpstr>IS</vt:lpstr>
      <vt:lpstr>PE</vt:lpstr>
      <vt:lpstr>Debt</vt:lpstr>
      <vt:lpstr>CF</vt:lpstr>
      <vt:lpstr>Depreciation</vt:lpstr>
      <vt:lpstr>Tax</vt:lpstr>
      <vt:lpstr>Brownsville</vt:lpstr>
      <vt:lpstr>Caledonia</vt:lpstr>
      <vt:lpstr>New Albany</vt:lpstr>
      <vt:lpstr>Gleason</vt:lpstr>
      <vt:lpstr>Wheatland</vt:lpstr>
      <vt:lpstr>Wilton</vt:lpstr>
      <vt:lpstr>Amortization of Power Contract</vt:lpstr>
      <vt:lpstr>Allocation</vt:lpstr>
      <vt:lpstr>Gleason!Coso_Distributable_Cash</vt:lpstr>
      <vt:lpstr>'New Albany'!Coso_Distributable_Cash</vt:lpstr>
      <vt:lpstr>Wheatland!Coso_Distributable_Cash</vt:lpstr>
      <vt:lpstr>Gleason!Coso_Net_ATCash</vt:lpstr>
      <vt:lpstr>'New Albany'!Coso_Net_ATCash</vt:lpstr>
      <vt:lpstr>Wheatland!Coso_Net_ATCash</vt:lpstr>
      <vt:lpstr>Gleason!Coso_Net_Income</vt:lpstr>
      <vt:lpstr>'New Albany'!Coso_Net_Income</vt:lpstr>
      <vt:lpstr>Wheatland!Coso_Net_Income</vt:lpstr>
      <vt:lpstr>Gleason!Energy_Credit_Coso</vt:lpstr>
      <vt:lpstr>'New Albany'!Energy_Credit_Coso</vt:lpstr>
      <vt:lpstr>Wheatland!Energy_Credit_Coso</vt:lpstr>
      <vt:lpstr>Gleason!FPOC_Distributable_Cash</vt:lpstr>
      <vt:lpstr>'New Albany'!FPOC_Distributable_Cash</vt:lpstr>
      <vt:lpstr>Wheatland!FPOC_Distributable_Cash</vt:lpstr>
      <vt:lpstr>Gleason!FPOC_Net_ATCash</vt:lpstr>
      <vt:lpstr>'New Albany'!FPOC_Net_ATCash</vt:lpstr>
      <vt:lpstr>Wheatland!FPOC_Net_ATCash</vt:lpstr>
      <vt:lpstr>Gleason!FPOC_Net_Income</vt:lpstr>
      <vt:lpstr>'New Albany'!FPOC_Net_Income</vt:lpstr>
      <vt:lpstr>Wheatland!FPOC_Net_Income</vt:lpstr>
      <vt:lpstr>Gleason!FSGC_ATCash</vt:lpstr>
      <vt:lpstr>'New Albany'!FSGC_ATCash</vt:lpstr>
      <vt:lpstr>Wheatland!FSGC_ATCash</vt:lpstr>
      <vt:lpstr>Gleason!FSGC_Distributable_Cash</vt:lpstr>
      <vt:lpstr>'New Albany'!FSGC_Distributable_Cash</vt:lpstr>
      <vt:lpstr>Wheatland!FSGC_Distributable_Cash</vt:lpstr>
      <vt:lpstr>Gleason!FSGC_Net_Income</vt:lpstr>
      <vt:lpstr>'New Albany'!FSGC_Net_Income</vt:lpstr>
      <vt:lpstr>Wheatland!FSGC_Net_Income</vt:lpstr>
      <vt:lpstr>Gleason!Minerals_Distributable_Cash</vt:lpstr>
      <vt:lpstr>'New Albany'!Minerals_Distributable_Cash</vt:lpstr>
      <vt:lpstr>Wheatland!Minerals_Distributable_Cash</vt:lpstr>
      <vt:lpstr>Gleason!Minerals_Net_ATCash</vt:lpstr>
      <vt:lpstr>'New Albany'!Minerals_Net_ATCash</vt:lpstr>
      <vt:lpstr>Wheatland!Minerals_Net_ATCash</vt:lpstr>
      <vt:lpstr>Gleason!Minerals_Net_Income</vt:lpstr>
      <vt:lpstr>'New Albany'!Minerals_Net_Income</vt:lpstr>
      <vt:lpstr>Wheatland!Minerals_Net_Income</vt:lpstr>
      <vt:lpstr>Gleason!Norcon_Distributable_Cash</vt:lpstr>
      <vt:lpstr>'New Albany'!Norcon_Distributable_Cash</vt:lpstr>
      <vt:lpstr>Wheatland!Norcon_Distributable_Cash</vt:lpstr>
      <vt:lpstr>Gleason!Norcon_Net_ATCash</vt:lpstr>
      <vt:lpstr>'New Albany'!Norcon_Net_ATCash</vt:lpstr>
      <vt:lpstr>Wheatland!Norcon_Net_ATCash</vt:lpstr>
      <vt:lpstr>Gleason!Norcon_Net_Income</vt:lpstr>
      <vt:lpstr>'New Albany'!Norcon_Net_Income</vt:lpstr>
      <vt:lpstr>Wheatland!Norcon_Net_Income</vt:lpstr>
      <vt:lpstr>Gleason!PRI_Cash_Taxes</vt:lpstr>
      <vt:lpstr>'New Albany'!PRI_Cash_Taxes</vt:lpstr>
      <vt:lpstr>Wheatland!PRI_Cash_Taxes</vt:lpstr>
      <vt:lpstr>Gleason!PRI_Net_ATCash</vt:lpstr>
      <vt:lpstr>'New Albany'!PRI_Net_ATCash</vt:lpstr>
      <vt:lpstr>Wheatland!PRI_Net_ATCash</vt:lpstr>
      <vt:lpstr>Gleason!PRI_Net_Income</vt:lpstr>
      <vt:lpstr>'New Albany'!PRI_Net_Income</vt:lpstr>
      <vt:lpstr>Wheatland!PRI_Net_Income</vt:lpstr>
      <vt:lpstr>Allocation!Print_Area</vt:lpstr>
      <vt:lpstr>'Amortization of Power Contract'!Print_Area</vt:lpstr>
      <vt:lpstr>Assumptions!Print_Area</vt:lpstr>
      <vt:lpstr>Brownsville!Print_Area</vt:lpstr>
      <vt:lpstr>Caledonia!Print_Area</vt:lpstr>
      <vt:lpstr>CF!Print_Area</vt:lpstr>
      <vt:lpstr>Debt!Print_Area</vt:lpstr>
      <vt:lpstr>Depreciation!Print_Area</vt:lpstr>
      <vt:lpstr>Gleason!Print_Area</vt:lpstr>
      <vt:lpstr>IS!Print_Area</vt:lpstr>
      <vt:lpstr>'New Albany'!Print_Area</vt:lpstr>
      <vt:lpstr>'Summary Output'!Print_Area</vt:lpstr>
      <vt:lpstr>Tax!Print_Area</vt:lpstr>
      <vt:lpstr>Wheatland!Print_Area</vt:lpstr>
      <vt:lpstr>Wilton!Print_Area</vt:lpstr>
      <vt:lpstr>Gleason!Saranac_Distributable_Cash</vt:lpstr>
      <vt:lpstr>'New Albany'!Saranac_Distributable_Cash</vt:lpstr>
      <vt:lpstr>Wheatland!Saranac_Distributable_Cash</vt:lpstr>
      <vt:lpstr>Gleason!Saranac_Net_ATCash</vt:lpstr>
      <vt:lpstr>'New Albany'!Saranac_Net_ATCash</vt:lpstr>
      <vt:lpstr>Wheatland!Saranac_Net_ATCash</vt:lpstr>
      <vt:lpstr>Gleason!Saranac_Net_Income</vt:lpstr>
      <vt:lpstr>'New Albany'!Saranac_Net_Income</vt:lpstr>
      <vt:lpstr>Wheatland!Saranac_Net_Income</vt:lpstr>
      <vt:lpstr>Gleason!Yuma_Distributable_Cash</vt:lpstr>
      <vt:lpstr>'New Albany'!Yuma_Distributable_Cash</vt:lpstr>
      <vt:lpstr>Wheatland!Yuma_Distributable_Cash</vt:lpstr>
      <vt:lpstr>Gleason!Yuma_Net_ATCash</vt:lpstr>
      <vt:lpstr>'New Albany'!Yuma_Net_ATCash</vt:lpstr>
      <vt:lpstr>Wheatland!Yuma_Net_ATCash</vt:lpstr>
      <vt:lpstr>Gleason!Yuma_Net_Income</vt:lpstr>
      <vt:lpstr>'New Albany'!Yuma_Net_Income</vt:lpstr>
      <vt:lpstr>Wheatland!Yuma_Net_Income</vt:lpstr>
      <vt:lpstr>Gleason!zinc</vt:lpstr>
      <vt:lpstr>'New Albany'!zinc</vt:lpstr>
      <vt:lpstr>Wheatland!zinc</vt:lpstr>
      <vt:lpstr>Gleason!Zinc_Distributable_Cash</vt:lpstr>
      <vt:lpstr>'New Albany'!Zinc_Distributable_Cash</vt:lpstr>
      <vt:lpstr>Wheatland!Zinc_Distributable_Cash</vt:lpstr>
      <vt:lpstr>Gleason!Zinc_Net_ATCash</vt:lpstr>
      <vt:lpstr>'New Albany'!Zinc_Net_ATCash</vt:lpstr>
      <vt:lpstr>Wheatland!Zinc_Net_ATCash</vt:lpstr>
      <vt:lpstr>Gleason!Zinc_Net_Income</vt:lpstr>
      <vt:lpstr>'New Albany'!Zinc_Net_Income</vt:lpstr>
      <vt:lpstr>Wheatland!Zinc_Net_Income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Felienne</cp:lastModifiedBy>
  <cp:lastPrinted>2000-05-31T22:46:27Z</cp:lastPrinted>
  <dcterms:created xsi:type="dcterms:W3CDTF">1999-04-02T01:38:38Z</dcterms:created>
  <dcterms:modified xsi:type="dcterms:W3CDTF">2014-09-03T11:01:16Z</dcterms:modified>
</cp:coreProperties>
</file>