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/>
  </bookViews>
  <sheets>
    <sheet name="Assumptions" sheetId="1" r:id="rId1"/>
    <sheet name="New Unit Financial Profile" sheetId="6" r:id="rId2"/>
    <sheet name="Summary" sheetId="4" r:id="rId3"/>
  </sheets>
  <definedNames>
    <definedName name="_xlnm.Print_Area" localSheetId="0">Assumptions!$1:$1048576</definedName>
    <definedName name="_xlnm.Print_Area" localSheetId="1">'New Unit Financial Profile'!$A$1:$U$119</definedName>
    <definedName name="_xlnm.Print_Area" localSheetId="2">Summary!$A$1:$V$60</definedName>
  </definedNames>
  <calcPr calcId="152511" fullCalcOnLoad="1"/>
</workbook>
</file>

<file path=xl/calcChain.xml><?xml version="1.0" encoding="utf-8"?>
<calcChain xmlns="http://schemas.openxmlformats.org/spreadsheetml/2006/main">
  <c r="C6" i="1" l="1"/>
  <c r="G15" i="1" s="1"/>
  <c r="C9" i="1"/>
  <c r="Q11" i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R11" i="1"/>
  <c r="U11" i="1"/>
  <c r="T11" i="1" s="1"/>
  <c r="S11" i="1" s="1"/>
  <c r="E13" i="1"/>
  <c r="F13" i="1" s="1"/>
  <c r="G13" i="1"/>
  <c r="H13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F14" i="1"/>
  <c r="E15" i="1"/>
  <c r="F15" i="1"/>
  <c r="H15" i="1"/>
  <c r="I15" i="1"/>
  <c r="J15" i="1"/>
  <c r="K15" i="1"/>
  <c r="M15" i="1"/>
  <c r="N15" i="1"/>
  <c r="P15" i="1"/>
  <c r="Q15" i="1"/>
  <c r="R15" i="1"/>
  <c r="S15" i="1"/>
  <c r="U15" i="1"/>
  <c r="V15" i="1"/>
  <c r="X15" i="1"/>
  <c r="Y15" i="1"/>
  <c r="Z15" i="1"/>
  <c r="AA15" i="1"/>
  <c r="AC15" i="1"/>
  <c r="AD15" i="1"/>
  <c r="AF15" i="1"/>
  <c r="C20" i="1"/>
  <c r="E29" i="1" s="1"/>
  <c r="C23" i="1"/>
  <c r="T25" i="1"/>
  <c r="S25" i="1" s="1"/>
  <c r="R25" i="1" s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U25" i="1"/>
  <c r="E27" i="1"/>
  <c r="F27" i="1" s="1"/>
  <c r="G27" i="1" s="1"/>
  <c r="H27" i="1" s="1"/>
  <c r="I27" i="1" s="1"/>
  <c r="J27" i="1" s="1"/>
  <c r="K27" i="1" s="1"/>
  <c r="L27" i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F28" i="1"/>
  <c r="AF29" i="1" s="1"/>
  <c r="D29" i="1"/>
  <c r="L29" i="1"/>
  <c r="M29" i="1"/>
  <c r="R29" i="1"/>
  <c r="T29" i="1"/>
  <c r="AB29" i="1"/>
  <c r="AC29" i="1"/>
  <c r="C34" i="1"/>
  <c r="G43" i="1" s="1"/>
  <c r="C37" i="1"/>
  <c r="R39" i="1"/>
  <c r="Q39" i="1" s="1"/>
  <c r="P39" i="1" s="1"/>
  <c r="O39" i="1" s="1"/>
  <c r="N39" i="1" s="1"/>
  <c r="M39" i="1" s="1"/>
  <c r="L39" i="1" s="1"/>
  <c r="K39" i="1" s="1"/>
  <c r="J39" i="1" s="1"/>
  <c r="I39" i="1" s="1"/>
  <c r="H39" i="1" s="1"/>
  <c r="G39" i="1" s="1"/>
  <c r="U39" i="1"/>
  <c r="T39" i="1" s="1"/>
  <c r="S39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F42" i="1"/>
  <c r="E43" i="1"/>
  <c r="F43" i="1"/>
  <c r="H43" i="1"/>
  <c r="I43" i="1"/>
  <c r="J43" i="1"/>
  <c r="K43" i="1"/>
  <c r="M43" i="1"/>
  <c r="N43" i="1"/>
  <c r="P43" i="1"/>
  <c r="Q43" i="1"/>
  <c r="R43" i="1"/>
  <c r="S43" i="1"/>
  <c r="U43" i="1"/>
  <c r="V43" i="1"/>
  <c r="W43" i="1"/>
  <c r="X43" i="1"/>
  <c r="Y43" i="1"/>
  <c r="Z43" i="1"/>
  <c r="AA43" i="1"/>
  <c r="AC43" i="1"/>
  <c r="AD43" i="1"/>
  <c r="AE43" i="1"/>
  <c r="AF43" i="1"/>
  <c r="C48" i="1"/>
  <c r="E57" i="1" s="1"/>
  <c r="C51" i="1"/>
  <c r="R53" i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T53" i="1"/>
  <c r="S53" i="1" s="1"/>
  <c r="U53" i="1"/>
  <c r="E55" i="1"/>
  <c r="F55" i="1" s="1"/>
  <c r="G55" i="1" s="1"/>
  <c r="H55" i="1" s="1"/>
  <c r="I55" i="1"/>
  <c r="J55" i="1" s="1"/>
  <c r="K55" i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F56" i="1"/>
  <c r="AF57" i="1" s="1"/>
  <c r="D57" i="1"/>
  <c r="J57" i="1"/>
  <c r="L57" i="1"/>
  <c r="N57" i="1"/>
  <c r="R57" i="1"/>
  <c r="T57" i="1"/>
  <c r="Z57" i="1"/>
  <c r="AB57" i="1"/>
  <c r="AD57" i="1"/>
  <c r="C4" i="6"/>
  <c r="D4" i="6"/>
  <c r="E4" i="6" s="1"/>
  <c r="F4" i="6" s="1"/>
  <c r="G4" i="6" s="1"/>
  <c r="H4" i="6"/>
  <c r="I4" i="6" s="1"/>
  <c r="J4" i="6" s="1"/>
  <c r="K4" i="6" s="1"/>
  <c r="L4" i="6"/>
  <c r="M4" i="6" s="1"/>
  <c r="N4" i="6" s="1"/>
  <c r="O4" i="6" s="1"/>
  <c r="P4" i="6" s="1"/>
  <c r="Q4" i="6" s="1"/>
  <c r="R4" i="6" s="1"/>
  <c r="S4" i="6" s="1"/>
  <c r="T4" i="6" s="1"/>
  <c r="U4" i="6" s="1"/>
  <c r="B10" i="6"/>
  <c r="B16" i="6"/>
  <c r="H17" i="6"/>
  <c r="L17" i="6"/>
  <c r="N17" i="6"/>
  <c r="O17" i="6"/>
  <c r="P17" i="6"/>
  <c r="A29" i="6"/>
  <c r="C33" i="6"/>
  <c r="D33" i="6" s="1"/>
  <c r="E33" i="6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R33" i="6" s="1"/>
  <c r="S33" i="6" s="1"/>
  <c r="T33" i="6" s="1"/>
  <c r="U33" i="6" s="1"/>
  <c r="B35" i="6"/>
  <c r="B40" i="6" s="1"/>
  <c r="B39" i="6"/>
  <c r="C62" i="6"/>
  <c r="D62" i="6"/>
  <c r="E62" i="6" s="1"/>
  <c r="F62" i="6" s="1"/>
  <c r="G62" i="6" s="1"/>
  <c r="H62" i="6" s="1"/>
  <c r="I62" i="6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B65" i="6"/>
  <c r="B68" i="6"/>
  <c r="B64" i="6" s="1"/>
  <c r="B69" i="6"/>
  <c r="B74" i="6"/>
  <c r="B75" i="6"/>
  <c r="B76" i="6" s="1"/>
  <c r="C74" i="6" s="1"/>
  <c r="C76" i="6" s="1"/>
  <c r="D74" i="6" s="1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A87" i="6"/>
  <c r="C91" i="6"/>
  <c r="D91" i="6" s="1"/>
  <c r="E91" i="6" s="1"/>
  <c r="F91" i="6"/>
  <c r="G91" i="6" s="1"/>
  <c r="H91" i="6" s="1"/>
  <c r="I91" i="6"/>
  <c r="J91" i="6" s="1"/>
  <c r="K91" i="6" s="1"/>
  <c r="L91" i="6" s="1"/>
  <c r="M91" i="6" s="1"/>
  <c r="N91" i="6" s="1"/>
  <c r="O91" i="6" s="1"/>
  <c r="P91" i="6" s="1"/>
  <c r="Q91" i="6" s="1"/>
  <c r="R91" i="6" s="1"/>
  <c r="S91" i="6" s="1"/>
  <c r="T91" i="6" s="1"/>
  <c r="U91" i="6" s="1"/>
  <c r="B97" i="6"/>
  <c r="B93" i="6" s="1"/>
  <c r="B98" i="6" s="1"/>
  <c r="B103" i="6"/>
  <c r="G104" i="6" s="1"/>
  <c r="C104" i="6"/>
  <c r="D104" i="6"/>
  <c r="F104" i="6"/>
  <c r="H104" i="6"/>
  <c r="I104" i="6"/>
  <c r="K104" i="6"/>
  <c r="L104" i="6"/>
  <c r="M104" i="6"/>
  <c r="N104" i="6"/>
  <c r="P104" i="6"/>
  <c r="Q104" i="6"/>
  <c r="S104" i="6"/>
  <c r="T104" i="6"/>
  <c r="U104" i="6"/>
  <c r="A116" i="6"/>
  <c r="C6" i="4"/>
  <c r="D6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C9" i="4"/>
  <c r="D9" i="4"/>
  <c r="E9" i="4"/>
  <c r="B10" i="4"/>
  <c r="B11" i="4"/>
  <c r="C11" i="4" s="1"/>
  <c r="D11" i="4" s="1"/>
  <c r="E11" i="4"/>
  <c r="F11" i="4" s="1"/>
  <c r="G11" i="4" s="1"/>
  <c r="C15" i="4"/>
  <c r="D15" i="4"/>
  <c r="E15" i="4"/>
  <c r="F15" i="4"/>
  <c r="G15" i="4"/>
  <c r="G17" i="4" s="1"/>
  <c r="G19" i="4" s="1"/>
  <c r="C16" i="4"/>
  <c r="D16" i="4"/>
  <c r="E16" i="4"/>
  <c r="C17" i="4"/>
  <c r="C19" i="4" s="1"/>
  <c r="E17" i="4"/>
  <c r="F17" i="4"/>
  <c r="F19" i="4" s="1"/>
  <c r="E19" i="4"/>
  <c r="C20" i="4"/>
  <c r="F20" i="4"/>
  <c r="G20" i="4"/>
  <c r="C24" i="4"/>
  <c r="C27" i="4" s="1"/>
  <c r="E26" i="4"/>
  <c r="E42" i="4"/>
  <c r="C50" i="4"/>
  <c r="I15" i="4" l="1"/>
  <c r="B70" i="6"/>
  <c r="B87" i="6"/>
  <c r="E20" i="4"/>
  <c r="A58" i="6"/>
  <c r="B36" i="6"/>
  <c r="B71" i="6"/>
  <c r="C68" i="6" s="1"/>
  <c r="D25" i="4"/>
  <c r="I16" i="4"/>
  <c r="D17" i="4"/>
  <c r="E104" i="6"/>
  <c r="R104" i="6"/>
  <c r="J104" i="6"/>
  <c r="B104" i="6"/>
  <c r="B105" i="6" s="1"/>
  <c r="C103" i="6" s="1"/>
  <c r="C105" i="6" s="1"/>
  <c r="D103" i="6" s="1"/>
  <c r="D105" i="6" s="1"/>
  <c r="E103" i="6" s="1"/>
  <c r="E105" i="6" s="1"/>
  <c r="F103" i="6" s="1"/>
  <c r="F105" i="6" s="1"/>
  <c r="G103" i="6" s="1"/>
  <c r="G105" i="6" s="1"/>
  <c r="H103" i="6" s="1"/>
  <c r="H105" i="6" s="1"/>
  <c r="I103" i="6" s="1"/>
  <c r="I105" i="6" s="1"/>
  <c r="J103" i="6" s="1"/>
  <c r="J105" i="6" s="1"/>
  <c r="K103" i="6" s="1"/>
  <c r="K105" i="6" s="1"/>
  <c r="L103" i="6" s="1"/>
  <c r="L105" i="6" s="1"/>
  <c r="M103" i="6" s="1"/>
  <c r="M105" i="6" s="1"/>
  <c r="N103" i="6" s="1"/>
  <c r="N105" i="6" s="1"/>
  <c r="O103" i="6" s="1"/>
  <c r="O105" i="6" s="1"/>
  <c r="P103" i="6" s="1"/>
  <c r="P105" i="6" s="1"/>
  <c r="Q103" i="6" s="1"/>
  <c r="Q105" i="6" s="1"/>
  <c r="R103" i="6" s="1"/>
  <c r="R105" i="6" s="1"/>
  <c r="S103" i="6" s="1"/>
  <c r="S105" i="6" s="1"/>
  <c r="T103" i="6" s="1"/>
  <c r="T105" i="6" s="1"/>
  <c r="U103" i="6" s="1"/>
  <c r="U105" i="6" s="1"/>
  <c r="D76" i="6"/>
  <c r="E74" i="6" s="1"/>
  <c r="E76" i="6" s="1"/>
  <c r="F74" i="6" s="1"/>
  <c r="F76" i="6" s="1"/>
  <c r="G74" i="6" s="1"/>
  <c r="G76" i="6" s="1"/>
  <c r="H74" i="6" s="1"/>
  <c r="H76" i="6" s="1"/>
  <c r="I74" i="6" s="1"/>
  <c r="I76" i="6" s="1"/>
  <c r="J74" i="6" s="1"/>
  <c r="J76" i="6" s="1"/>
  <c r="K74" i="6" s="1"/>
  <c r="K76" i="6" s="1"/>
  <c r="L74" i="6" s="1"/>
  <c r="L76" i="6" s="1"/>
  <c r="M74" i="6" s="1"/>
  <c r="M76" i="6" s="1"/>
  <c r="N74" i="6" s="1"/>
  <c r="N76" i="6" s="1"/>
  <c r="O74" i="6" s="1"/>
  <c r="O76" i="6" s="1"/>
  <c r="P74" i="6" s="1"/>
  <c r="P76" i="6" s="1"/>
  <c r="Q74" i="6" s="1"/>
  <c r="Q76" i="6" s="1"/>
  <c r="R74" i="6" s="1"/>
  <c r="R76" i="6" s="1"/>
  <c r="S74" i="6" s="1"/>
  <c r="S76" i="6" s="1"/>
  <c r="T74" i="6" s="1"/>
  <c r="T76" i="6" s="1"/>
  <c r="U74" i="6" s="1"/>
  <c r="U76" i="6" s="1"/>
  <c r="B94" i="6"/>
  <c r="O104" i="6"/>
  <c r="C17" i="6"/>
  <c r="K17" i="6"/>
  <c r="S17" i="6"/>
  <c r="E17" i="6"/>
  <c r="M17" i="6"/>
  <c r="U17" i="6"/>
  <c r="I17" i="6"/>
  <c r="Q17" i="6"/>
  <c r="B17" i="6"/>
  <c r="J17" i="6"/>
  <c r="R17" i="6"/>
  <c r="B7" i="6"/>
  <c r="AC57" i="1"/>
  <c r="M57" i="1"/>
  <c r="AD29" i="1"/>
  <c r="N29" i="1"/>
  <c r="G17" i="6"/>
  <c r="V57" i="1"/>
  <c r="F57" i="1"/>
  <c r="Z29" i="1"/>
  <c r="J29" i="1"/>
  <c r="B45" i="6"/>
  <c r="B18" i="6"/>
  <c r="C16" i="6" s="1"/>
  <c r="C18" i="6" s="1"/>
  <c r="D16" i="6" s="1"/>
  <c r="F17" i="6"/>
  <c r="B6" i="6"/>
  <c r="U57" i="1"/>
  <c r="V29" i="1"/>
  <c r="F29" i="1"/>
  <c r="T17" i="6"/>
  <c r="D17" i="6"/>
  <c r="I57" i="1"/>
  <c r="Q57" i="1"/>
  <c r="Y57" i="1"/>
  <c r="K57" i="1"/>
  <c r="S57" i="1"/>
  <c r="AA57" i="1"/>
  <c r="G57" i="1"/>
  <c r="O57" i="1"/>
  <c r="W57" i="1"/>
  <c r="AE57" i="1"/>
  <c r="H57" i="1"/>
  <c r="P57" i="1"/>
  <c r="X57" i="1"/>
  <c r="U29" i="1"/>
  <c r="I29" i="1"/>
  <c r="Q29" i="1"/>
  <c r="Y29" i="1"/>
  <c r="K29" i="1"/>
  <c r="S29" i="1"/>
  <c r="AA29" i="1"/>
  <c r="G29" i="1"/>
  <c r="O29" i="1"/>
  <c r="W29" i="1"/>
  <c r="AE29" i="1"/>
  <c r="H29" i="1"/>
  <c r="P29" i="1"/>
  <c r="X29" i="1"/>
  <c r="AB43" i="1"/>
  <c r="T43" i="1"/>
  <c r="L43" i="1"/>
  <c r="D43" i="1"/>
  <c r="AB15" i="1"/>
  <c r="T15" i="1"/>
  <c r="L15" i="1"/>
  <c r="D15" i="1"/>
  <c r="O43" i="1"/>
  <c r="AE15" i="1"/>
  <c r="W15" i="1"/>
  <c r="O15" i="1"/>
  <c r="D46" i="6" l="1"/>
  <c r="L46" i="6"/>
  <c r="T46" i="6"/>
  <c r="E46" i="6"/>
  <c r="M46" i="6"/>
  <c r="U46" i="6"/>
  <c r="F46" i="6"/>
  <c r="N46" i="6"/>
  <c r="I46" i="6"/>
  <c r="Q46" i="6"/>
  <c r="P46" i="6"/>
  <c r="B46" i="6"/>
  <c r="B47" i="6" s="1"/>
  <c r="C45" i="6" s="1"/>
  <c r="C47" i="6" s="1"/>
  <c r="D45" i="6" s="1"/>
  <c r="D47" i="6" s="1"/>
  <c r="E45" i="6" s="1"/>
  <c r="E47" i="6" s="1"/>
  <c r="F45" i="6" s="1"/>
  <c r="F47" i="6" s="1"/>
  <c r="G45" i="6" s="1"/>
  <c r="G47" i="6" s="1"/>
  <c r="H45" i="6" s="1"/>
  <c r="H47" i="6" s="1"/>
  <c r="I45" i="6" s="1"/>
  <c r="I47" i="6" s="1"/>
  <c r="J45" i="6" s="1"/>
  <c r="J47" i="6" s="1"/>
  <c r="K45" i="6" s="1"/>
  <c r="K47" i="6" s="1"/>
  <c r="L45" i="6" s="1"/>
  <c r="L47" i="6" s="1"/>
  <c r="M45" i="6" s="1"/>
  <c r="M47" i="6" s="1"/>
  <c r="N45" i="6" s="1"/>
  <c r="N47" i="6" s="1"/>
  <c r="O45" i="6" s="1"/>
  <c r="O47" i="6" s="1"/>
  <c r="P45" i="6" s="1"/>
  <c r="P47" i="6" s="1"/>
  <c r="Q45" i="6" s="1"/>
  <c r="Q47" i="6" s="1"/>
  <c r="R45" i="6" s="1"/>
  <c r="R47" i="6" s="1"/>
  <c r="S45" i="6" s="1"/>
  <c r="S47" i="6" s="1"/>
  <c r="T45" i="6" s="1"/>
  <c r="T47" i="6" s="1"/>
  <c r="U45" i="6" s="1"/>
  <c r="U47" i="6" s="1"/>
  <c r="R46" i="6"/>
  <c r="G46" i="6"/>
  <c r="K46" i="6"/>
  <c r="C46" i="6"/>
  <c r="J46" i="6"/>
  <c r="H46" i="6"/>
  <c r="O46" i="6"/>
  <c r="S46" i="6"/>
  <c r="C64" i="6"/>
  <c r="C65" i="6"/>
  <c r="B99" i="6"/>
  <c r="B100" i="6" s="1"/>
  <c r="C97" i="6" s="1"/>
  <c r="B116" i="6"/>
  <c r="C40" i="4"/>
  <c r="C43" i="4" s="1"/>
  <c r="C52" i="4" s="1"/>
  <c r="B29" i="6"/>
  <c r="B12" i="6"/>
  <c r="F48" i="4"/>
  <c r="G49" i="4"/>
  <c r="D46" i="4"/>
  <c r="D50" i="4" s="1"/>
  <c r="E47" i="4"/>
  <c r="B41" i="6"/>
  <c r="B42" i="6" s="1"/>
  <c r="C39" i="6" s="1"/>
  <c r="B58" i="6"/>
  <c r="D41" i="4"/>
  <c r="B11" i="6"/>
  <c r="B13" i="6" s="1"/>
  <c r="C10" i="6" s="1"/>
  <c r="C29" i="4"/>
  <c r="C34" i="4" s="1"/>
  <c r="C36" i="4" s="1"/>
  <c r="G33" i="4"/>
  <c r="D30" i="4"/>
  <c r="E31" i="4"/>
  <c r="F32" i="4"/>
  <c r="D18" i="6"/>
  <c r="E16" i="6" s="1"/>
  <c r="E18" i="6" s="1"/>
  <c r="F16" i="6" s="1"/>
  <c r="F18" i="6" s="1"/>
  <c r="G16" i="6" s="1"/>
  <c r="G18" i="6" s="1"/>
  <c r="H16" i="6" s="1"/>
  <c r="H18" i="6" s="1"/>
  <c r="I16" i="6" s="1"/>
  <c r="I18" i="6" s="1"/>
  <c r="J16" i="6" s="1"/>
  <c r="J18" i="6" s="1"/>
  <c r="K16" i="6" s="1"/>
  <c r="K18" i="6" s="1"/>
  <c r="L16" i="6" s="1"/>
  <c r="L18" i="6" s="1"/>
  <c r="M16" i="6" s="1"/>
  <c r="M18" i="6" s="1"/>
  <c r="N16" i="6" s="1"/>
  <c r="N18" i="6" s="1"/>
  <c r="O16" i="6" s="1"/>
  <c r="O18" i="6" s="1"/>
  <c r="P16" i="6" s="1"/>
  <c r="P18" i="6" s="1"/>
  <c r="Q16" i="6" s="1"/>
  <c r="Q18" i="6" s="1"/>
  <c r="R16" i="6" s="1"/>
  <c r="R18" i="6" s="1"/>
  <c r="S16" i="6" s="1"/>
  <c r="S18" i="6" s="1"/>
  <c r="T16" i="6" s="1"/>
  <c r="T18" i="6" s="1"/>
  <c r="U16" i="6" s="1"/>
  <c r="U18" i="6" s="1"/>
  <c r="D20" i="4"/>
  <c r="I20" i="4" s="1"/>
  <c r="D19" i="4"/>
  <c r="I19" i="4" s="1"/>
  <c r="I17" i="4"/>
  <c r="C87" i="6" l="1"/>
  <c r="C70" i="6"/>
  <c r="F42" i="4"/>
  <c r="C7" i="6"/>
  <c r="C6" i="6"/>
  <c r="C69" i="6"/>
  <c r="C71" i="6" s="1"/>
  <c r="D68" i="6" s="1"/>
  <c r="F26" i="4"/>
  <c r="C35" i="6"/>
  <c r="C36" i="6"/>
  <c r="C93" i="6"/>
  <c r="C94" i="6"/>
  <c r="I21" i="4"/>
  <c r="C11" i="6" l="1"/>
  <c r="D29" i="4"/>
  <c r="D34" i="4" s="1"/>
  <c r="H33" i="4"/>
  <c r="E30" i="4"/>
  <c r="G32" i="4"/>
  <c r="F31" i="4"/>
  <c r="C41" i="6"/>
  <c r="C58" i="6"/>
  <c r="E41" i="4"/>
  <c r="C12" i="6"/>
  <c r="C29" i="6"/>
  <c r="F47" i="4"/>
  <c r="G48" i="4"/>
  <c r="E46" i="4"/>
  <c r="E50" i="4" s="1"/>
  <c r="H49" i="4"/>
  <c r="D64" i="6"/>
  <c r="D65" i="6"/>
  <c r="C40" i="6"/>
  <c r="E25" i="4"/>
  <c r="C99" i="6"/>
  <c r="D40" i="4"/>
  <c r="D43" i="4" s="1"/>
  <c r="D52" i="4" s="1"/>
  <c r="C116" i="6"/>
  <c r="D24" i="4"/>
  <c r="D27" i="4" s="1"/>
  <c r="C98" i="6"/>
  <c r="C42" i="6" l="1"/>
  <c r="D39" i="6" s="1"/>
  <c r="C100" i="6"/>
  <c r="D97" i="6" s="1"/>
  <c r="D70" i="6"/>
  <c r="G42" i="4"/>
  <c r="D87" i="6"/>
  <c r="D69" i="6"/>
  <c r="D71" i="6" s="1"/>
  <c r="E68" i="6" s="1"/>
  <c r="G26" i="4"/>
  <c r="D36" i="4"/>
  <c r="C13" i="6"/>
  <c r="D10" i="6" s="1"/>
  <c r="E64" i="6" l="1"/>
  <c r="E65" i="6"/>
  <c r="D7" i="6"/>
  <c r="D6" i="6"/>
  <c r="D93" i="6"/>
  <c r="D94" i="6"/>
  <c r="D36" i="6"/>
  <c r="D35" i="6"/>
  <c r="D98" i="6" l="1"/>
  <c r="E24" i="4"/>
  <c r="E27" i="4" s="1"/>
  <c r="D29" i="6"/>
  <c r="F46" i="4"/>
  <c r="F50" i="4" s="1"/>
  <c r="D12" i="6"/>
  <c r="G47" i="4"/>
  <c r="I49" i="4"/>
  <c r="H48" i="4"/>
  <c r="D11" i="6"/>
  <c r="D13" i="6" s="1"/>
  <c r="E10" i="6" s="1"/>
  <c r="F30" i="4"/>
  <c r="E29" i="4"/>
  <c r="E34" i="4" s="1"/>
  <c r="G31" i="4"/>
  <c r="H32" i="4"/>
  <c r="I33" i="4"/>
  <c r="D40" i="6"/>
  <c r="D42" i="6" s="1"/>
  <c r="E39" i="6" s="1"/>
  <c r="F25" i="4"/>
  <c r="E87" i="6"/>
  <c r="H42" i="4"/>
  <c r="E70" i="6"/>
  <c r="D41" i="6"/>
  <c r="D58" i="6"/>
  <c r="F41" i="4"/>
  <c r="D99" i="6"/>
  <c r="D116" i="6"/>
  <c r="E40" i="4"/>
  <c r="E43" i="4" s="1"/>
  <c r="E52" i="4" s="1"/>
  <c r="E69" i="6"/>
  <c r="H26" i="4"/>
  <c r="E71" i="6" l="1"/>
  <c r="F68" i="6" s="1"/>
  <c r="D100" i="6"/>
  <c r="E97" i="6" s="1"/>
  <c r="E35" i="6"/>
  <c r="E36" i="6"/>
  <c r="E7" i="6"/>
  <c r="E6" i="6"/>
  <c r="E36" i="4"/>
  <c r="E11" i="6" l="1"/>
  <c r="G30" i="4"/>
  <c r="J33" i="4"/>
  <c r="F29" i="4"/>
  <c r="F34" i="4" s="1"/>
  <c r="I32" i="4"/>
  <c r="H31" i="4"/>
  <c r="E12" i="6"/>
  <c r="E29" i="6"/>
  <c r="H47" i="4"/>
  <c r="I48" i="4"/>
  <c r="J49" i="4"/>
  <c r="G46" i="4"/>
  <c r="G50" i="4" s="1"/>
  <c r="E41" i="6"/>
  <c r="E58" i="6"/>
  <c r="G41" i="4"/>
  <c r="F65" i="6"/>
  <c r="F64" i="6"/>
  <c r="E40" i="6"/>
  <c r="G25" i="4"/>
  <c r="E93" i="6"/>
  <c r="E94" i="6"/>
  <c r="F69" i="6" l="1"/>
  <c r="I26" i="4"/>
  <c r="E99" i="6"/>
  <c r="E116" i="6"/>
  <c r="F40" i="4"/>
  <c r="F43" i="4" s="1"/>
  <c r="F52" i="4" s="1"/>
  <c r="F24" i="4"/>
  <c r="F27" i="4" s="1"/>
  <c r="F36" i="4" s="1"/>
  <c r="E98" i="6"/>
  <c r="E100" i="6" s="1"/>
  <c r="F97" i="6" s="1"/>
  <c r="E42" i="6"/>
  <c r="F39" i="6" s="1"/>
  <c r="F87" i="6"/>
  <c r="F70" i="6"/>
  <c r="I42" i="4"/>
  <c r="E13" i="6"/>
  <c r="F10" i="6" s="1"/>
  <c r="F6" i="6" l="1"/>
  <c r="F7" i="6"/>
  <c r="F93" i="6"/>
  <c r="F94" i="6"/>
  <c r="F35" i="6"/>
  <c r="F36" i="6"/>
  <c r="F71" i="6"/>
  <c r="G68" i="6" s="1"/>
  <c r="F40" i="6" l="1"/>
  <c r="H25" i="4"/>
  <c r="F99" i="6"/>
  <c r="F116" i="6"/>
  <c r="G40" i="4"/>
  <c r="G43" i="4" s="1"/>
  <c r="G52" i="4" s="1"/>
  <c r="G65" i="6"/>
  <c r="G64" i="6"/>
  <c r="F29" i="6"/>
  <c r="F12" i="6"/>
  <c r="K49" i="4"/>
  <c r="H46" i="4"/>
  <c r="H50" i="4" s="1"/>
  <c r="I47" i="4"/>
  <c r="J48" i="4"/>
  <c r="F58" i="6"/>
  <c r="F41" i="6"/>
  <c r="H41" i="4"/>
  <c r="F98" i="6"/>
  <c r="F100" i="6" s="1"/>
  <c r="G97" i="6" s="1"/>
  <c r="G24" i="4"/>
  <c r="G27" i="4" s="1"/>
  <c r="F11" i="6"/>
  <c r="F13" i="6" s="1"/>
  <c r="G10" i="6" s="1"/>
  <c r="K33" i="4"/>
  <c r="I31" i="4"/>
  <c r="J32" i="4"/>
  <c r="G29" i="4"/>
  <c r="G34" i="4" s="1"/>
  <c r="H30" i="4"/>
  <c r="F42" i="6" l="1"/>
  <c r="G39" i="6" s="1"/>
  <c r="G6" i="6"/>
  <c r="G7" i="6"/>
  <c r="G70" i="6"/>
  <c r="G87" i="6"/>
  <c r="J42" i="4"/>
  <c r="G94" i="6"/>
  <c r="G93" i="6"/>
  <c r="G36" i="4"/>
  <c r="G69" i="6"/>
  <c r="G71" i="6" s="1"/>
  <c r="H68" i="6" s="1"/>
  <c r="J26" i="4"/>
  <c r="G36" i="6" l="1"/>
  <c r="G35" i="6"/>
  <c r="G116" i="6"/>
  <c r="G99" i="6"/>
  <c r="H40" i="4"/>
  <c r="H43" i="4" s="1"/>
  <c r="H52" i="4" s="1"/>
  <c r="G11" i="6"/>
  <c r="G13" i="6" s="1"/>
  <c r="H10" i="6" s="1"/>
  <c r="K32" i="4"/>
  <c r="I30" i="4"/>
  <c r="J31" i="4"/>
  <c r="H29" i="4"/>
  <c r="H34" i="4" s="1"/>
  <c r="L33" i="4"/>
  <c r="H65" i="6"/>
  <c r="H64" i="6"/>
  <c r="G98" i="6"/>
  <c r="H24" i="4"/>
  <c r="H27" i="4" s="1"/>
  <c r="G12" i="6"/>
  <c r="G29" i="6"/>
  <c r="K48" i="4"/>
  <c r="I46" i="4"/>
  <c r="I50" i="4" s="1"/>
  <c r="J47" i="4"/>
  <c r="L49" i="4"/>
  <c r="H7" i="6" l="1"/>
  <c r="H6" i="6"/>
  <c r="G100" i="6"/>
  <c r="H97" i="6" s="1"/>
  <c r="H69" i="6"/>
  <c r="H71" i="6" s="1"/>
  <c r="I68" i="6" s="1"/>
  <c r="K26" i="4"/>
  <c r="H87" i="6"/>
  <c r="H70" i="6"/>
  <c r="K42" i="4"/>
  <c r="H36" i="4"/>
  <c r="G40" i="6"/>
  <c r="G42" i="6" s="1"/>
  <c r="H39" i="6" s="1"/>
  <c r="I25" i="4"/>
  <c r="G41" i="6"/>
  <c r="G58" i="6"/>
  <c r="I41" i="4"/>
  <c r="H94" i="6" l="1"/>
  <c r="H93" i="6"/>
  <c r="I29" i="4"/>
  <c r="I34" i="4" s="1"/>
  <c r="H11" i="6"/>
  <c r="H13" i="6" s="1"/>
  <c r="I10" i="6" s="1"/>
  <c r="M33" i="4"/>
  <c r="K31" i="4"/>
  <c r="J30" i="4"/>
  <c r="L32" i="4"/>
  <c r="H29" i="6"/>
  <c r="H12" i="6"/>
  <c r="J46" i="4"/>
  <c r="J50" i="4" s="1"/>
  <c r="K47" i="4"/>
  <c r="L48" i="4"/>
  <c r="M49" i="4"/>
  <c r="I65" i="6"/>
  <c r="I64" i="6"/>
  <c r="H35" i="6"/>
  <c r="H36" i="6"/>
  <c r="I69" i="6" l="1"/>
  <c r="I71" i="6" s="1"/>
  <c r="J68" i="6" s="1"/>
  <c r="L26" i="4"/>
  <c r="H99" i="6"/>
  <c r="I40" i="4"/>
  <c r="I43" i="4" s="1"/>
  <c r="I52" i="4" s="1"/>
  <c r="H116" i="6"/>
  <c r="I70" i="6"/>
  <c r="L42" i="4"/>
  <c r="I87" i="6"/>
  <c r="H41" i="6"/>
  <c r="J41" i="4"/>
  <c r="H58" i="6"/>
  <c r="I6" i="6"/>
  <c r="I7" i="6"/>
  <c r="I36" i="4"/>
  <c r="J25" i="4"/>
  <c r="H40" i="6"/>
  <c r="H98" i="6"/>
  <c r="H100" i="6" s="1"/>
  <c r="I97" i="6" s="1"/>
  <c r="I24" i="4"/>
  <c r="I27" i="4" s="1"/>
  <c r="J64" i="6" l="1"/>
  <c r="J65" i="6"/>
  <c r="I12" i="6"/>
  <c r="I29" i="6"/>
  <c r="L47" i="4"/>
  <c r="N49" i="4"/>
  <c r="K46" i="4"/>
  <c r="K50" i="4" s="1"/>
  <c r="M48" i="4"/>
  <c r="I11" i="6"/>
  <c r="L31" i="4"/>
  <c r="J29" i="4"/>
  <c r="J34" i="4" s="1"/>
  <c r="K30" i="4"/>
  <c r="M32" i="4"/>
  <c r="N33" i="4"/>
  <c r="I93" i="6"/>
  <c r="I94" i="6"/>
  <c r="H42" i="6"/>
  <c r="I39" i="6" s="1"/>
  <c r="I13" i="6" l="1"/>
  <c r="J10" i="6" s="1"/>
  <c r="J70" i="6"/>
  <c r="M42" i="4"/>
  <c r="J87" i="6"/>
  <c r="I98" i="6"/>
  <c r="J24" i="4"/>
  <c r="J27" i="4" s="1"/>
  <c r="J36" i="4"/>
  <c r="I35" i="6"/>
  <c r="I36" i="6"/>
  <c r="I116" i="6"/>
  <c r="J40" i="4"/>
  <c r="J43" i="4" s="1"/>
  <c r="J52" i="4" s="1"/>
  <c r="I99" i="6"/>
  <c r="J69" i="6"/>
  <c r="J71" i="6" s="1"/>
  <c r="K68" i="6" s="1"/>
  <c r="M26" i="4"/>
  <c r="J7" i="6" l="1"/>
  <c r="J6" i="6"/>
  <c r="K64" i="6"/>
  <c r="K65" i="6"/>
  <c r="I100" i="6"/>
  <c r="J97" i="6" s="1"/>
  <c r="I40" i="6"/>
  <c r="I42" i="6" s="1"/>
  <c r="J39" i="6" s="1"/>
  <c r="K25" i="4"/>
  <c r="I58" i="6"/>
  <c r="I41" i="6"/>
  <c r="K41" i="4"/>
  <c r="J36" i="6" l="1"/>
  <c r="J35" i="6"/>
  <c r="J94" i="6"/>
  <c r="J93" i="6"/>
  <c r="K87" i="6"/>
  <c r="K70" i="6"/>
  <c r="N42" i="4"/>
  <c r="J29" i="6"/>
  <c r="J12" i="6"/>
  <c r="N48" i="4"/>
  <c r="O49" i="4"/>
  <c r="L46" i="4"/>
  <c r="L50" i="4" s="1"/>
  <c r="M47" i="4"/>
  <c r="K69" i="6"/>
  <c r="K71" i="6" s="1"/>
  <c r="L68" i="6" s="1"/>
  <c r="N26" i="4"/>
  <c r="J11" i="6"/>
  <c r="J13" i="6" s="1"/>
  <c r="K10" i="6" s="1"/>
  <c r="O33" i="4"/>
  <c r="L30" i="4"/>
  <c r="M31" i="4"/>
  <c r="N32" i="4"/>
  <c r="K29" i="4"/>
  <c r="K34" i="4" s="1"/>
  <c r="J98" i="6" l="1"/>
  <c r="J100" i="6" s="1"/>
  <c r="K97" i="6" s="1"/>
  <c r="K24" i="4"/>
  <c r="K27" i="4" s="1"/>
  <c r="L64" i="6"/>
  <c r="L65" i="6"/>
  <c r="J116" i="6"/>
  <c r="J99" i="6"/>
  <c r="K40" i="4"/>
  <c r="K43" i="4" s="1"/>
  <c r="K52" i="4" s="1"/>
  <c r="J40" i="6"/>
  <c r="L25" i="4"/>
  <c r="K36" i="4"/>
  <c r="K7" i="6"/>
  <c r="K6" i="6"/>
  <c r="J58" i="6"/>
  <c r="J41" i="6"/>
  <c r="L41" i="4"/>
  <c r="K29" i="6" l="1"/>
  <c r="K12" i="6"/>
  <c r="N47" i="4"/>
  <c r="O48" i="4"/>
  <c r="M46" i="4"/>
  <c r="M50" i="4" s="1"/>
  <c r="P49" i="4"/>
  <c r="K11" i="6"/>
  <c r="K13" i="6" s="1"/>
  <c r="L10" i="6" s="1"/>
  <c r="L29" i="4"/>
  <c r="L34" i="4" s="1"/>
  <c r="P33" i="4"/>
  <c r="M30" i="4"/>
  <c r="N31" i="4"/>
  <c r="O32" i="4"/>
  <c r="L70" i="6"/>
  <c r="L87" i="6"/>
  <c r="O42" i="4"/>
  <c r="O26" i="4"/>
  <c r="L69" i="6"/>
  <c r="L71" i="6" s="1"/>
  <c r="M68" i="6" s="1"/>
  <c r="K93" i="6"/>
  <c r="K94" i="6"/>
  <c r="J42" i="6"/>
  <c r="K39" i="6" s="1"/>
  <c r="L36" i="4" l="1"/>
  <c r="L6" i="6"/>
  <c r="L7" i="6"/>
  <c r="M64" i="6"/>
  <c r="M65" i="6"/>
  <c r="K35" i="6"/>
  <c r="K36" i="6"/>
  <c r="K99" i="6"/>
  <c r="K116" i="6"/>
  <c r="L40" i="4"/>
  <c r="L43" i="4" s="1"/>
  <c r="L52" i="4" s="1"/>
  <c r="K98" i="6"/>
  <c r="K100" i="6" s="1"/>
  <c r="L97" i="6" s="1"/>
  <c r="L24" i="4"/>
  <c r="L27" i="4" s="1"/>
  <c r="N30" i="4" l="1"/>
  <c r="L11" i="6"/>
  <c r="M29" i="4"/>
  <c r="M34" i="4" s="1"/>
  <c r="Q33" i="4"/>
  <c r="O31" i="4"/>
  <c r="P32" i="4"/>
  <c r="K41" i="6"/>
  <c r="K58" i="6"/>
  <c r="M41" i="4"/>
  <c r="K40" i="6"/>
  <c r="M25" i="4"/>
  <c r="M70" i="6"/>
  <c r="P42" i="4"/>
  <c r="M87" i="6"/>
  <c r="L93" i="6"/>
  <c r="L94" i="6"/>
  <c r="M69" i="6"/>
  <c r="M71" i="6" s="1"/>
  <c r="N68" i="6" s="1"/>
  <c r="P26" i="4"/>
  <c r="N46" i="4"/>
  <c r="N50" i="4" s="1"/>
  <c r="O47" i="4"/>
  <c r="L12" i="6"/>
  <c r="L29" i="6"/>
  <c r="Q49" i="4"/>
  <c r="P48" i="4"/>
  <c r="L99" i="6" l="1"/>
  <c r="L116" i="6"/>
  <c r="M40" i="4"/>
  <c r="M43" i="4" s="1"/>
  <c r="M52" i="4" s="1"/>
  <c r="M24" i="4"/>
  <c r="M27" i="4" s="1"/>
  <c r="M36" i="4" s="1"/>
  <c r="L98" i="6"/>
  <c r="N65" i="6"/>
  <c r="N64" i="6"/>
  <c r="K42" i="6"/>
  <c r="L39" i="6" s="1"/>
  <c r="L13" i="6"/>
  <c r="M10" i="6" s="1"/>
  <c r="N87" i="6" l="1"/>
  <c r="N70" i="6"/>
  <c r="Q42" i="4"/>
  <c r="M7" i="6"/>
  <c r="M6" i="6"/>
  <c r="L100" i="6"/>
  <c r="M97" i="6" s="1"/>
  <c r="L36" i="6"/>
  <c r="L35" i="6"/>
  <c r="N69" i="6"/>
  <c r="N71" i="6" s="1"/>
  <c r="O68" i="6" s="1"/>
  <c r="Q26" i="4"/>
  <c r="M11" i="6" l="1"/>
  <c r="M13" i="6" s="1"/>
  <c r="N10" i="6" s="1"/>
  <c r="N29" i="4"/>
  <c r="N34" i="4" s="1"/>
  <c r="P31" i="4"/>
  <c r="Q32" i="4"/>
  <c r="O30" i="4"/>
  <c r="R33" i="4"/>
  <c r="M93" i="6"/>
  <c r="M94" i="6"/>
  <c r="M12" i="6"/>
  <c r="M29" i="6"/>
  <c r="P47" i="4"/>
  <c r="Q48" i="4"/>
  <c r="O46" i="4"/>
  <c r="O50" i="4" s="1"/>
  <c r="R49" i="4"/>
  <c r="L41" i="6"/>
  <c r="L58" i="6"/>
  <c r="N41" i="4"/>
  <c r="O65" i="6"/>
  <c r="O64" i="6"/>
  <c r="L40" i="6"/>
  <c r="N25" i="4"/>
  <c r="N24" i="4" l="1"/>
  <c r="N27" i="4" s="1"/>
  <c r="M98" i="6"/>
  <c r="M100" i="6" s="1"/>
  <c r="N97" i="6" s="1"/>
  <c r="N6" i="6"/>
  <c r="N7" i="6"/>
  <c r="O70" i="6"/>
  <c r="O87" i="6"/>
  <c r="R42" i="4"/>
  <c r="M116" i="6"/>
  <c r="M99" i="6"/>
  <c r="N40" i="4"/>
  <c r="N43" i="4" s="1"/>
  <c r="N52" i="4" s="1"/>
  <c r="L42" i="6"/>
  <c r="M39" i="6" s="1"/>
  <c r="O69" i="6"/>
  <c r="O71" i="6" s="1"/>
  <c r="P68" i="6" s="1"/>
  <c r="R26" i="4"/>
  <c r="N36" i="4"/>
  <c r="P65" i="6" l="1"/>
  <c r="P64" i="6"/>
  <c r="N29" i="6"/>
  <c r="N12" i="6"/>
  <c r="S49" i="4"/>
  <c r="P46" i="4"/>
  <c r="P50" i="4" s="1"/>
  <c r="R48" i="4"/>
  <c r="Q47" i="4"/>
  <c r="N93" i="6"/>
  <c r="N94" i="6"/>
  <c r="N11" i="6"/>
  <c r="N13" i="6" s="1"/>
  <c r="O10" i="6" s="1"/>
  <c r="S33" i="4"/>
  <c r="P30" i="4"/>
  <c r="R32" i="4"/>
  <c r="Q31" i="4"/>
  <c r="O29" i="4"/>
  <c r="O34" i="4" s="1"/>
  <c r="M36" i="6"/>
  <c r="M35" i="6"/>
  <c r="O6" i="6" l="1"/>
  <c r="O7" i="6"/>
  <c r="M40" i="6"/>
  <c r="O25" i="4"/>
  <c r="P70" i="6"/>
  <c r="P87" i="6"/>
  <c r="S42" i="4"/>
  <c r="M58" i="6"/>
  <c r="O41" i="4"/>
  <c r="M41" i="6"/>
  <c r="N99" i="6"/>
  <c r="N116" i="6"/>
  <c r="O40" i="4"/>
  <c r="O43" i="4" s="1"/>
  <c r="O52" i="4" s="1"/>
  <c r="P69" i="6"/>
  <c r="P71" i="6" s="1"/>
  <c r="Q68" i="6" s="1"/>
  <c r="S26" i="4"/>
  <c r="N98" i="6"/>
  <c r="O24" i="4"/>
  <c r="M42" i="6" l="1"/>
  <c r="N39" i="6" s="1"/>
  <c r="Q64" i="6"/>
  <c r="Q65" i="6"/>
  <c r="O27" i="4"/>
  <c r="O36" i="4" s="1"/>
  <c r="N100" i="6"/>
  <c r="O97" i="6" s="1"/>
  <c r="O12" i="6"/>
  <c r="O29" i="6"/>
  <c r="S48" i="4"/>
  <c r="Q46" i="4"/>
  <c r="Q50" i="4" s="1"/>
  <c r="R47" i="4"/>
  <c r="T49" i="4"/>
  <c r="S32" i="4"/>
  <c r="O11" i="6"/>
  <c r="R31" i="4"/>
  <c r="P29" i="4"/>
  <c r="P34" i="4" s="1"/>
  <c r="T33" i="4"/>
  <c r="Q30" i="4"/>
  <c r="O13" i="6" l="1"/>
  <c r="P10" i="6" s="1"/>
  <c r="O93" i="6"/>
  <c r="O94" i="6"/>
  <c r="Q87" i="6"/>
  <c r="Q70" i="6"/>
  <c r="T42" i="4"/>
  <c r="Q69" i="6"/>
  <c r="T26" i="4"/>
  <c r="N36" i="6"/>
  <c r="N35" i="6"/>
  <c r="N40" i="6" l="1"/>
  <c r="P25" i="4"/>
  <c r="O98" i="6"/>
  <c r="P24" i="4"/>
  <c r="P27" i="4" s="1"/>
  <c r="P36" i="4" s="1"/>
  <c r="O99" i="6"/>
  <c r="O116" i="6"/>
  <c r="P40" i="4"/>
  <c r="P43" i="4" s="1"/>
  <c r="P52" i="4" s="1"/>
  <c r="N41" i="6"/>
  <c r="N58" i="6"/>
  <c r="P41" i="4"/>
  <c r="Q71" i="6"/>
  <c r="R68" i="6" s="1"/>
  <c r="P6" i="6"/>
  <c r="P7" i="6"/>
  <c r="P12" i="6" l="1"/>
  <c r="P29" i="6"/>
  <c r="R46" i="4"/>
  <c r="R50" i="4" s="1"/>
  <c r="S47" i="4"/>
  <c r="T48" i="4"/>
  <c r="U49" i="4"/>
  <c r="P11" i="6"/>
  <c r="Q29" i="4"/>
  <c r="Q34" i="4" s="1"/>
  <c r="R30" i="4"/>
  <c r="T32" i="4"/>
  <c r="S31" i="4"/>
  <c r="U33" i="4"/>
  <c r="O100" i="6"/>
  <c r="P97" i="6" s="1"/>
  <c r="R64" i="6"/>
  <c r="R65" i="6"/>
  <c r="N42" i="6"/>
  <c r="O39" i="6" s="1"/>
  <c r="O36" i="6" l="1"/>
  <c r="O35" i="6"/>
  <c r="U26" i="4"/>
  <c r="R69" i="6"/>
  <c r="R70" i="6"/>
  <c r="U42" i="4"/>
  <c r="R87" i="6"/>
  <c r="P13" i="6"/>
  <c r="Q10" i="6" s="1"/>
  <c r="P94" i="6"/>
  <c r="P93" i="6"/>
  <c r="O41" i="6" l="1"/>
  <c r="O58" i="6"/>
  <c r="Q41" i="4"/>
  <c r="P98" i="6"/>
  <c r="Q24" i="4"/>
  <c r="Q27" i="4" s="1"/>
  <c r="Q36" i="4" s="1"/>
  <c r="P116" i="6"/>
  <c r="P99" i="6"/>
  <c r="Q40" i="4"/>
  <c r="Q43" i="4" s="1"/>
  <c r="Q52" i="4" s="1"/>
  <c r="O40" i="6"/>
  <c r="O42" i="6" s="1"/>
  <c r="P39" i="6" s="1"/>
  <c r="Q25" i="4"/>
  <c r="R71" i="6"/>
  <c r="S68" i="6" s="1"/>
  <c r="Q6" i="6"/>
  <c r="Q7" i="6"/>
  <c r="P100" i="6" l="1"/>
  <c r="Q97" i="6" s="1"/>
  <c r="S64" i="6"/>
  <c r="S65" i="6"/>
  <c r="Q12" i="6"/>
  <c r="T47" i="4"/>
  <c r="V49" i="4"/>
  <c r="Q29" i="6"/>
  <c r="S46" i="4"/>
  <c r="S50" i="4" s="1"/>
  <c r="U48" i="4"/>
  <c r="Q11" i="6"/>
  <c r="T31" i="4"/>
  <c r="V33" i="4"/>
  <c r="U32" i="4"/>
  <c r="S30" i="4"/>
  <c r="R29" i="4"/>
  <c r="R34" i="4" s="1"/>
  <c r="P35" i="6"/>
  <c r="P36" i="6"/>
  <c r="P41" i="6" l="1"/>
  <c r="P58" i="6"/>
  <c r="R41" i="4"/>
  <c r="Q13" i="6"/>
  <c r="R10" i="6" s="1"/>
  <c r="S87" i="6"/>
  <c r="S70" i="6"/>
  <c r="V42" i="4"/>
  <c r="S69" i="6"/>
  <c r="S71" i="6" s="1"/>
  <c r="T68" i="6" s="1"/>
  <c r="V26" i="4"/>
  <c r="P40" i="6"/>
  <c r="P42" i="6" s="1"/>
  <c r="Q39" i="6" s="1"/>
  <c r="R25" i="4"/>
  <c r="Q94" i="6"/>
  <c r="Q93" i="6"/>
  <c r="T64" i="6" l="1"/>
  <c r="T69" i="6" s="1"/>
  <c r="T65" i="6"/>
  <c r="R7" i="6"/>
  <c r="R6" i="6"/>
  <c r="Q98" i="6"/>
  <c r="Q100" i="6" s="1"/>
  <c r="R97" i="6" s="1"/>
  <c r="R24" i="4"/>
  <c r="R27" i="4" s="1"/>
  <c r="R36" i="4" s="1"/>
  <c r="Q36" i="6"/>
  <c r="Q35" i="6"/>
  <c r="Q99" i="6"/>
  <c r="R40" i="4"/>
  <c r="R43" i="4" s="1"/>
  <c r="R52" i="4" s="1"/>
  <c r="Q116" i="6"/>
  <c r="R93" i="6" l="1"/>
  <c r="R94" i="6"/>
  <c r="Q40" i="6"/>
  <c r="Q42" i="6" s="1"/>
  <c r="R39" i="6" s="1"/>
  <c r="S25" i="4"/>
  <c r="R11" i="6"/>
  <c r="R13" i="6" s="1"/>
  <c r="S10" i="6" s="1"/>
  <c r="S29" i="4"/>
  <c r="S34" i="4" s="1"/>
  <c r="T30" i="4"/>
  <c r="U31" i="4"/>
  <c r="V32" i="4"/>
  <c r="R29" i="6"/>
  <c r="R12" i="6"/>
  <c r="V48" i="4"/>
  <c r="T46" i="4"/>
  <c r="T50" i="4" s="1"/>
  <c r="U47" i="4"/>
  <c r="T70" i="6"/>
  <c r="T71" i="6" s="1"/>
  <c r="U68" i="6" s="1"/>
  <c r="T87" i="6"/>
  <c r="Q58" i="6"/>
  <c r="Q41" i="6"/>
  <c r="S41" i="4"/>
  <c r="U65" i="6" l="1"/>
  <c r="U64" i="6"/>
  <c r="U69" i="6" s="1"/>
  <c r="R35" i="6"/>
  <c r="R36" i="6"/>
  <c r="R116" i="6"/>
  <c r="R99" i="6"/>
  <c r="S40" i="4"/>
  <c r="S43" i="4" s="1"/>
  <c r="S52" i="4" s="1"/>
  <c r="S7" i="6"/>
  <c r="S6" i="6"/>
  <c r="R98" i="6"/>
  <c r="R100" i="6" s="1"/>
  <c r="S97" i="6" s="1"/>
  <c r="S24" i="4"/>
  <c r="S27" i="4" s="1"/>
  <c r="S36" i="4" s="1"/>
  <c r="R58" i="6" l="1"/>
  <c r="R41" i="6"/>
  <c r="T41" i="4"/>
  <c r="R40" i="6"/>
  <c r="R42" i="6" s="1"/>
  <c r="S39" i="6" s="1"/>
  <c r="T25" i="4"/>
  <c r="S94" i="6"/>
  <c r="S93" i="6"/>
  <c r="S11" i="6"/>
  <c r="S13" i="6" s="1"/>
  <c r="T10" i="6" s="1"/>
  <c r="U30" i="4"/>
  <c r="V31" i="4"/>
  <c r="T29" i="4"/>
  <c r="T34" i="4" s="1"/>
  <c r="S12" i="6"/>
  <c r="S29" i="6"/>
  <c r="U46" i="4"/>
  <c r="U50" i="4" s="1"/>
  <c r="V47" i="4"/>
  <c r="U87" i="6"/>
  <c r="B86" i="6" s="1"/>
  <c r="U70" i="6"/>
  <c r="U71" i="6" s="1"/>
  <c r="B85" i="6"/>
  <c r="S98" i="6" l="1"/>
  <c r="T24" i="4"/>
  <c r="T27" i="4" s="1"/>
  <c r="T36" i="4" s="1"/>
  <c r="T40" i="4"/>
  <c r="T43" i="4" s="1"/>
  <c r="T52" i="4" s="1"/>
  <c r="S99" i="6"/>
  <c r="S116" i="6"/>
  <c r="T7" i="6"/>
  <c r="T6" i="6"/>
  <c r="S35" i="6"/>
  <c r="S36" i="6"/>
  <c r="S41" i="6" l="1"/>
  <c r="S58" i="6"/>
  <c r="U41" i="4"/>
  <c r="T29" i="6"/>
  <c r="T12" i="6"/>
  <c r="V46" i="4"/>
  <c r="V50" i="4" s="1"/>
  <c r="S40" i="6"/>
  <c r="S42" i="6" s="1"/>
  <c r="T39" i="6" s="1"/>
  <c r="U25" i="4"/>
  <c r="T11" i="6"/>
  <c r="V30" i="4"/>
  <c r="U29" i="4"/>
  <c r="U34" i="4" s="1"/>
  <c r="S100" i="6"/>
  <c r="T97" i="6" s="1"/>
  <c r="T36" i="6" l="1"/>
  <c r="T35" i="6"/>
  <c r="T93" i="6"/>
  <c r="T94" i="6"/>
  <c r="T13" i="6"/>
  <c r="U10" i="6" s="1"/>
  <c r="T98" i="6" l="1"/>
  <c r="U24" i="4"/>
  <c r="U27" i="4" s="1"/>
  <c r="U36" i="4" s="1"/>
  <c r="T99" i="6"/>
  <c r="T116" i="6"/>
  <c r="U40" i="4"/>
  <c r="U43" i="4" s="1"/>
  <c r="U52" i="4" s="1"/>
  <c r="T40" i="6"/>
  <c r="V25" i="4"/>
  <c r="T41" i="6"/>
  <c r="T58" i="6"/>
  <c r="V41" i="4"/>
  <c r="U7" i="6"/>
  <c r="U6" i="6"/>
  <c r="U12" i="6" l="1"/>
  <c r="U29" i="6"/>
  <c r="B28" i="6" s="1"/>
  <c r="B27" i="6"/>
  <c r="U11" i="6"/>
  <c r="U13" i="6" s="1"/>
  <c r="V29" i="4"/>
  <c r="V34" i="4" s="1"/>
  <c r="T42" i="6"/>
  <c r="U39" i="6" s="1"/>
  <c r="T100" i="6"/>
  <c r="U97" i="6" s="1"/>
  <c r="U93" i="6" l="1"/>
  <c r="U94" i="6"/>
  <c r="U35" i="6"/>
  <c r="U40" i="6" s="1"/>
  <c r="U36" i="6"/>
  <c r="U42" i="6" l="1"/>
  <c r="U58" i="6"/>
  <c r="B57" i="6" s="1"/>
  <c r="U41" i="6"/>
  <c r="B56" i="6"/>
  <c r="U116" i="6"/>
  <c r="B115" i="6" s="1"/>
  <c r="U99" i="6"/>
  <c r="V40" i="4"/>
  <c r="V43" i="4" s="1"/>
  <c r="V52" i="4" s="1"/>
  <c r="B114" i="6"/>
  <c r="V24" i="4"/>
  <c r="V27" i="4" s="1"/>
  <c r="V36" i="4" s="1"/>
  <c r="U98" i="6"/>
  <c r="U100" i="6" s="1"/>
</calcChain>
</file>

<file path=xl/sharedStrings.xml><?xml version="1.0" encoding="utf-8"?>
<sst xmlns="http://schemas.openxmlformats.org/spreadsheetml/2006/main" count="192" uniqueCount="70">
  <si>
    <t>Capital Cost</t>
  </si>
  <si>
    <t>$/kW</t>
  </si>
  <si>
    <t>COD</t>
  </si>
  <si>
    <t>CT del</t>
  </si>
  <si>
    <t>Break Grd</t>
  </si>
  <si>
    <t>Project Timeline</t>
  </si>
  <si>
    <t>CT Timeline</t>
  </si>
  <si>
    <t>MW</t>
  </si>
  <si>
    <t>Total Capital Cost</t>
  </si>
  <si>
    <t>Project Milestones</t>
  </si>
  <si>
    <t>Assumes no escalation on capital cost</t>
  </si>
  <si>
    <t>Assumes IDC is included in the capital cost.</t>
  </si>
  <si>
    <t>Equity</t>
  </si>
  <si>
    <t>Debt</t>
  </si>
  <si>
    <t>EPC Payment %</t>
  </si>
  <si>
    <t>EPC Cash Flow</t>
  </si>
  <si>
    <t>Two month lag; delivery v. ship date</t>
  </si>
  <si>
    <t>Net Income</t>
  </si>
  <si>
    <t>Cash Flow %</t>
  </si>
  <si>
    <t>Assume Year 1 is half-year</t>
  </si>
  <si>
    <t>Add: Net Income</t>
  </si>
  <si>
    <t>Ending Balance</t>
  </si>
  <si>
    <t>Beginning Balance</t>
  </si>
  <si>
    <t>Less:  AT Cash Flow</t>
  </si>
  <si>
    <t>Aftertax Cash Flow</t>
  </si>
  <si>
    <t>Debt Amort %</t>
  </si>
  <si>
    <t>Less:  Principal</t>
  </si>
  <si>
    <t>IRR</t>
  </si>
  <si>
    <t>NPV @ 14%</t>
  </si>
  <si>
    <t>Year</t>
  </si>
  <si>
    <t>Return Summary</t>
  </si>
  <si>
    <t>500 MW Combined Cycle Facility - Generic</t>
  </si>
  <si>
    <t>Equity Percentage</t>
  </si>
  <si>
    <t>Interest Rate</t>
  </si>
  <si>
    <t>Aftertax Interest Rate</t>
  </si>
  <si>
    <t>Aftertax Cash</t>
  </si>
  <si>
    <t>2001 Projects</t>
  </si>
  <si>
    <t>2002 Projects</t>
  </si>
  <si>
    <t>2003 Projects</t>
  </si>
  <si>
    <t>2004 Projects</t>
  </si>
  <si>
    <t>2005 Projects</t>
  </si>
  <si>
    <t xml:space="preserve">   Total</t>
  </si>
  <si>
    <t>PP&amp;E</t>
  </si>
  <si>
    <t xml:space="preserve">  Cumulative MW</t>
  </si>
  <si>
    <t>Existing - Newco</t>
  </si>
  <si>
    <t>New Capacity - FPLE</t>
  </si>
  <si>
    <t>New Capacity - Enron</t>
  </si>
  <si>
    <t>Newco</t>
  </si>
  <si>
    <t>Development - Financial Summary</t>
  </si>
  <si>
    <t>(All values in 000s)</t>
  </si>
  <si>
    <t>First year is half year.</t>
  </si>
  <si>
    <t>Construction loan is done off-balance sheet; convert to term at COD.</t>
  </si>
  <si>
    <t>Includes Rhode Island Project (2002 in-service); utilizes Reliant's CTs</t>
  </si>
  <si>
    <t>Includes all advanced stage development projects except wind.</t>
  </si>
  <si>
    <t>Utilizes generic combined cycle financial information - 2 x 1 configuration (500 MW), $550/kW capital cost, 20 yr 14% aftertax equity return, 60/40 debt to equity capital structure.</t>
  </si>
  <si>
    <t>Net Income - ROE %</t>
  </si>
  <si>
    <t>Generic FPL Project</t>
  </si>
  <si>
    <t>LV Cogen</t>
  </si>
  <si>
    <t>Pastoria</t>
  </si>
  <si>
    <t>Moore Power</t>
  </si>
  <si>
    <t>ASSUMPTION</t>
  </si>
  <si>
    <t>Capacity</t>
  </si>
  <si>
    <t>FINANCIAL PROFILE</t>
  </si>
  <si>
    <t>Moore</t>
  </si>
  <si>
    <t xml:space="preserve">  FPLE</t>
  </si>
  <si>
    <t xml:space="preserve">  ENA</t>
  </si>
  <si>
    <t>Total PP&amp;E</t>
  </si>
  <si>
    <t>Bk Grd</t>
  </si>
  <si>
    <t>ENA Sub Total</t>
  </si>
  <si>
    <t>FPLE 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</si>
</sst>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70" formatCode="_(* #,##0.0000_);_(* \(#,##0.0000\);_(* &quot;-&quot;??_);_(@_)"/>
    <numFmt numFmtId="172" formatCode="0.000%"/>
  </numFmts>
  <fonts count="1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44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quotePrefix="1"/>
    <xf numFmtId="9" fontId="0" fillId="0" borderId="0" xfId="2" applyFont="1"/>
    <xf numFmtId="0" fontId="2" fillId="0" borderId="0" xfId="0" applyFont="1"/>
    <xf numFmtId="164" fontId="0" fillId="0" borderId="0" xfId="2" applyNumberFormat="1" applyFont="1"/>
    <xf numFmtId="166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165" fontId="0" fillId="0" borderId="0" xfId="1" applyNumberFormat="1" applyFont="1"/>
    <xf numFmtId="166" fontId="4" fillId="0" borderId="0" xfId="1" applyNumberFormat="1" applyFont="1"/>
    <xf numFmtId="9" fontId="2" fillId="0" borderId="0" xfId="2" applyFont="1"/>
    <xf numFmtId="164" fontId="2" fillId="0" borderId="0" xfId="2" applyNumberFormat="1" applyFont="1"/>
    <xf numFmtId="166" fontId="0" fillId="0" borderId="0" xfId="1" applyNumberFormat="1" applyFont="1" applyAlignment="1">
      <alignment horizontal="left"/>
    </xf>
    <xf numFmtId="166" fontId="0" fillId="0" borderId="1" xfId="1" applyNumberFormat="1" applyFont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166" fontId="5" fillId="0" borderId="0" xfId="1" applyNumberFormat="1" applyFont="1"/>
    <xf numFmtId="166" fontId="3" fillId="0" borderId="0" xfId="1" applyNumberFormat="1" applyFont="1"/>
    <xf numFmtId="0" fontId="5" fillId="0" borderId="0" xfId="0" applyFont="1" applyAlignment="1">
      <alignment horizontal="center"/>
    </xf>
    <xf numFmtId="9" fontId="4" fillId="0" borderId="0" xfId="2" applyFont="1"/>
    <xf numFmtId="170" fontId="0" fillId="0" borderId="0" xfId="1" applyNumberFormat="1" applyFont="1" applyAlignment="1">
      <alignment horizontal="left"/>
    </xf>
    <xf numFmtId="166" fontId="6" fillId="0" borderId="0" xfId="1" applyNumberFormat="1" applyFont="1"/>
    <xf numFmtId="166" fontId="3" fillId="0" borderId="0" xfId="0" applyNumberFormat="1" applyFont="1"/>
    <xf numFmtId="166" fontId="2" fillId="0" borderId="0" xfId="1" applyNumberFormat="1" applyFont="1"/>
    <xf numFmtId="0" fontId="7" fillId="0" borderId="0" xfId="0" quotePrefix="1" applyFont="1"/>
    <xf numFmtId="166" fontId="8" fillId="0" borderId="0" xfId="0" applyNumberFormat="1" applyFont="1"/>
    <xf numFmtId="0" fontId="8" fillId="0" borderId="0" xfId="0" applyFont="1"/>
    <xf numFmtId="166" fontId="2" fillId="0" borderId="0" xfId="0" applyNumberFormat="1" applyFont="1"/>
    <xf numFmtId="166" fontId="0" fillId="0" borderId="2" xfId="1" applyNumberFormat="1" applyFont="1" applyBorder="1" applyAlignment="1">
      <alignment horizontal="left"/>
    </xf>
    <xf numFmtId="166" fontId="0" fillId="0" borderId="2" xfId="1" applyNumberFormat="1" applyFont="1" applyBorder="1"/>
    <xf numFmtId="0" fontId="9" fillId="0" borderId="0" xfId="0" applyFont="1"/>
    <xf numFmtId="0" fontId="10" fillId="0" borderId="0" xfId="0" applyFont="1"/>
    <xf numFmtId="166" fontId="10" fillId="0" borderId="0" xfId="0" applyNumberFormat="1" applyFont="1"/>
    <xf numFmtId="166" fontId="11" fillId="0" borderId="0" xfId="1" applyNumberFormat="1" applyFont="1"/>
    <xf numFmtId="166" fontId="12" fillId="0" borderId="0" xfId="1" applyNumberFormat="1" applyFont="1"/>
    <xf numFmtId="10" fontId="0" fillId="0" borderId="0" xfId="0" applyNumberFormat="1"/>
    <xf numFmtId="172" fontId="0" fillId="0" borderId="0" xfId="0" applyNumberFormat="1"/>
    <xf numFmtId="170" fontId="0" fillId="0" borderId="0" xfId="1" applyNumberFormat="1" applyFont="1"/>
    <xf numFmtId="43" fontId="0" fillId="0" borderId="0" xfId="0" applyNumberFormat="1"/>
    <xf numFmtId="0" fontId="3" fillId="2" borderId="0" xfId="0" applyFont="1" applyFill="1"/>
    <xf numFmtId="0" fontId="0" fillId="2" borderId="0" xfId="0" applyFill="1"/>
    <xf numFmtId="0" fontId="5" fillId="2" borderId="0" xfId="0" applyFont="1" applyFill="1"/>
    <xf numFmtId="166" fontId="1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3"/>
  <sheetViews>
    <sheetView tabSelected="1" workbookViewId="0">
      <selection activeCell="F18" sqref="F18"/>
    </sheetView>
  </sheetViews>
  <sheetFormatPr defaultRowHeight="12.75" x14ac:dyDescent="0.2"/>
  <cols>
    <col min="3" max="3" width="11.28515625" bestFit="1" customWidth="1"/>
    <col min="4" max="35" width="7.7109375" customWidth="1"/>
  </cols>
  <sheetData>
    <row r="1" spans="1:34" x14ac:dyDescent="0.2">
      <c r="A1" s="41" t="s">
        <v>60</v>
      </c>
      <c r="B1" s="42"/>
    </row>
    <row r="2" spans="1:34" x14ac:dyDescent="0.2">
      <c r="A2" s="16"/>
    </row>
    <row r="3" spans="1:34" x14ac:dyDescent="0.2">
      <c r="A3" s="43" t="s">
        <v>56</v>
      </c>
      <c r="B3" s="42"/>
      <c r="C3" s="42"/>
    </row>
    <row r="4" spans="1:34" x14ac:dyDescent="0.2">
      <c r="A4" t="s">
        <v>61</v>
      </c>
      <c r="C4" s="3">
        <v>500</v>
      </c>
      <c r="D4" s="1" t="s">
        <v>7</v>
      </c>
    </row>
    <row r="5" spans="1:34" x14ac:dyDescent="0.2">
      <c r="A5" t="s">
        <v>0</v>
      </c>
      <c r="C5" s="3">
        <v>550</v>
      </c>
      <c r="D5" s="1" t="s">
        <v>1</v>
      </c>
    </row>
    <row r="6" spans="1:34" x14ac:dyDescent="0.2">
      <c r="A6" t="s">
        <v>8</v>
      </c>
      <c r="C6" s="5">
        <f>+C4*C5</f>
        <v>275000</v>
      </c>
      <c r="D6" s="1"/>
    </row>
    <row r="7" spans="1:34" x14ac:dyDescent="0.2">
      <c r="A7" t="s">
        <v>32</v>
      </c>
      <c r="C7" s="10">
        <v>0.4</v>
      </c>
    </row>
    <row r="8" spans="1:34" x14ac:dyDescent="0.2">
      <c r="A8" t="s">
        <v>33</v>
      </c>
      <c r="C8" s="10">
        <v>0.08</v>
      </c>
    </row>
    <row r="9" spans="1:34" x14ac:dyDescent="0.2">
      <c r="A9" t="s">
        <v>34</v>
      </c>
      <c r="C9" s="21">
        <f>+C8*(1-0.385)</f>
        <v>4.9200000000000001E-2</v>
      </c>
    </row>
    <row r="10" spans="1:34" x14ac:dyDescent="0.2">
      <c r="C10" s="2"/>
    </row>
    <row r="11" spans="1:34" x14ac:dyDescent="0.2">
      <c r="A11" t="s">
        <v>6</v>
      </c>
      <c r="G11">
        <f>+H11-1</f>
        <v>-15</v>
      </c>
      <c r="H11">
        <f t="shared" ref="H11:T11" si="0">+I11-1</f>
        <v>-14</v>
      </c>
      <c r="I11">
        <f t="shared" si="0"/>
        <v>-13</v>
      </c>
      <c r="J11">
        <f t="shared" si="0"/>
        <v>-12</v>
      </c>
      <c r="K11">
        <f t="shared" si="0"/>
        <v>-11</v>
      </c>
      <c r="L11">
        <f t="shared" si="0"/>
        <v>-10</v>
      </c>
      <c r="M11">
        <f t="shared" si="0"/>
        <v>-9</v>
      </c>
      <c r="N11">
        <f t="shared" si="0"/>
        <v>-8</v>
      </c>
      <c r="O11">
        <f t="shared" si="0"/>
        <v>-7</v>
      </c>
      <c r="P11">
        <f t="shared" si="0"/>
        <v>-6</v>
      </c>
      <c r="Q11">
        <f t="shared" si="0"/>
        <v>-5</v>
      </c>
      <c r="R11">
        <f t="shared" si="0"/>
        <v>-4</v>
      </c>
      <c r="S11">
        <f t="shared" si="0"/>
        <v>-3</v>
      </c>
      <c r="T11">
        <f t="shared" si="0"/>
        <v>-2</v>
      </c>
      <c r="U11">
        <f>+V11-1</f>
        <v>-1</v>
      </c>
      <c r="V11" s="3">
        <v>0</v>
      </c>
    </row>
    <row r="12" spans="1:34" x14ac:dyDescent="0.2">
      <c r="A12" t="s">
        <v>9</v>
      </c>
      <c r="M12" t="s">
        <v>67</v>
      </c>
      <c r="V12" t="s">
        <v>3</v>
      </c>
      <c r="AG12" t="s">
        <v>2</v>
      </c>
    </row>
    <row r="13" spans="1:34" x14ac:dyDescent="0.2">
      <c r="A13" t="s">
        <v>5</v>
      </c>
      <c r="D13">
        <v>-29</v>
      </c>
      <c r="E13">
        <f t="shared" ref="E13:AG13" si="1">+D13+1</f>
        <v>-28</v>
      </c>
      <c r="F13">
        <f t="shared" si="1"/>
        <v>-27</v>
      </c>
      <c r="G13">
        <f t="shared" si="1"/>
        <v>-26</v>
      </c>
      <c r="H13">
        <f t="shared" si="1"/>
        <v>-25</v>
      </c>
      <c r="I13">
        <f t="shared" si="1"/>
        <v>-24</v>
      </c>
      <c r="J13">
        <f t="shared" si="1"/>
        <v>-23</v>
      </c>
      <c r="K13">
        <f t="shared" si="1"/>
        <v>-22</v>
      </c>
      <c r="L13">
        <f t="shared" si="1"/>
        <v>-21</v>
      </c>
      <c r="M13">
        <f t="shared" si="1"/>
        <v>-20</v>
      </c>
      <c r="N13">
        <f t="shared" si="1"/>
        <v>-19</v>
      </c>
      <c r="O13">
        <f t="shared" si="1"/>
        <v>-18</v>
      </c>
      <c r="P13">
        <f t="shared" si="1"/>
        <v>-17</v>
      </c>
      <c r="Q13">
        <f t="shared" si="1"/>
        <v>-16</v>
      </c>
      <c r="R13">
        <f t="shared" si="1"/>
        <v>-15</v>
      </c>
      <c r="S13">
        <f t="shared" si="1"/>
        <v>-14</v>
      </c>
      <c r="T13">
        <f t="shared" si="1"/>
        <v>-13</v>
      </c>
      <c r="U13">
        <f t="shared" si="1"/>
        <v>-12</v>
      </c>
      <c r="V13">
        <f t="shared" si="1"/>
        <v>-11</v>
      </c>
      <c r="W13">
        <f t="shared" si="1"/>
        <v>-10</v>
      </c>
      <c r="X13">
        <f t="shared" si="1"/>
        <v>-9</v>
      </c>
      <c r="Y13">
        <f t="shared" si="1"/>
        <v>-8</v>
      </c>
      <c r="Z13">
        <f t="shared" si="1"/>
        <v>-7</v>
      </c>
      <c r="AA13">
        <f t="shared" si="1"/>
        <v>-6</v>
      </c>
      <c r="AB13">
        <f t="shared" si="1"/>
        <v>-5</v>
      </c>
      <c r="AC13">
        <f t="shared" si="1"/>
        <v>-4</v>
      </c>
      <c r="AD13">
        <f t="shared" si="1"/>
        <v>-3</v>
      </c>
      <c r="AE13">
        <f t="shared" si="1"/>
        <v>-2</v>
      </c>
      <c r="AF13">
        <f t="shared" si="1"/>
        <v>-1</v>
      </c>
      <c r="AG13">
        <f t="shared" si="1"/>
        <v>0</v>
      </c>
    </row>
    <row r="14" spans="1:34" x14ac:dyDescent="0.2">
      <c r="A14" t="s">
        <v>14</v>
      </c>
      <c r="C14" s="38"/>
      <c r="D14" s="11">
        <v>3.3175973152879874E-3</v>
      </c>
      <c r="E14" s="11">
        <v>2.5360706072204001E-4</v>
      </c>
      <c r="F14" s="11">
        <v>3.2936057344240202E-4</v>
      </c>
      <c r="G14" s="11">
        <v>9.3257305414957813E-3</v>
      </c>
      <c r="H14" s="11">
        <v>8.5642626207027821E-4</v>
      </c>
      <c r="I14" s="11">
        <v>1.0137164227486031E-3</v>
      </c>
      <c r="J14" s="11">
        <v>5.5842023877507842E-2</v>
      </c>
      <c r="K14" s="11">
        <v>3.2594604399295998E-2</v>
      </c>
      <c r="L14" s="11">
        <v>2.1785107282081592E-2</v>
      </c>
      <c r="M14" s="11">
        <v>2.3438918084138449E-2</v>
      </c>
      <c r="N14" s="11">
        <v>4.2653073830282426E-2</v>
      </c>
      <c r="O14" s="11">
        <v>1.866009088575574E-2</v>
      </c>
      <c r="P14" s="11">
        <v>2.2190347732547879E-2</v>
      </c>
      <c r="Q14" s="11">
        <v>2.9103056490693092E-2</v>
      </c>
      <c r="R14" s="11">
        <v>3.8517198442372488E-2</v>
      </c>
      <c r="S14" s="11">
        <v>4.9378839496985155E-2</v>
      </c>
      <c r="T14" s="11">
        <v>3.2537113973008361E-2</v>
      </c>
      <c r="U14" s="11">
        <v>5.7671707016487037E-2</v>
      </c>
      <c r="V14" s="11">
        <v>4.4496175081447507E-2</v>
      </c>
      <c r="W14" s="11">
        <v>5.1773595349949922E-2</v>
      </c>
      <c r="X14" s="11">
        <v>0.10202135227994749</v>
      </c>
      <c r="Y14" s="11">
        <v>4.6925866865422806E-2</v>
      </c>
      <c r="Z14" s="11">
        <v>3.9101351596280386E-2</v>
      </c>
      <c r="AA14" s="11">
        <v>4.7435786844759013E-2</v>
      </c>
      <c r="AB14" s="11">
        <v>3.7681322243058833E-2</v>
      </c>
      <c r="AC14" s="11">
        <v>4.5543086743942501E-2</v>
      </c>
      <c r="AD14" s="11">
        <v>3.7295714979373965E-2</v>
      </c>
      <c r="AE14" s="11">
        <v>3.0842813419292552E-2</v>
      </c>
      <c r="AF14" s="11">
        <f>1-SUM(D14:AE14)</f>
        <v>7.7414414909601881E-2</v>
      </c>
      <c r="AH14" s="37"/>
    </row>
    <row r="15" spans="1:34" s="5" customFormat="1" x14ac:dyDescent="0.2">
      <c r="A15" s="12" t="s">
        <v>15</v>
      </c>
      <c r="C15" s="39"/>
      <c r="D15" s="5">
        <f>+$C$6*D14</f>
        <v>912.33926170419647</v>
      </c>
      <c r="E15" s="5">
        <f t="shared" ref="E15:AF15" si="2">+$C$6*E14</f>
        <v>69.741941698561007</v>
      </c>
      <c r="F15" s="5">
        <f t="shared" si="2"/>
        <v>90.574157696660549</v>
      </c>
      <c r="G15" s="5">
        <f t="shared" si="2"/>
        <v>2564.5758989113397</v>
      </c>
      <c r="H15" s="5">
        <f t="shared" si="2"/>
        <v>235.51722206932652</v>
      </c>
      <c r="I15" s="5">
        <f t="shared" si="2"/>
        <v>278.77201625586582</v>
      </c>
      <c r="J15" s="5">
        <f t="shared" si="2"/>
        <v>15356.556566314657</v>
      </c>
      <c r="K15" s="5">
        <f t="shared" si="2"/>
        <v>8963.5162098063993</v>
      </c>
      <c r="L15" s="5">
        <f t="shared" si="2"/>
        <v>5990.9045025724381</v>
      </c>
      <c r="M15" s="5">
        <f t="shared" si="2"/>
        <v>6445.7024731380734</v>
      </c>
      <c r="N15" s="5">
        <f t="shared" si="2"/>
        <v>11729.595303327667</v>
      </c>
      <c r="O15" s="5">
        <f t="shared" si="2"/>
        <v>5131.5249935828288</v>
      </c>
      <c r="P15" s="5">
        <f t="shared" si="2"/>
        <v>6102.3456264506667</v>
      </c>
      <c r="Q15" s="5">
        <f t="shared" si="2"/>
        <v>8003.3405349406003</v>
      </c>
      <c r="R15" s="5">
        <f t="shared" si="2"/>
        <v>10592.229571652435</v>
      </c>
      <c r="S15" s="5">
        <f t="shared" si="2"/>
        <v>13579.180861670917</v>
      </c>
      <c r="T15" s="5">
        <f t="shared" si="2"/>
        <v>8947.7063425772994</v>
      </c>
      <c r="U15" s="5">
        <f t="shared" si="2"/>
        <v>15859.719429533936</v>
      </c>
      <c r="V15" s="5">
        <f t="shared" si="2"/>
        <v>12236.448147398065</v>
      </c>
      <c r="W15" s="5">
        <f t="shared" si="2"/>
        <v>14237.738721236228</v>
      </c>
      <c r="X15" s="5">
        <f t="shared" si="2"/>
        <v>28055.871876985559</v>
      </c>
      <c r="Y15" s="5">
        <f t="shared" si="2"/>
        <v>12904.613387991272</v>
      </c>
      <c r="Z15" s="5">
        <f t="shared" si="2"/>
        <v>10752.871688977106</v>
      </c>
      <c r="AA15" s="5">
        <f t="shared" si="2"/>
        <v>13044.841382308728</v>
      </c>
      <c r="AB15" s="5">
        <f t="shared" si="2"/>
        <v>10362.363616841179</v>
      </c>
      <c r="AC15" s="5">
        <f t="shared" si="2"/>
        <v>12524.348854584188</v>
      </c>
      <c r="AD15" s="5">
        <f t="shared" si="2"/>
        <v>10256.32161932784</v>
      </c>
      <c r="AE15" s="5">
        <f t="shared" si="2"/>
        <v>8481.773690305452</v>
      </c>
      <c r="AF15" s="5">
        <f t="shared" si="2"/>
        <v>21288.964100140518</v>
      </c>
    </row>
    <row r="16" spans="1:34" x14ac:dyDescent="0.2">
      <c r="C16" s="40"/>
    </row>
    <row r="17" spans="1:33" x14ac:dyDescent="0.2">
      <c r="A17" s="43" t="s">
        <v>57</v>
      </c>
      <c r="B17" s="42"/>
    </row>
    <row r="18" spans="1:33" x14ac:dyDescent="0.2">
      <c r="A18" t="s">
        <v>61</v>
      </c>
      <c r="C18" s="3">
        <v>231</v>
      </c>
      <c r="D18" s="1" t="s">
        <v>7</v>
      </c>
    </row>
    <row r="19" spans="1:33" x14ac:dyDescent="0.2">
      <c r="A19" t="s">
        <v>0</v>
      </c>
      <c r="C19" s="29">
        <v>750</v>
      </c>
      <c r="D19" s="1" t="s">
        <v>1</v>
      </c>
    </row>
    <row r="20" spans="1:33" x14ac:dyDescent="0.2">
      <c r="A20" t="s">
        <v>8</v>
      </c>
      <c r="C20" s="5">
        <f>C19*C18</f>
        <v>173250</v>
      </c>
      <c r="D20" s="1"/>
    </row>
    <row r="21" spans="1:33" x14ac:dyDescent="0.2">
      <c r="A21" t="s">
        <v>32</v>
      </c>
      <c r="C21" s="10">
        <v>0.4</v>
      </c>
    </row>
    <row r="22" spans="1:33" x14ac:dyDescent="0.2">
      <c r="A22" t="s">
        <v>33</v>
      </c>
      <c r="C22" s="10">
        <v>0.08</v>
      </c>
    </row>
    <row r="23" spans="1:33" x14ac:dyDescent="0.2">
      <c r="A23" t="s">
        <v>34</v>
      </c>
      <c r="C23" s="21">
        <f>+C22*(1-0.385)</f>
        <v>4.9200000000000001E-2</v>
      </c>
    </row>
    <row r="24" spans="1:33" x14ac:dyDescent="0.2">
      <c r="C24" s="2"/>
    </row>
    <row r="25" spans="1:33" x14ac:dyDescent="0.2">
      <c r="A25" t="s">
        <v>6</v>
      </c>
      <c r="G25">
        <f t="shared" ref="G25:U25" si="3">+H25-1</f>
        <v>-15</v>
      </c>
      <c r="H25">
        <f t="shared" si="3"/>
        <v>-14</v>
      </c>
      <c r="I25">
        <f t="shared" si="3"/>
        <v>-13</v>
      </c>
      <c r="J25">
        <f t="shared" si="3"/>
        <v>-12</v>
      </c>
      <c r="K25">
        <f t="shared" si="3"/>
        <v>-11</v>
      </c>
      <c r="L25">
        <f t="shared" si="3"/>
        <v>-10</v>
      </c>
      <c r="M25">
        <f t="shared" si="3"/>
        <v>-9</v>
      </c>
      <c r="N25">
        <f t="shared" si="3"/>
        <v>-8</v>
      </c>
      <c r="O25">
        <f t="shared" si="3"/>
        <v>-7</v>
      </c>
      <c r="P25">
        <f t="shared" si="3"/>
        <v>-6</v>
      </c>
      <c r="Q25">
        <f t="shared" si="3"/>
        <v>-5</v>
      </c>
      <c r="R25">
        <f t="shared" si="3"/>
        <v>-4</v>
      </c>
      <c r="S25">
        <f t="shared" si="3"/>
        <v>-3</v>
      </c>
      <c r="T25">
        <f t="shared" si="3"/>
        <v>-2</v>
      </c>
      <c r="U25">
        <f t="shared" si="3"/>
        <v>-1</v>
      </c>
      <c r="V25" s="3">
        <v>0</v>
      </c>
    </row>
    <row r="26" spans="1:33" x14ac:dyDescent="0.2">
      <c r="A26" t="s">
        <v>9</v>
      </c>
      <c r="M26" t="s">
        <v>4</v>
      </c>
      <c r="V26" t="s">
        <v>3</v>
      </c>
      <c r="AG26" t="s">
        <v>2</v>
      </c>
    </row>
    <row r="27" spans="1:33" x14ac:dyDescent="0.2">
      <c r="A27" t="s">
        <v>5</v>
      </c>
      <c r="D27">
        <v>-29</v>
      </c>
      <c r="E27">
        <f t="shared" ref="E27:AG27" si="4">+D27+1</f>
        <v>-28</v>
      </c>
      <c r="F27">
        <f t="shared" si="4"/>
        <v>-27</v>
      </c>
      <c r="G27">
        <f t="shared" si="4"/>
        <v>-26</v>
      </c>
      <c r="H27">
        <f t="shared" si="4"/>
        <v>-25</v>
      </c>
      <c r="I27">
        <f t="shared" si="4"/>
        <v>-24</v>
      </c>
      <c r="J27">
        <f t="shared" si="4"/>
        <v>-23</v>
      </c>
      <c r="K27">
        <f t="shared" si="4"/>
        <v>-22</v>
      </c>
      <c r="L27">
        <f t="shared" si="4"/>
        <v>-21</v>
      </c>
      <c r="M27">
        <f t="shared" si="4"/>
        <v>-20</v>
      </c>
      <c r="N27">
        <f t="shared" si="4"/>
        <v>-19</v>
      </c>
      <c r="O27">
        <f t="shared" si="4"/>
        <v>-18</v>
      </c>
      <c r="P27">
        <f t="shared" si="4"/>
        <v>-17</v>
      </c>
      <c r="Q27">
        <f t="shared" si="4"/>
        <v>-16</v>
      </c>
      <c r="R27">
        <f t="shared" si="4"/>
        <v>-15</v>
      </c>
      <c r="S27">
        <f t="shared" si="4"/>
        <v>-14</v>
      </c>
      <c r="T27">
        <f t="shared" si="4"/>
        <v>-13</v>
      </c>
      <c r="U27">
        <f t="shared" si="4"/>
        <v>-12</v>
      </c>
      <c r="V27">
        <f t="shared" si="4"/>
        <v>-11</v>
      </c>
      <c r="W27">
        <f t="shared" si="4"/>
        <v>-10</v>
      </c>
      <c r="X27">
        <f t="shared" si="4"/>
        <v>-9</v>
      </c>
      <c r="Y27">
        <f t="shared" si="4"/>
        <v>-8</v>
      </c>
      <c r="Z27">
        <f t="shared" si="4"/>
        <v>-7</v>
      </c>
      <c r="AA27">
        <f t="shared" si="4"/>
        <v>-6</v>
      </c>
      <c r="AB27">
        <f t="shared" si="4"/>
        <v>-5</v>
      </c>
      <c r="AC27">
        <f t="shared" si="4"/>
        <v>-4</v>
      </c>
      <c r="AD27">
        <f t="shared" si="4"/>
        <v>-3</v>
      </c>
      <c r="AE27">
        <f t="shared" si="4"/>
        <v>-2</v>
      </c>
      <c r="AF27">
        <f t="shared" si="4"/>
        <v>-1</v>
      </c>
      <c r="AG27">
        <f t="shared" si="4"/>
        <v>0</v>
      </c>
    </row>
    <row r="28" spans="1:33" x14ac:dyDescent="0.2">
      <c r="A28" t="s">
        <v>14</v>
      </c>
      <c r="D28" s="11">
        <v>3.3175973152879874E-3</v>
      </c>
      <c r="E28" s="11">
        <v>2.5360706072204001E-4</v>
      </c>
      <c r="F28" s="11">
        <v>3.2936057344240202E-4</v>
      </c>
      <c r="G28" s="11">
        <v>9.3257305414957813E-3</v>
      </c>
      <c r="H28" s="11">
        <v>8.5642626207027821E-4</v>
      </c>
      <c r="I28" s="11">
        <v>1.0137164227486031E-3</v>
      </c>
      <c r="J28" s="11">
        <v>5.5842023877507842E-2</v>
      </c>
      <c r="K28" s="11">
        <v>3.2594604399295998E-2</v>
      </c>
      <c r="L28" s="11">
        <v>2.1785107282081592E-2</v>
      </c>
      <c r="M28" s="11">
        <v>2.3438918084138449E-2</v>
      </c>
      <c r="N28" s="11">
        <v>4.2653073830282426E-2</v>
      </c>
      <c r="O28" s="11">
        <v>1.866009088575574E-2</v>
      </c>
      <c r="P28" s="11">
        <v>2.2190347732547879E-2</v>
      </c>
      <c r="Q28" s="11">
        <v>2.9103056490693092E-2</v>
      </c>
      <c r="R28" s="11">
        <v>3.8517198442372488E-2</v>
      </c>
      <c r="S28" s="11">
        <v>4.9378839496985155E-2</v>
      </c>
      <c r="T28" s="11">
        <v>3.2537113973008361E-2</v>
      </c>
      <c r="U28" s="11">
        <v>5.7671707016487037E-2</v>
      </c>
      <c r="V28" s="11">
        <v>4.4496175081447507E-2</v>
      </c>
      <c r="W28" s="11">
        <v>5.1773595349949922E-2</v>
      </c>
      <c r="X28" s="11">
        <v>0.10202135227994749</v>
      </c>
      <c r="Y28" s="11">
        <v>4.6925866865422806E-2</v>
      </c>
      <c r="Z28" s="11">
        <v>3.9101351596280386E-2</v>
      </c>
      <c r="AA28" s="11">
        <v>4.7435786844759013E-2</v>
      </c>
      <c r="AB28" s="11">
        <v>3.7681322243058833E-2</v>
      </c>
      <c r="AC28" s="11">
        <v>4.5543086743942501E-2</v>
      </c>
      <c r="AD28" s="11">
        <v>3.7295714979373965E-2</v>
      </c>
      <c r="AE28" s="11">
        <v>3.0842813419292552E-2</v>
      </c>
      <c r="AF28" s="11">
        <f>1-SUM(D28:AE28)</f>
        <v>7.7414414909601881E-2</v>
      </c>
    </row>
    <row r="29" spans="1:33" s="5" customFormat="1" x14ac:dyDescent="0.2">
      <c r="A29" s="12" t="s">
        <v>15</v>
      </c>
      <c r="D29" s="5">
        <f>D28*$C$20</f>
        <v>574.77373487364378</v>
      </c>
      <c r="E29" s="5">
        <f t="shared" ref="E29:AF29" si="5">E28*$C$20</f>
        <v>43.937423270093433</v>
      </c>
      <c r="F29" s="5">
        <f t="shared" si="5"/>
        <v>57.061719348896148</v>
      </c>
      <c r="G29" s="5">
        <f t="shared" si="5"/>
        <v>1615.682816314144</v>
      </c>
      <c r="H29" s="5">
        <f t="shared" si="5"/>
        <v>148.37584990367571</v>
      </c>
      <c r="I29" s="5">
        <f t="shared" si="5"/>
        <v>175.62637024119547</v>
      </c>
      <c r="J29" s="5">
        <f t="shared" si="5"/>
        <v>9674.6306367782345</v>
      </c>
      <c r="K29" s="5">
        <f t="shared" si="5"/>
        <v>5647.015212178032</v>
      </c>
      <c r="L29" s="5">
        <f t="shared" si="5"/>
        <v>3774.2698366206359</v>
      </c>
      <c r="M29" s="5">
        <f t="shared" si="5"/>
        <v>4060.7925580769866</v>
      </c>
      <c r="N29" s="5">
        <f t="shared" si="5"/>
        <v>7389.6450410964298</v>
      </c>
      <c r="O29" s="5">
        <f t="shared" si="5"/>
        <v>3232.8607459571822</v>
      </c>
      <c r="P29" s="5">
        <f t="shared" si="5"/>
        <v>3844.47774466392</v>
      </c>
      <c r="Q29" s="5">
        <f t="shared" si="5"/>
        <v>5042.1045370125785</v>
      </c>
      <c r="R29" s="5">
        <f t="shared" si="5"/>
        <v>6673.1046301410333</v>
      </c>
      <c r="S29" s="5">
        <f t="shared" si="5"/>
        <v>8554.883942852679</v>
      </c>
      <c r="T29" s="5">
        <f t="shared" si="5"/>
        <v>5637.0549958236988</v>
      </c>
      <c r="U29" s="5">
        <f t="shared" si="5"/>
        <v>9991.6232406063791</v>
      </c>
      <c r="V29" s="5">
        <f t="shared" si="5"/>
        <v>7708.9623328607804</v>
      </c>
      <c r="W29" s="5">
        <f t="shared" si="5"/>
        <v>8969.7753943788248</v>
      </c>
      <c r="X29" s="5">
        <f t="shared" si="5"/>
        <v>17675.199282500904</v>
      </c>
      <c r="Y29" s="5">
        <f t="shared" si="5"/>
        <v>8129.9064344345015</v>
      </c>
      <c r="Z29" s="5">
        <f t="shared" si="5"/>
        <v>6774.3091640555767</v>
      </c>
      <c r="AA29" s="5">
        <f t="shared" si="5"/>
        <v>8218.2500708544994</v>
      </c>
      <c r="AB29" s="5">
        <f t="shared" si="5"/>
        <v>6528.2890786099424</v>
      </c>
      <c r="AC29" s="5">
        <f t="shared" si="5"/>
        <v>7890.3397783880382</v>
      </c>
      <c r="AD29" s="5">
        <f t="shared" si="5"/>
        <v>6461.4826201765391</v>
      </c>
      <c r="AE29" s="5">
        <f t="shared" si="5"/>
        <v>5343.517424892435</v>
      </c>
      <c r="AF29" s="5">
        <f t="shared" si="5"/>
        <v>13412.047383088526</v>
      </c>
    </row>
    <row r="30" spans="1:33" s="5" customFormat="1" x14ac:dyDescent="0.2">
      <c r="A30" s="12"/>
    </row>
    <row r="31" spans="1:33" x14ac:dyDescent="0.2">
      <c r="A31" s="43" t="s">
        <v>58</v>
      </c>
      <c r="B31" s="42"/>
    </row>
    <row r="32" spans="1:33" x14ac:dyDescent="0.2">
      <c r="A32" t="s">
        <v>61</v>
      </c>
      <c r="C32" s="3">
        <v>750</v>
      </c>
      <c r="D32" s="1" t="s">
        <v>7</v>
      </c>
    </row>
    <row r="33" spans="1:33" x14ac:dyDescent="0.2">
      <c r="A33" t="s">
        <v>0</v>
      </c>
      <c r="C33" s="29">
        <v>750</v>
      </c>
      <c r="D33" s="1" t="s">
        <v>1</v>
      </c>
    </row>
    <row r="34" spans="1:33" x14ac:dyDescent="0.2">
      <c r="A34" t="s">
        <v>8</v>
      </c>
      <c r="C34" s="5">
        <f>C33*C32</f>
        <v>562500</v>
      </c>
      <c r="D34" s="1"/>
    </row>
    <row r="35" spans="1:33" x14ac:dyDescent="0.2">
      <c r="A35" t="s">
        <v>32</v>
      </c>
      <c r="C35" s="10">
        <v>0.4</v>
      </c>
    </row>
    <row r="36" spans="1:33" x14ac:dyDescent="0.2">
      <c r="A36" t="s">
        <v>33</v>
      </c>
      <c r="C36" s="10">
        <v>0.08</v>
      </c>
    </row>
    <row r="37" spans="1:33" x14ac:dyDescent="0.2">
      <c r="A37" t="s">
        <v>34</v>
      </c>
      <c r="C37" s="21">
        <f>+C36*(1-0.385)</f>
        <v>4.9200000000000001E-2</v>
      </c>
    </row>
    <row r="38" spans="1:33" x14ac:dyDescent="0.2">
      <c r="C38" s="2"/>
    </row>
    <row r="39" spans="1:33" x14ac:dyDescent="0.2">
      <c r="A39" t="s">
        <v>6</v>
      </c>
      <c r="G39">
        <f t="shared" ref="G39:U39" si="6">+H39-1</f>
        <v>-15</v>
      </c>
      <c r="H39">
        <f t="shared" si="6"/>
        <v>-14</v>
      </c>
      <c r="I39">
        <f t="shared" si="6"/>
        <v>-13</v>
      </c>
      <c r="J39">
        <f t="shared" si="6"/>
        <v>-12</v>
      </c>
      <c r="K39">
        <f t="shared" si="6"/>
        <v>-11</v>
      </c>
      <c r="L39">
        <f t="shared" si="6"/>
        <v>-10</v>
      </c>
      <c r="M39">
        <f t="shared" si="6"/>
        <v>-9</v>
      </c>
      <c r="N39">
        <f t="shared" si="6"/>
        <v>-8</v>
      </c>
      <c r="O39">
        <f t="shared" si="6"/>
        <v>-7</v>
      </c>
      <c r="P39">
        <f t="shared" si="6"/>
        <v>-6</v>
      </c>
      <c r="Q39">
        <f t="shared" si="6"/>
        <v>-5</v>
      </c>
      <c r="R39">
        <f t="shared" si="6"/>
        <v>-4</v>
      </c>
      <c r="S39">
        <f t="shared" si="6"/>
        <v>-3</v>
      </c>
      <c r="T39">
        <f t="shared" si="6"/>
        <v>-2</v>
      </c>
      <c r="U39">
        <f t="shared" si="6"/>
        <v>-1</v>
      </c>
      <c r="V39" s="3">
        <v>0</v>
      </c>
    </row>
    <row r="40" spans="1:33" x14ac:dyDescent="0.2">
      <c r="A40" t="s">
        <v>9</v>
      </c>
      <c r="M40" t="s">
        <v>4</v>
      </c>
      <c r="V40" t="s">
        <v>3</v>
      </c>
      <c r="AG40" t="s">
        <v>2</v>
      </c>
    </row>
    <row r="41" spans="1:33" x14ac:dyDescent="0.2">
      <c r="A41" t="s">
        <v>5</v>
      </c>
      <c r="D41">
        <v>-29</v>
      </c>
      <c r="E41">
        <f t="shared" ref="E41:AG41" si="7">+D41+1</f>
        <v>-28</v>
      </c>
      <c r="F41">
        <f t="shared" si="7"/>
        <v>-27</v>
      </c>
      <c r="G41">
        <f t="shared" si="7"/>
        <v>-26</v>
      </c>
      <c r="H41">
        <f t="shared" si="7"/>
        <v>-25</v>
      </c>
      <c r="I41">
        <f t="shared" si="7"/>
        <v>-24</v>
      </c>
      <c r="J41">
        <f t="shared" si="7"/>
        <v>-23</v>
      </c>
      <c r="K41">
        <f t="shared" si="7"/>
        <v>-22</v>
      </c>
      <c r="L41">
        <f t="shared" si="7"/>
        <v>-21</v>
      </c>
      <c r="M41">
        <f t="shared" si="7"/>
        <v>-20</v>
      </c>
      <c r="N41">
        <f t="shared" si="7"/>
        <v>-19</v>
      </c>
      <c r="O41">
        <f t="shared" si="7"/>
        <v>-18</v>
      </c>
      <c r="P41">
        <f t="shared" si="7"/>
        <v>-17</v>
      </c>
      <c r="Q41">
        <f t="shared" si="7"/>
        <v>-16</v>
      </c>
      <c r="R41">
        <f t="shared" si="7"/>
        <v>-15</v>
      </c>
      <c r="S41">
        <f t="shared" si="7"/>
        <v>-14</v>
      </c>
      <c r="T41">
        <f t="shared" si="7"/>
        <v>-13</v>
      </c>
      <c r="U41">
        <f t="shared" si="7"/>
        <v>-12</v>
      </c>
      <c r="V41">
        <f t="shared" si="7"/>
        <v>-11</v>
      </c>
      <c r="W41">
        <f t="shared" si="7"/>
        <v>-10</v>
      </c>
      <c r="X41">
        <f t="shared" si="7"/>
        <v>-9</v>
      </c>
      <c r="Y41">
        <f t="shared" si="7"/>
        <v>-8</v>
      </c>
      <c r="Z41">
        <f t="shared" si="7"/>
        <v>-7</v>
      </c>
      <c r="AA41">
        <f t="shared" si="7"/>
        <v>-6</v>
      </c>
      <c r="AB41">
        <f t="shared" si="7"/>
        <v>-5</v>
      </c>
      <c r="AC41">
        <f t="shared" si="7"/>
        <v>-4</v>
      </c>
      <c r="AD41">
        <f t="shared" si="7"/>
        <v>-3</v>
      </c>
      <c r="AE41">
        <f t="shared" si="7"/>
        <v>-2</v>
      </c>
      <c r="AF41">
        <f t="shared" si="7"/>
        <v>-1</v>
      </c>
      <c r="AG41">
        <f t="shared" si="7"/>
        <v>0</v>
      </c>
    </row>
    <row r="42" spans="1:33" x14ac:dyDescent="0.2">
      <c r="A42" t="s">
        <v>14</v>
      </c>
      <c r="D42" s="11">
        <v>3.3175973152879874E-3</v>
      </c>
      <c r="E42" s="11">
        <v>2.5360706072204001E-4</v>
      </c>
      <c r="F42" s="11">
        <v>3.2936057344240202E-4</v>
      </c>
      <c r="G42" s="11">
        <v>9.3257305414957813E-3</v>
      </c>
      <c r="H42" s="11">
        <v>8.5642626207027821E-4</v>
      </c>
      <c r="I42" s="11">
        <v>1.0137164227486031E-3</v>
      </c>
      <c r="J42" s="11">
        <v>5.5842023877507842E-2</v>
      </c>
      <c r="K42" s="11">
        <v>3.2594604399295998E-2</v>
      </c>
      <c r="L42" s="11">
        <v>2.1785107282081592E-2</v>
      </c>
      <c r="M42" s="11">
        <v>2.3438918084138449E-2</v>
      </c>
      <c r="N42" s="11">
        <v>4.2653073830282426E-2</v>
      </c>
      <c r="O42" s="11">
        <v>1.866009088575574E-2</v>
      </c>
      <c r="P42" s="11">
        <v>2.2190347732547879E-2</v>
      </c>
      <c r="Q42" s="11">
        <v>2.9103056490693092E-2</v>
      </c>
      <c r="R42" s="11">
        <v>3.8517198442372488E-2</v>
      </c>
      <c r="S42" s="11">
        <v>4.9378839496985155E-2</v>
      </c>
      <c r="T42" s="11">
        <v>3.2537113973008361E-2</v>
      </c>
      <c r="U42" s="11">
        <v>5.7671707016487037E-2</v>
      </c>
      <c r="V42" s="11">
        <v>4.4496175081447507E-2</v>
      </c>
      <c r="W42" s="11">
        <v>5.1773595349949922E-2</v>
      </c>
      <c r="X42" s="11">
        <v>0.10202135227994749</v>
      </c>
      <c r="Y42" s="11">
        <v>4.6925866865422806E-2</v>
      </c>
      <c r="Z42" s="11">
        <v>3.9101351596280386E-2</v>
      </c>
      <c r="AA42" s="11">
        <v>4.7435786844759013E-2</v>
      </c>
      <c r="AB42" s="11">
        <v>3.7681322243058833E-2</v>
      </c>
      <c r="AC42" s="11">
        <v>4.5543086743942501E-2</v>
      </c>
      <c r="AD42" s="11">
        <v>3.7295714979373965E-2</v>
      </c>
      <c r="AE42" s="11">
        <v>3.0842813419292552E-2</v>
      </c>
      <c r="AF42" s="11">
        <f>1-SUM(D42:AE42)</f>
        <v>7.7414414909601881E-2</v>
      </c>
    </row>
    <row r="43" spans="1:33" s="5" customFormat="1" x14ac:dyDescent="0.2">
      <c r="A43" s="12" t="s">
        <v>15</v>
      </c>
      <c r="D43" s="5">
        <f>D42*$C$34</f>
        <v>1866.148489849493</v>
      </c>
      <c r="E43" s="5">
        <f t="shared" ref="E43:AF43" si="8">E42*$C$34</f>
        <v>142.65397165614752</v>
      </c>
      <c r="F43" s="5">
        <f t="shared" si="8"/>
        <v>185.26532256135113</v>
      </c>
      <c r="G43" s="5">
        <f t="shared" si="8"/>
        <v>5245.7234295913768</v>
      </c>
      <c r="H43" s="5">
        <f t="shared" si="8"/>
        <v>481.7397724145315</v>
      </c>
      <c r="I43" s="5">
        <f t="shared" si="8"/>
        <v>570.21548779608918</v>
      </c>
      <c r="J43" s="5">
        <f t="shared" si="8"/>
        <v>31411.138431098159</v>
      </c>
      <c r="K43" s="5">
        <f t="shared" si="8"/>
        <v>18334.464974603998</v>
      </c>
      <c r="L43" s="5">
        <f t="shared" si="8"/>
        <v>12254.122846170896</v>
      </c>
      <c r="M43" s="5">
        <f t="shared" si="8"/>
        <v>13184.391422327877</v>
      </c>
      <c r="N43" s="5">
        <f t="shared" si="8"/>
        <v>23992.354029533864</v>
      </c>
      <c r="O43" s="5">
        <f t="shared" si="8"/>
        <v>10496.301123237605</v>
      </c>
      <c r="P43" s="5">
        <f t="shared" si="8"/>
        <v>12482.070599558181</v>
      </c>
      <c r="Q43" s="5">
        <f t="shared" si="8"/>
        <v>16370.469276014865</v>
      </c>
      <c r="R43" s="5">
        <f t="shared" si="8"/>
        <v>21665.924123834524</v>
      </c>
      <c r="S43" s="5">
        <f t="shared" si="8"/>
        <v>27775.59721705415</v>
      </c>
      <c r="T43" s="5">
        <f t="shared" si="8"/>
        <v>18302.126609817202</v>
      </c>
      <c r="U43" s="5">
        <f t="shared" si="8"/>
        <v>32440.335196773958</v>
      </c>
      <c r="V43" s="5">
        <f t="shared" si="8"/>
        <v>25029.098483314221</v>
      </c>
      <c r="W43" s="5">
        <f t="shared" si="8"/>
        <v>29122.64738434683</v>
      </c>
      <c r="X43" s="5">
        <f t="shared" si="8"/>
        <v>57387.010657470462</v>
      </c>
      <c r="Y43" s="5">
        <f t="shared" si="8"/>
        <v>26395.80011180033</v>
      </c>
      <c r="Z43" s="5">
        <f t="shared" si="8"/>
        <v>21994.510272907715</v>
      </c>
      <c r="AA43" s="5">
        <f t="shared" si="8"/>
        <v>26682.630100176946</v>
      </c>
      <c r="AB43" s="5">
        <f t="shared" si="8"/>
        <v>21195.743761720594</v>
      </c>
      <c r="AC43" s="5">
        <f t="shared" si="8"/>
        <v>25617.986293467657</v>
      </c>
      <c r="AD43" s="5">
        <f t="shared" si="8"/>
        <v>20978.839675897856</v>
      </c>
      <c r="AE43" s="5">
        <f t="shared" si="8"/>
        <v>17349.08254835206</v>
      </c>
      <c r="AF43" s="5">
        <f t="shared" si="8"/>
        <v>43545.60838665106</v>
      </c>
    </row>
    <row r="44" spans="1:33" s="5" customFormat="1" x14ac:dyDescent="0.2">
      <c r="A44" s="12"/>
    </row>
    <row r="45" spans="1:33" x14ac:dyDescent="0.2">
      <c r="A45" s="43" t="s">
        <v>59</v>
      </c>
      <c r="B45" s="42"/>
    </row>
    <row r="46" spans="1:33" x14ac:dyDescent="0.2">
      <c r="A46" t="s">
        <v>61</v>
      </c>
      <c r="C46" s="3">
        <v>437</v>
      </c>
      <c r="D46" s="1" t="s">
        <v>7</v>
      </c>
    </row>
    <row r="47" spans="1:33" x14ac:dyDescent="0.2">
      <c r="A47" t="s">
        <v>0</v>
      </c>
      <c r="C47" s="29">
        <v>425</v>
      </c>
      <c r="D47" s="1" t="s">
        <v>1</v>
      </c>
    </row>
    <row r="48" spans="1:33" x14ac:dyDescent="0.2">
      <c r="A48" t="s">
        <v>8</v>
      </c>
      <c r="C48" s="5">
        <f>C47*C46</f>
        <v>185725</v>
      </c>
      <c r="D48" s="1"/>
    </row>
    <row r="49" spans="1:36" x14ac:dyDescent="0.2">
      <c r="A49" t="s">
        <v>32</v>
      </c>
      <c r="C49" s="10">
        <v>0.4</v>
      </c>
    </row>
    <row r="50" spans="1:36" x14ac:dyDescent="0.2">
      <c r="A50" t="s">
        <v>33</v>
      </c>
      <c r="C50" s="10">
        <v>0.08</v>
      </c>
    </row>
    <row r="51" spans="1:36" x14ac:dyDescent="0.2">
      <c r="A51" t="s">
        <v>34</v>
      </c>
      <c r="C51" s="21">
        <f>+C50*(1-0.385)</f>
        <v>4.9200000000000001E-2</v>
      </c>
    </row>
    <row r="52" spans="1:36" x14ac:dyDescent="0.2">
      <c r="C52" s="2"/>
    </row>
    <row r="53" spans="1:36" x14ac:dyDescent="0.2">
      <c r="A53" t="s">
        <v>6</v>
      </c>
      <c r="G53">
        <f t="shared" ref="G53:U53" si="9">+H53-1</f>
        <v>-15</v>
      </c>
      <c r="H53">
        <f t="shared" si="9"/>
        <v>-14</v>
      </c>
      <c r="I53">
        <f t="shared" si="9"/>
        <v>-13</v>
      </c>
      <c r="J53">
        <f t="shared" si="9"/>
        <v>-12</v>
      </c>
      <c r="K53">
        <f t="shared" si="9"/>
        <v>-11</v>
      </c>
      <c r="L53">
        <f t="shared" si="9"/>
        <v>-10</v>
      </c>
      <c r="M53">
        <f t="shared" si="9"/>
        <v>-9</v>
      </c>
      <c r="N53">
        <f t="shared" si="9"/>
        <v>-8</v>
      </c>
      <c r="O53">
        <f t="shared" si="9"/>
        <v>-7</v>
      </c>
      <c r="P53">
        <f t="shared" si="9"/>
        <v>-6</v>
      </c>
      <c r="Q53">
        <f t="shared" si="9"/>
        <v>-5</v>
      </c>
      <c r="R53">
        <f t="shared" si="9"/>
        <v>-4</v>
      </c>
      <c r="S53">
        <f t="shared" si="9"/>
        <v>-3</v>
      </c>
      <c r="T53">
        <f t="shared" si="9"/>
        <v>-2</v>
      </c>
      <c r="U53">
        <f t="shared" si="9"/>
        <v>-1</v>
      </c>
      <c r="V53" s="3">
        <v>0</v>
      </c>
    </row>
    <row r="54" spans="1:36" x14ac:dyDescent="0.2">
      <c r="A54" t="s">
        <v>9</v>
      </c>
      <c r="M54" t="s">
        <v>4</v>
      </c>
      <c r="V54" t="s">
        <v>3</v>
      </c>
      <c r="AG54" t="s">
        <v>2</v>
      </c>
    </row>
    <row r="55" spans="1:36" x14ac:dyDescent="0.2">
      <c r="A55" t="s">
        <v>5</v>
      </c>
      <c r="D55">
        <v>-29</v>
      </c>
      <c r="E55">
        <f t="shared" ref="E55:AG55" si="10">+D55+1</f>
        <v>-28</v>
      </c>
      <c r="F55">
        <f t="shared" si="10"/>
        <v>-27</v>
      </c>
      <c r="G55">
        <f t="shared" si="10"/>
        <v>-26</v>
      </c>
      <c r="H55">
        <f t="shared" si="10"/>
        <v>-25</v>
      </c>
      <c r="I55">
        <f t="shared" si="10"/>
        <v>-24</v>
      </c>
      <c r="J55">
        <f t="shared" si="10"/>
        <v>-23</v>
      </c>
      <c r="K55">
        <f t="shared" si="10"/>
        <v>-22</v>
      </c>
      <c r="L55">
        <f t="shared" si="10"/>
        <v>-21</v>
      </c>
      <c r="M55">
        <f t="shared" si="10"/>
        <v>-20</v>
      </c>
      <c r="N55">
        <f t="shared" si="10"/>
        <v>-19</v>
      </c>
      <c r="O55">
        <f t="shared" si="10"/>
        <v>-18</v>
      </c>
      <c r="P55">
        <f t="shared" si="10"/>
        <v>-17</v>
      </c>
      <c r="Q55">
        <f t="shared" si="10"/>
        <v>-16</v>
      </c>
      <c r="R55">
        <f t="shared" si="10"/>
        <v>-15</v>
      </c>
      <c r="S55">
        <f t="shared" si="10"/>
        <v>-14</v>
      </c>
      <c r="T55">
        <f t="shared" si="10"/>
        <v>-13</v>
      </c>
      <c r="U55">
        <f t="shared" si="10"/>
        <v>-12</v>
      </c>
      <c r="V55">
        <f t="shared" si="10"/>
        <v>-11</v>
      </c>
      <c r="W55">
        <f t="shared" si="10"/>
        <v>-10</v>
      </c>
      <c r="X55">
        <f t="shared" si="10"/>
        <v>-9</v>
      </c>
      <c r="Y55">
        <f t="shared" si="10"/>
        <v>-8</v>
      </c>
      <c r="Z55">
        <f t="shared" si="10"/>
        <v>-7</v>
      </c>
      <c r="AA55">
        <f t="shared" si="10"/>
        <v>-6</v>
      </c>
      <c r="AB55">
        <f t="shared" si="10"/>
        <v>-5</v>
      </c>
      <c r="AC55">
        <f t="shared" si="10"/>
        <v>-4</v>
      </c>
      <c r="AD55">
        <f t="shared" si="10"/>
        <v>-3</v>
      </c>
      <c r="AE55">
        <f t="shared" si="10"/>
        <v>-2</v>
      </c>
      <c r="AF55">
        <f t="shared" si="10"/>
        <v>-1</v>
      </c>
      <c r="AG55">
        <f t="shared" si="10"/>
        <v>0</v>
      </c>
    </row>
    <row r="56" spans="1:36" x14ac:dyDescent="0.2">
      <c r="A56" t="s">
        <v>14</v>
      </c>
      <c r="D56" s="11">
        <v>3.3175973152879874E-3</v>
      </c>
      <c r="E56" s="11">
        <v>2.5360706072204001E-4</v>
      </c>
      <c r="F56" s="11">
        <v>3.2936057344240202E-4</v>
      </c>
      <c r="G56" s="11">
        <v>9.3257305414957813E-3</v>
      </c>
      <c r="H56" s="11">
        <v>8.5642626207027821E-4</v>
      </c>
      <c r="I56" s="11">
        <v>1.0137164227486031E-3</v>
      </c>
      <c r="J56" s="11">
        <v>5.5842023877507842E-2</v>
      </c>
      <c r="K56" s="11">
        <v>3.2594604399295998E-2</v>
      </c>
      <c r="L56" s="11">
        <v>2.1785107282081592E-2</v>
      </c>
      <c r="M56" s="11">
        <v>2.3438918084138449E-2</v>
      </c>
      <c r="N56" s="11">
        <v>4.2653073830282426E-2</v>
      </c>
      <c r="O56" s="11">
        <v>1.866009088575574E-2</v>
      </c>
      <c r="P56" s="11">
        <v>2.2190347732547879E-2</v>
      </c>
      <c r="Q56" s="11">
        <v>2.9103056490693092E-2</v>
      </c>
      <c r="R56" s="11">
        <v>3.8517198442372488E-2</v>
      </c>
      <c r="S56" s="11">
        <v>4.9378839496985155E-2</v>
      </c>
      <c r="T56" s="11">
        <v>3.2537113973008361E-2</v>
      </c>
      <c r="U56" s="11">
        <v>5.7671707016487037E-2</v>
      </c>
      <c r="V56" s="11">
        <v>4.4496175081447507E-2</v>
      </c>
      <c r="W56" s="11">
        <v>5.1773595349949922E-2</v>
      </c>
      <c r="X56" s="11">
        <v>0.10202135227994749</v>
      </c>
      <c r="Y56" s="11">
        <v>4.6925866865422806E-2</v>
      </c>
      <c r="Z56" s="11">
        <v>3.9101351596280386E-2</v>
      </c>
      <c r="AA56" s="11">
        <v>4.7435786844759013E-2</v>
      </c>
      <c r="AB56" s="11">
        <v>3.7681322243058833E-2</v>
      </c>
      <c r="AC56" s="11">
        <v>4.5543086743942501E-2</v>
      </c>
      <c r="AD56" s="11">
        <v>3.7295714979373965E-2</v>
      </c>
      <c r="AE56" s="11">
        <v>3.0842813419292552E-2</v>
      </c>
      <c r="AF56" s="11">
        <f>1-SUM(D56:AE56)</f>
        <v>7.7414414909601881E-2</v>
      </c>
    </row>
    <row r="57" spans="1:36" s="5" customFormat="1" x14ac:dyDescent="0.2">
      <c r="A57" s="12" t="s">
        <v>15</v>
      </c>
      <c r="D57" s="5">
        <f>D56*$C$48</f>
        <v>616.16076138186145</v>
      </c>
      <c r="E57" s="5">
        <f t="shared" ref="E57:AF57" si="11">E56*$C$48</f>
        <v>47.101171352600879</v>
      </c>
      <c r="F57" s="5">
        <f t="shared" si="11"/>
        <v>61.170492502590115</v>
      </c>
      <c r="G57" s="5">
        <f t="shared" si="11"/>
        <v>1732.0213048193041</v>
      </c>
      <c r="H57" s="5">
        <f t="shared" si="11"/>
        <v>159.05976752300242</v>
      </c>
      <c r="I57" s="5">
        <f t="shared" si="11"/>
        <v>188.27248261498431</v>
      </c>
      <c r="J57" s="5">
        <f t="shared" si="11"/>
        <v>10371.259884650144</v>
      </c>
      <c r="K57" s="5">
        <f t="shared" si="11"/>
        <v>6053.6329020592493</v>
      </c>
      <c r="L57" s="5">
        <f t="shared" si="11"/>
        <v>4046.0390499646037</v>
      </c>
      <c r="M57" s="5">
        <f t="shared" si="11"/>
        <v>4353.1930611766138</v>
      </c>
      <c r="N57" s="5">
        <f t="shared" si="11"/>
        <v>7921.7421371292039</v>
      </c>
      <c r="O57" s="5">
        <f t="shared" si="11"/>
        <v>3465.6453797569848</v>
      </c>
      <c r="P57" s="5">
        <f t="shared" si="11"/>
        <v>4121.3023326274551</v>
      </c>
      <c r="Q57" s="5">
        <f t="shared" si="11"/>
        <v>5405.1651667339747</v>
      </c>
      <c r="R57" s="5">
        <f t="shared" si="11"/>
        <v>7153.6066807096304</v>
      </c>
      <c r="S57" s="5">
        <f t="shared" si="11"/>
        <v>9170.8849655775684</v>
      </c>
      <c r="T57" s="5">
        <f t="shared" si="11"/>
        <v>6042.9554926369774</v>
      </c>
      <c r="U57" s="5">
        <f t="shared" si="11"/>
        <v>10711.077785637055</v>
      </c>
      <c r="V57" s="5">
        <f t="shared" si="11"/>
        <v>8264.0521170018383</v>
      </c>
      <c r="W57" s="5">
        <f t="shared" si="11"/>
        <v>9615.6509963694498</v>
      </c>
      <c r="X57" s="5">
        <f t="shared" si="11"/>
        <v>18947.915652193249</v>
      </c>
      <c r="Y57" s="5">
        <f t="shared" si="11"/>
        <v>8715.3066235806509</v>
      </c>
      <c r="Z57" s="5">
        <f t="shared" si="11"/>
        <v>7262.0985252191749</v>
      </c>
      <c r="AA57" s="5">
        <f t="shared" si="11"/>
        <v>8810.0115117428686</v>
      </c>
      <c r="AB57" s="5">
        <f t="shared" si="11"/>
        <v>6998.3635735921016</v>
      </c>
      <c r="AC57" s="5">
        <f t="shared" si="11"/>
        <v>8458.489785518721</v>
      </c>
      <c r="AD57" s="5">
        <f t="shared" si="11"/>
        <v>6926.7466645442291</v>
      </c>
      <c r="AE57" s="5">
        <f t="shared" si="11"/>
        <v>5728.2815222981089</v>
      </c>
      <c r="AF57" s="5">
        <f t="shared" si="11"/>
        <v>14377.79220908581</v>
      </c>
    </row>
    <row r="58" spans="1:36" s="5" customFormat="1" x14ac:dyDescent="0.2">
      <c r="A58" s="12"/>
    </row>
    <row r="59" spans="1:36" s="5" customFormat="1" x14ac:dyDescent="0.2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/>
      <c r="AH59"/>
      <c r="AI59"/>
      <c r="AJ59"/>
    </row>
    <row r="60" spans="1:36" x14ac:dyDescent="0.2">
      <c r="A60" t="s">
        <v>11</v>
      </c>
    </row>
    <row r="61" spans="1:36" x14ac:dyDescent="0.2">
      <c r="A61" t="s">
        <v>16</v>
      </c>
    </row>
    <row r="62" spans="1:36" x14ac:dyDescent="0.2">
      <c r="A62" t="s">
        <v>10</v>
      </c>
    </row>
    <row r="63" spans="1:36" x14ac:dyDescent="0.2">
      <c r="A63" t="s">
        <v>19</v>
      </c>
    </row>
  </sheetData>
  <pageMargins left="0.25" right="0.25" top="0.5" bottom="0.5" header="0.5" footer="0.25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/>
  </sheetViews>
  <sheetFormatPr defaultRowHeight="12.75" x14ac:dyDescent="0.2"/>
  <cols>
    <col min="1" max="1" width="20.7109375" customWidth="1"/>
    <col min="2" max="21" width="10.7109375" customWidth="1"/>
  </cols>
  <sheetData>
    <row r="1" spans="1:21" x14ac:dyDescent="0.2">
      <c r="A1" s="41" t="s">
        <v>62</v>
      </c>
    </row>
    <row r="3" spans="1:21" x14ac:dyDescent="0.2">
      <c r="A3" s="41" t="s">
        <v>31</v>
      </c>
      <c r="B3" s="42"/>
      <c r="C3" s="42"/>
    </row>
    <row r="4" spans="1:21" s="20" customFormat="1" x14ac:dyDescent="0.2">
      <c r="A4" s="20" t="s">
        <v>29</v>
      </c>
      <c r="B4" s="20">
        <v>1</v>
      </c>
      <c r="C4" s="20">
        <f>+B4+1</f>
        <v>2</v>
      </c>
      <c r="D4" s="20">
        <f t="shared" ref="D4:T4" si="0">+C4+1</f>
        <v>3</v>
      </c>
      <c r="E4" s="20">
        <f t="shared" si="0"/>
        <v>4</v>
      </c>
      <c r="F4" s="20">
        <f t="shared" si="0"/>
        <v>5</v>
      </c>
      <c r="G4" s="20">
        <f t="shared" si="0"/>
        <v>6</v>
      </c>
      <c r="H4" s="20">
        <f t="shared" si="0"/>
        <v>7</v>
      </c>
      <c r="I4" s="20">
        <f t="shared" si="0"/>
        <v>8</v>
      </c>
      <c r="J4" s="20">
        <f t="shared" si="0"/>
        <v>9</v>
      </c>
      <c r="K4" s="20">
        <f t="shared" si="0"/>
        <v>10</v>
      </c>
      <c r="L4" s="20">
        <f t="shared" si="0"/>
        <v>11</v>
      </c>
      <c r="M4" s="20">
        <f t="shared" si="0"/>
        <v>12</v>
      </c>
      <c r="N4" s="20">
        <f>+M4+1</f>
        <v>13</v>
      </c>
      <c r="O4" s="20">
        <f t="shared" si="0"/>
        <v>14</v>
      </c>
      <c r="P4" s="20">
        <f t="shared" si="0"/>
        <v>15</v>
      </c>
      <c r="Q4" s="20">
        <f t="shared" si="0"/>
        <v>16</v>
      </c>
      <c r="R4" s="20">
        <f t="shared" si="0"/>
        <v>17</v>
      </c>
      <c r="S4" s="20">
        <f t="shared" si="0"/>
        <v>18</v>
      </c>
      <c r="T4" s="20">
        <f t="shared" si="0"/>
        <v>19</v>
      </c>
      <c r="U4" s="20">
        <f>+T4+1</f>
        <v>20</v>
      </c>
    </row>
    <row r="5" spans="1:21" s="5" customFormat="1" x14ac:dyDescent="0.2"/>
    <row r="6" spans="1:21" s="5" customFormat="1" x14ac:dyDescent="0.2">
      <c r="A6" s="19" t="s">
        <v>17</v>
      </c>
      <c r="B6" s="5">
        <f>+B$10*B21</f>
        <v>6600</v>
      </c>
      <c r="C6" s="5">
        <f t="shared" ref="C6:U6" si="1">+C$10*C21</f>
        <v>12342</v>
      </c>
      <c r="D6" s="5">
        <f t="shared" si="1"/>
        <v>14148.42</v>
      </c>
      <c r="E6" s="5">
        <f t="shared" si="1"/>
        <v>15084.392400000002</v>
      </c>
      <c r="F6" s="5">
        <f t="shared" si="1"/>
        <v>16161.849</v>
      </c>
      <c r="G6" s="5">
        <f t="shared" si="1"/>
        <v>18499.929822000002</v>
      </c>
      <c r="H6" s="5">
        <f t="shared" si="1"/>
        <v>21089.919997080004</v>
      </c>
      <c r="I6" s="5">
        <f t="shared" si="1"/>
        <v>21933.516796963206</v>
      </c>
      <c r="J6" s="5">
        <f t="shared" si="1"/>
        <v>22810.857468841732</v>
      </c>
      <c r="K6" s="5">
        <f t="shared" si="1"/>
        <v>23723.291767595401</v>
      </c>
      <c r="L6" s="5">
        <f t="shared" si="1"/>
        <v>24672.223438299217</v>
      </c>
      <c r="M6" s="5">
        <f t="shared" si="1"/>
        <v>26892.72354774614</v>
      </c>
      <c r="N6" s="5">
        <f t="shared" si="1"/>
        <v>29313.068667043291</v>
      </c>
      <c r="O6" s="5">
        <f t="shared" si="1"/>
        <v>31951.244847077185</v>
      </c>
      <c r="P6" s="5">
        <f t="shared" si="1"/>
        <v>34826.856883314133</v>
      </c>
      <c r="Q6" s="5">
        <f t="shared" si="1"/>
        <v>49949.044740542638</v>
      </c>
      <c r="R6" s="5">
        <f t="shared" si="1"/>
        <v>47451.592503515509</v>
      </c>
      <c r="S6" s="5">
        <f t="shared" si="1"/>
        <v>45079.012878339738</v>
      </c>
      <c r="T6" s="5">
        <f t="shared" si="1"/>
        <v>42825.062234422752</v>
      </c>
      <c r="U6" s="5">
        <f t="shared" si="1"/>
        <v>40683.809122701612</v>
      </c>
    </row>
    <row r="7" spans="1:21" s="5" customFormat="1" x14ac:dyDescent="0.2">
      <c r="A7" s="19" t="s">
        <v>24</v>
      </c>
      <c r="B7" s="5">
        <f>+B$10*B22</f>
        <v>4400</v>
      </c>
      <c r="C7" s="5">
        <f t="shared" ref="C7:U7" si="2">+C$10*C22</f>
        <v>15708.000000000002</v>
      </c>
      <c r="D7" s="5">
        <f t="shared" si="2"/>
        <v>15236.760000000002</v>
      </c>
      <c r="E7" s="5">
        <f t="shared" si="2"/>
        <v>15084.392400000002</v>
      </c>
      <c r="F7" s="5">
        <f t="shared" si="2"/>
        <v>15084.392400000002</v>
      </c>
      <c r="G7" s="5">
        <f t="shared" si="2"/>
        <v>16323.467490000001</v>
      </c>
      <c r="H7" s="5">
        <f t="shared" si="2"/>
        <v>16649.936839800001</v>
      </c>
      <c r="I7" s="5">
        <f t="shared" si="2"/>
        <v>17315.934313392001</v>
      </c>
      <c r="J7" s="5">
        <f t="shared" si="2"/>
        <v>18008.571685927684</v>
      </c>
      <c r="K7" s="5">
        <f t="shared" si="2"/>
        <v>18728.91455336479</v>
      </c>
      <c r="L7" s="5">
        <f t="shared" si="2"/>
        <v>12985.380756999588</v>
      </c>
      <c r="M7" s="5">
        <f t="shared" si="2"/>
        <v>14154.065025129548</v>
      </c>
      <c r="N7" s="5">
        <f t="shared" si="2"/>
        <v>15427.930877391205</v>
      </c>
      <c r="O7" s="5">
        <f t="shared" si="2"/>
        <v>16816.444656356412</v>
      </c>
      <c r="P7" s="5">
        <f t="shared" si="2"/>
        <v>18329.92467542849</v>
      </c>
      <c r="Q7" s="5">
        <f t="shared" si="2"/>
        <v>59938.853688651165</v>
      </c>
      <c r="R7" s="5">
        <f t="shared" si="2"/>
        <v>56941.911004218608</v>
      </c>
      <c r="S7" s="5">
        <f t="shared" si="2"/>
        <v>54094.815454007687</v>
      </c>
      <c r="T7" s="5">
        <f t="shared" si="2"/>
        <v>51390.074681307298</v>
      </c>
      <c r="U7" s="5">
        <f t="shared" si="2"/>
        <v>48820.570947241933</v>
      </c>
    </row>
    <row r="8" spans="1:21" s="5" customFormat="1" x14ac:dyDescent="0.2"/>
    <row r="9" spans="1:21" s="5" customFormat="1" x14ac:dyDescent="0.2">
      <c r="A9" s="18" t="s">
        <v>12</v>
      </c>
    </row>
    <row r="10" spans="1:21" s="5" customFormat="1" x14ac:dyDescent="0.2">
      <c r="A10" s="5" t="s">
        <v>22</v>
      </c>
      <c r="B10" s="9">
        <f>+Assumptions!C6*Assumptions!C7</f>
        <v>110000</v>
      </c>
      <c r="C10" s="5">
        <f>+B13</f>
        <v>112200</v>
      </c>
      <c r="D10" s="5">
        <f t="shared" ref="D10:U10" si="3">+C13</f>
        <v>108834</v>
      </c>
      <c r="E10" s="5">
        <f t="shared" si="3"/>
        <v>107745.66</v>
      </c>
      <c r="F10" s="5">
        <f t="shared" si="3"/>
        <v>107745.66</v>
      </c>
      <c r="G10" s="5">
        <f t="shared" si="3"/>
        <v>108823.11660000001</v>
      </c>
      <c r="H10" s="5">
        <f t="shared" si="3"/>
        <v>110999.57893200002</v>
      </c>
      <c r="I10" s="5">
        <f t="shared" si="3"/>
        <v>115439.56208928002</v>
      </c>
      <c r="J10" s="5">
        <f t="shared" si="3"/>
        <v>120057.14457285122</v>
      </c>
      <c r="K10" s="5">
        <f t="shared" si="3"/>
        <v>124859.43035576527</v>
      </c>
      <c r="L10" s="5">
        <f t="shared" si="3"/>
        <v>129853.80756999587</v>
      </c>
      <c r="M10" s="5">
        <f t="shared" si="3"/>
        <v>141540.65025129548</v>
      </c>
      <c r="N10" s="5">
        <f t="shared" si="3"/>
        <v>154279.30877391205</v>
      </c>
      <c r="O10" s="5">
        <f t="shared" si="3"/>
        <v>168164.44656356412</v>
      </c>
      <c r="P10" s="5">
        <f t="shared" si="3"/>
        <v>183299.24675428489</v>
      </c>
      <c r="Q10" s="5">
        <f t="shared" si="3"/>
        <v>199796.17896217055</v>
      </c>
      <c r="R10" s="5">
        <f t="shared" si="3"/>
        <v>189806.37001406203</v>
      </c>
      <c r="S10" s="5">
        <f t="shared" si="3"/>
        <v>180316.05151335895</v>
      </c>
      <c r="T10" s="5">
        <f t="shared" si="3"/>
        <v>171300.24893769101</v>
      </c>
      <c r="U10" s="5">
        <f t="shared" si="3"/>
        <v>162735.23649080645</v>
      </c>
    </row>
    <row r="11" spans="1:21" s="5" customFormat="1" x14ac:dyDescent="0.2">
      <c r="A11" s="5" t="s">
        <v>20</v>
      </c>
      <c r="B11" s="5">
        <f>+B6</f>
        <v>6600</v>
      </c>
      <c r="C11" s="5">
        <f>+C6</f>
        <v>12342</v>
      </c>
      <c r="D11" s="5">
        <f t="shared" ref="D11:U11" si="4">+D6</f>
        <v>14148.42</v>
      </c>
      <c r="E11" s="5">
        <f t="shared" si="4"/>
        <v>15084.392400000002</v>
      </c>
      <c r="F11" s="5">
        <f t="shared" si="4"/>
        <v>16161.849</v>
      </c>
      <c r="G11" s="5">
        <f t="shared" si="4"/>
        <v>18499.929822000002</v>
      </c>
      <c r="H11" s="5">
        <f t="shared" si="4"/>
        <v>21089.919997080004</v>
      </c>
      <c r="I11" s="5">
        <f t="shared" si="4"/>
        <v>21933.516796963206</v>
      </c>
      <c r="J11" s="5">
        <f t="shared" si="4"/>
        <v>22810.857468841732</v>
      </c>
      <c r="K11" s="5">
        <f t="shared" si="4"/>
        <v>23723.291767595401</v>
      </c>
      <c r="L11" s="5">
        <f t="shared" si="4"/>
        <v>24672.223438299217</v>
      </c>
      <c r="M11" s="5">
        <f t="shared" si="4"/>
        <v>26892.72354774614</v>
      </c>
      <c r="N11" s="5">
        <f t="shared" si="4"/>
        <v>29313.068667043291</v>
      </c>
      <c r="O11" s="5">
        <f t="shared" si="4"/>
        <v>31951.244847077185</v>
      </c>
      <c r="P11" s="5">
        <f t="shared" si="4"/>
        <v>34826.856883314133</v>
      </c>
      <c r="Q11" s="5">
        <f t="shared" si="4"/>
        <v>49949.044740542638</v>
      </c>
      <c r="R11" s="5">
        <f t="shared" si="4"/>
        <v>47451.592503515509</v>
      </c>
      <c r="S11" s="5">
        <f t="shared" si="4"/>
        <v>45079.012878339738</v>
      </c>
      <c r="T11" s="5">
        <f t="shared" si="4"/>
        <v>42825.062234422752</v>
      </c>
      <c r="U11" s="5">
        <f t="shared" si="4"/>
        <v>40683.809122701612</v>
      </c>
    </row>
    <row r="12" spans="1:21" s="5" customFormat="1" x14ac:dyDescent="0.2">
      <c r="A12" s="5" t="s">
        <v>23</v>
      </c>
      <c r="B12" s="5">
        <f>-B7</f>
        <v>-4400</v>
      </c>
      <c r="C12" s="5">
        <f>-C7</f>
        <v>-15708.000000000002</v>
      </c>
      <c r="D12" s="5">
        <f t="shared" ref="D12:U12" si="5">-D7</f>
        <v>-15236.760000000002</v>
      </c>
      <c r="E12" s="5">
        <f t="shared" si="5"/>
        <v>-15084.392400000002</v>
      </c>
      <c r="F12" s="5">
        <f t="shared" si="5"/>
        <v>-15084.392400000002</v>
      </c>
      <c r="G12" s="5">
        <f t="shared" si="5"/>
        <v>-16323.467490000001</v>
      </c>
      <c r="H12" s="5">
        <f t="shared" si="5"/>
        <v>-16649.936839800001</v>
      </c>
      <c r="I12" s="5">
        <f t="shared" si="5"/>
        <v>-17315.934313392001</v>
      </c>
      <c r="J12" s="5">
        <f t="shared" si="5"/>
        <v>-18008.571685927684</v>
      </c>
      <c r="K12" s="5">
        <f t="shared" si="5"/>
        <v>-18728.91455336479</v>
      </c>
      <c r="L12" s="5">
        <f t="shared" si="5"/>
        <v>-12985.380756999588</v>
      </c>
      <c r="M12" s="5">
        <f t="shared" si="5"/>
        <v>-14154.065025129548</v>
      </c>
      <c r="N12" s="5">
        <f t="shared" si="5"/>
        <v>-15427.930877391205</v>
      </c>
      <c r="O12" s="5">
        <f t="shared" si="5"/>
        <v>-16816.444656356412</v>
      </c>
      <c r="P12" s="5">
        <f t="shared" si="5"/>
        <v>-18329.92467542849</v>
      </c>
      <c r="Q12" s="5">
        <f t="shared" si="5"/>
        <v>-59938.853688651165</v>
      </c>
      <c r="R12" s="5">
        <f t="shared" si="5"/>
        <v>-56941.911004218608</v>
      </c>
      <c r="S12" s="5">
        <f t="shared" si="5"/>
        <v>-54094.815454007687</v>
      </c>
      <c r="T12" s="5">
        <f t="shared" si="5"/>
        <v>-51390.074681307298</v>
      </c>
      <c r="U12" s="5">
        <f t="shared" si="5"/>
        <v>-48820.570947241933</v>
      </c>
    </row>
    <row r="13" spans="1:21" s="5" customFormat="1" x14ac:dyDescent="0.2">
      <c r="A13" s="5" t="s">
        <v>21</v>
      </c>
      <c r="B13" s="13">
        <f>SUM(B10:B12)</f>
        <v>112200</v>
      </c>
      <c r="C13" s="13">
        <f>SUM(C10:C12)</f>
        <v>108834</v>
      </c>
      <c r="D13" s="13">
        <f t="shared" ref="D13:U13" si="6">SUM(D10:D12)</f>
        <v>107745.66</v>
      </c>
      <c r="E13" s="13">
        <f t="shared" si="6"/>
        <v>107745.66</v>
      </c>
      <c r="F13" s="13">
        <f t="shared" si="6"/>
        <v>108823.11660000001</v>
      </c>
      <c r="G13" s="13">
        <f t="shared" si="6"/>
        <v>110999.57893200002</v>
      </c>
      <c r="H13" s="13">
        <f t="shared" si="6"/>
        <v>115439.56208928002</v>
      </c>
      <c r="I13" s="13">
        <f t="shared" si="6"/>
        <v>120057.14457285122</v>
      </c>
      <c r="J13" s="13">
        <f t="shared" si="6"/>
        <v>124859.43035576527</v>
      </c>
      <c r="K13" s="13">
        <f t="shared" si="6"/>
        <v>129853.80756999587</v>
      </c>
      <c r="L13" s="13">
        <f t="shared" si="6"/>
        <v>141540.65025129548</v>
      </c>
      <c r="M13" s="13">
        <f t="shared" si="6"/>
        <v>154279.30877391205</v>
      </c>
      <c r="N13" s="13">
        <f t="shared" si="6"/>
        <v>168164.44656356412</v>
      </c>
      <c r="O13" s="13">
        <f t="shared" si="6"/>
        <v>183299.24675428489</v>
      </c>
      <c r="P13" s="13">
        <f t="shared" si="6"/>
        <v>199796.17896217055</v>
      </c>
      <c r="Q13" s="13">
        <f t="shared" si="6"/>
        <v>189806.37001406203</v>
      </c>
      <c r="R13" s="13">
        <f t="shared" si="6"/>
        <v>180316.05151335895</v>
      </c>
      <c r="S13" s="13">
        <f t="shared" si="6"/>
        <v>171300.24893769101</v>
      </c>
      <c r="T13" s="13">
        <f t="shared" si="6"/>
        <v>162735.23649080645</v>
      </c>
      <c r="U13" s="13">
        <f t="shared" si="6"/>
        <v>154598.47466626612</v>
      </c>
    </row>
    <row r="14" spans="1:21" s="5" customFormat="1" x14ac:dyDescent="0.2"/>
    <row r="15" spans="1:21" s="5" customFormat="1" x14ac:dyDescent="0.2">
      <c r="A15" s="18" t="s">
        <v>13</v>
      </c>
    </row>
    <row r="16" spans="1:21" s="5" customFormat="1" x14ac:dyDescent="0.2">
      <c r="A16" s="5" t="s">
        <v>22</v>
      </c>
      <c r="B16" s="9">
        <f>+Assumptions!C6-'New Unit Financial Profile'!B10</f>
        <v>165000</v>
      </c>
      <c r="C16" s="5">
        <f>+B18</f>
        <v>161700</v>
      </c>
      <c r="D16" s="5">
        <f t="shared" ref="D16:U16" si="7">+C18</f>
        <v>151800</v>
      </c>
      <c r="E16" s="5">
        <f t="shared" si="7"/>
        <v>141900</v>
      </c>
      <c r="F16" s="5">
        <f t="shared" si="7"/>
        <v>132000</v>
      </c>
      <c r="G16" s="5">
        <f t="shared" si="7"/>
        <v>122100</v>
      </c>
      <c r="H16" s="5">
        <f t="shared" si="7"/>
        <v>110550</v>
      </c>
      <c r="I16" s="5">
        <f t="shared" si="7"/>
        <v>99000</v>
      </c>
      <c r="J16" s="5">
        <f t="shared" si="7"/>
        <v>87450</v>
      </c>
      <c r="K16" s="5">
        <f t="shared" si="7"/>
        <v>75900</v>
      </c>
      <c r="L16" s="5">
        <f t="shared" si="7"/>
        <v>64350</v>
      </c>
      <c r="M16" s="5">
        <f t="shared" si="7"/>
        <v>52800</v>
      </c>
      <c r="N16" s="5">
        <f t="shared" si="7"/>
        <v>39600</v>
      </c>
      <c r="O16" s="5">
        <f t="shared" si="7"/>
        <v>24750</v>
      </c>
      <c r="P16" s="5">
        <f t="shared" si="7"/>
        <v>8250</v>
      </c>
      <c r="Q16" s="5">
        <f t="shared" si="7"/>
        <v>0</v>
      </c>
      <c r="R16" s="5">
        <f t="shared" si="7"/>
        <v>0</v>
      </c>
      <c r="S16" s="5">
        <f t="shared" si="7"/>
        <v>0</v>
      </c>
      <c r="T16" s="5">
        <f t="shared" si="7"/>
        <v>0</v>
      </c>
      <c r="U16" s="5">
        <f t="shared" si="7"/>
        <v>0</v>
      </c>
    </row>
    <row r="17" spans="1:21" s="5" customFormat="1" x14ac:dyDescent="0.2">
      <c r="A17" s="5" t="s">
        <v>26</v>
      </c>
      <c r="B17" s="5">
        <f>-$B$16*B23</f>
        <v>-3300</v>
      </c>
      <c r="C17" s="5">
        <f>-$B$16*C23</f>
        <v>-9900</v>
      </c>
      <c r="D17" s="5">
        <f t="shared" ref="D17:U17" si="8">-$B$16*D23</f>
        <v>-9900</v>
      </c>
      <c r="E17" s="5">
        <f t="shared" si="8"/>
        <v>-9900</v>
      </c>
      <c r="F17" s="5">
        <f t="shared" si="8"/>
        <v>-9900</v>
      </c>
      <c r="G17" s="5">
        <f t="shared" si="8"/>
        <v>-11550.000000000002</v>
      </c>
      <c r="H17" s="5">
        <f t="shared" si="8"/>
        <v>-11550.000000000002</v>
      </c>
      <c r="I17" s="5">
        <f t="shared" si="8"/>
        <v>-11550.000000000002</v>
      </c>
      <c r="J17" s="5">
        <f t="shared" si="8"/>
        <v>-11550.000000000002</v>
      </c>
      <c r="K17" s="5">
        <f t="shared" si="8"/>
        <v>-11550.000000000002</v>
      </c>
      <c r="L17" s="5">
        <f t="shared" si="8"/>
        <v>-11550.000000000002</v>
      </c>
      <c r="M17" s="5">
        <f t="shared" si="8"/>
        <v>-13200</v>
      </c>
      <c r="N17" s="5">
        <f t="shared" si="8"/>
        <v>-14850</v>
      </c>
      <c r="O17" s="5">
        <f t="shared" si="8"/>
        <v>-16500</v>
      </c>
      <c r="P17" s="5">
        <f t="shared" si="8"/>
        <v>-8250</v>
      </c>
      <c r="Q17" s="5">
        <f t="shared" si="8"/>
        <v>0</v>
      </c>
      <c r="R17" s="5">
        <f t="shared" si="8"/>
        <v>0</v>
      </c>
      <c r="S17" s="5">
        <f t="shared" si="8"/>
        <v>0</v>
      </c>
      <c r="T17" s="5">
        <f t="shared" si="8"/>
        <v>0</v>
      </c>
      <c r="U17" s="5">
        <f t="shared" si="8"/>
        <v>0</v>
      </c>
    </row>
    <row r="18" spans="1:21" s="5" customFormat="1" x14ac:dyDescent="0.2">
      <c r="A18" s="5" t="s">
        <v>21</v>
      </c>
      <c r="B18" s="13">
        <f>SUM(B16:B17)</f>
        <v>161700</v>
      </c>
      <c r="C18" s="13">
        <f>SUM(C16:C17)</f>
        <v>151800</v>
      </c>
      <c r="D18" s="13">
        <f t="shared" ref="D18:U18" si="9">SUM(D16:D17)</f>
        <v>141900</v>
      </c>
      <c r="E18" s="13">
        <f t="shared" si="9"/>
        <v>132000</v>
      </c>
      <c r="F18" s="13">
        <f t="shared" si="9"/>
        <v>122100</v>
      </c>
      <c r="G18" s="13">
        <f t="shared" si="9"/>
        <v>110550</v>
      </c>
      <c r="H18" s="13">
        <f t="shared" si="9"/>
        <v>99000</v>
      </c>
      <c r="I18" s="13">
        <f t="shared" si="9"/>
        <v>87450</v>
      </c>
      <c r="J18" s="13">
        <f t="shared" si="9"/>
        <v>75900</v>
      </c>
      <c r="K18" s="13">
        <f t="shared" si="9"/>
        <v>64350</v>
      </c>
      <c r="L18" s="13">
        <f t="shared" si="9"/>
        <v>52800</v>
      </c>
      <c r="M18" s="13">
        <f t="shared" si="9"/>
        <v>39600</v>
      </c>
      <c r="N18" s="13">
        <f t="shared" si="9"/>
        <v>24750</v>
      </c>
      <c r="O18" s="13">
        <f t="shared" si="9"/>
        <v>8250</v>
      </c>
      <c r="P18" s="13">
        <f t="shared" si="9"/>
        <v>0</v>
      </c>
      <c r="Q18" s="13">
        <f t="shared" si="9"/>
        <v>0</v>
      </c>
      <c r="R18" s="13">
        <f t="shared" si="9"/>
        <v>0</v>
      </c>
      <c r="S18" s="13">
        <f t="shared" si="9"/>
        <v>0</v>
      </c>
      <c r="T18" s="13">
        <f t="shared" si="9"/>
        <v>0</v>
      </c>
      <c r="U18" s="13">
        <f t="shared" si="9"/>
        <v>0</v>
      </c>
    </row>
    <row r="19" spans="1:21" s="5" customFormat="1" x14ac:dyDescent="0.2"/>
    <row r="20" spans="1:21" s="5" customFormat="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s="2" customFormat="1" x14ac:dyDescent="0.2">
      <c r="A21" s="2" t="s">
        <v>55</v>
      </c>
      <c r="B21" s="10">
        <v>0.06</v>
      </c>
      <c r="C21" s="10">
        <v>0.11</v>
      </c>
      <c r="D21" s="10">
        <v>0.13</v>
      </c>
      <c r="E21" s="10">
        <v>0.14000000000000001</v>
      </c>
      <c r="F21" s="10">
        <v>0.15</v>
      </c>
      <c r="G21" s="10">
        <v>0.17</v>
      </c>
      <c r="H21" s="10">
        <v>0.19</v>
      </c>
      <c r="I21" s="10">
        <v>0.19</v>
      </c>
      <c r="J21" s="10">
        <v>0.19</v>
      </c>
      <c r="K21" s="10">
        <v>0.19</v>
      </c>
      <c r="L21" s="10">
        <v>0.19</v>
      </c>
      <c r="M21" s="10">
        <v>0.19</v>
      </c>
      <c r="N21" s="10">
        <v>0.19</v>
      </c>
      <c r="O21" s="10">
        <v>0.19</v>
      </c>
      <c r="P21" s="10">
        <v>0.19</v>
      </c>
      <c r="Q21" s="10">
        <v>0.25</v>
      </c>
      <c r="R21" s="10">
        <v>0.25</v>
      </c>
      <c r="S21" s="10">
        <v>0.25</v>
      </c>
      <c r="T21" s="10">
        <v>0.25</v>
      </c>
      <c r="U21" s="10">
        <v>0.25</v>
      </c>
    </row>
    <row r="22" spans="1:21" s="2" customFormat="1" x14ac:dyDescent="0.2">
      <c r="A22" s="2" t="s">
        <v>18</v>
      </c>
      <c r="B22" s="10">
        <v>0.04</v>
      </c>
      <c r="C22" s="10">
        <v>0.14000000000000001</v>
      </c>
      <c r="D22" s="10">
        <v>0.14000000000000001</v>
      </c>
      <c r="E22" s="10">
        <v>0.14000000000000001</v>
      </c>
      <c r="F22" s="10">
        <v>0.14000000000000001</v>
      </c>
      <c r="G22" s="10">
        <v>0.15</v>
      </c>
      <c r="H22" s="10">
        <v>0.15</v>
      </c>
      <c r="I22" s="10">
        <v>0.15</v>
      </c>
      <c r="J22" s="10">
        <v>0.15</v>
      </c>
      <c r="K22" s="10">
        <v>0.15</v>
      </c>
      <c r="L22" s="10">
        <v>0.1</v>
      </c>
      <c r="M22" s="10">
        <v>0.1</v>
      </c>
      <c r="N22" s="10">
        <v>0.1</v>
      </c>
      <c r="O22" s="10">
        <v>0.1</v>
      </c>
      <c r="P22" s="10">
        <v>0.1</v>
      </c>
      <c r="Q22" s="10">
        <v>0.3</v>
      </c>
      <c r="R22" s="10">
        <v>0.3</v>
      </c>
      <c r="S22" s="10">
        <v>0.3</v>
      </c>
      <c r="T22" s="10">
        <v>0.3</v>
      </c>
      <c r="U22" s="10">
        <v>0.3</v>
      </c>
    </row>
    <row r="23" spans="1:21" s="2" customFormat="1" x14ac:dyDescent="0.2">
      <c r="A23" s="2" t="s">
        <v>25</v>
      </c>
      <c r="B23" s="10">
        <v>0.02</v>
      </c>
      <c r="C23" s="10">
        <v>0.06</v>
      </c>
      <c r="D23" s="10">
        <v>0.06</v>
      </c>
      <c r="E23" s="10">
        <v>0.06</v>
      </c>
      <c r="F23" s="10">
        <v>0.06</v>
      </c>
      <c r="G23" s="10">
        <v>7.0000000000000007E-2</v>
      </c>
      <c r="H23" s="10">
        <v>7.0000000000000007E-2</v>
      </c>
      <c r="I23" s="10">
        <v>7.0000000000000007E-2</v>
      </c>
      <c r="J23" s="10">
        <v>7.0000000000000007E-2</v>
      </c>
      <c r="K23" s="10">
        <v>7.0000000000000007E-2</v>
      </c>
      <c r="L23" s="10">
        <v>7.0000000000000007E-2</v>
      </c>
      <c r="M23" s="10">
        <v>0.08</v>
      </c>
      <c r="N23" s="10">
        <v>0.09</v>
      </c>
      <c r="O23" s="10">
        <v>0.1</v>
      </c>
      <c r="P23" s="10">
        <v>0.05</v>
      </c>
      <c r="Q23" s="10"/>
      <c r="R23" s="10"/>
      <c r="S23" s="10"/>
      <c r="T23" s="10"/>
      <c r="U23" s="10"/>
    </row>
    <row r="24" spans="1:21" s="2" customFormat="1" x14ac:dyDescent="0.2"/>
    <row r="25" spans="1:21" s="5" customFormat="1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21" x14ac:dyDescent="0.2">
      <c r="A26" s="17" t="s">
        <v>30</v>
      </c>
    </row>
    <row r="27" spans="1:21" s="12" customFormat="1" x14ac:dyDescent="0.2">
      <c r="A27" s="12" t="s">
        <v>28</v>
      </c>
      <c r="B27" s="12">
        <f>NPV(0.14,B7:U7)-B10</f>
        <v>4254.6912953032297</v>
      </c>
    </row>
    <row r="28" spans="1:21" s="14" customFormat="1" x14ac:dyDescent="0.2">
      <c r="A28" s="22" t="s">
        <v>27</v>
      </c>
      <c r="B28" s="15">
        <f>IRR(A29:U29,0.1)</f>
        <v>0.14488740067415384</v>
      </c>
    </row>
    <row r="29" spans="1:21" s="28" customFormat="1" x14ac:dyDescent="0.2">
      <c r="A29" s="27">
        <f>-B10</f>
        <v>-110000</v>
      </c>
      <c r="B29" s="27">
        <f>+B7</f>
        <v>4400</v>
      </c>
      <c r="C29" s="27">
        <f t="shared" ref="C29:U29" si="10">+C7</f>
        <v>15708.000000000002</v>
      </c>
      <c r="D29" s="27">
        <f t="shared" si="10"/>
        <v>15236.760000000002</v>
      </c>
      <c r="E29" s="27">
        <f t="shared" si="10"/>
        <v>15084.392400000002</v>
      </c>
      <c r="F29" s="27">
        <f t="shared" si="10"/>
        <v>15084.392400000002</v>
      </c>
      <c r="G29" s="27">
        <f t="shared" si="10"/>
        <v>16323.467490000001</v>
      </c>
      <c r="H29" s="27">
        <f t="shared" si="10"/>
        <v>16649.936839800001</v>
      </c>
      <c r="I29" s="27">
        <f t="shared" si="10"/>
        <v>17315.934313392001</v>
      </c>
      <c r="J29" s="27">
        <f t="shared" si="10"/>
        <v>18008.571685927684</v>
      </c>
      <c r="K29" s="27">
        <f t="shared" si="10"/>
        <v>18728.91455336479</v>
      </c>
      <c r="L29" s="27">
        <f t="shared" si="10"/>
        <v>12985.380756999588</v>
      </c>
      <c r="M29" s="27">
        <f t="shared" si="10"/>
        <v>14154.065025129548</v>
      </c>
      <c r="N29" s="27">
        <f t="shared" si="10"/>
        <v>15427.930877391205</v>
      </c>
      <c r="O29" s="27">
        <f t="shared" si="10"/>
        <v>16816.444656356412</v>
      </c>
      <c r="P29" s="27">
        <f t="shared" si="10"/>
        <v>18329.92467542849</v>
      </c>
      <c r="Q29" s="27">
        <f t="shared" si="10"/>
        <v>59938.853688651165</v>
      </c>
      <c r="R29" s="27">
        <f t="shared" si="10"/>
        <v>56941.911004218608</v>
      </c>
      <c r="S29" s="27">
        <f t="shared" si="10"/>
        <v>54094.815454007687</v>
      </c>
      <c r="T29" s="27">
        <f t="shared" si="10"/>
        <v>51390.074681307298</v>
      </c>
      <c r="U29" s="27">
        <f t="shared" si="10"/>
        <v>48820.570947241933</v>
      </c>
    </row>
    <row r="30" spans="1:21" s="5" customFormat="1" x14ac:dyDescent="0.2"/>
    <row r="31" spans="1:21" s="8" customFormat="1" x14ac:dyDescent="0.2"/>
    <row r="32" spans="1:21" x14ac:dyDescent="0.2">
      <c r="A32" s="41" t="s">
        <v>57</v>
      </c>
    </row>
    <row r="33" spans="1:21" x14ac:dyDescent="0.2">
      <c r="A33" s="20" t="s">
        <v>29</v>
      </c>
      <c r="B33" s="20">
        <v>1</v>
      </c>
      <c r="C33" s="20">
        <f>+B33+1</f>
        <v>2</v>
      </c>
      <c r="D33" s="20">
        <f t="shared" ref="D33:M33" si="11">+C33+1</f>
        <v>3</v>
      </c>
      <c r="E33" s="20">
        <f t="shared" si="11"/>
        <v>4</v>
      </c>
      <c r="F33" s="20">
        <f t="shared" si="11"/>
        <v>5</v>
      </c>
      <c r="G33" s="20">
        <f t="shared" si="11"/>
        <v>6</v>
      </c>
      <c r="H33" s="20">
        <f t="shared" si="11"/>
        <v>7</v>
      </c>
      <c r="I33" s="20">
        <f t="shared" si="11"/>
        <v>8</v>
      </c>
      <c r="J33" s="20">
        <f t="shared" si="11"/>
        <v>9</v>
      </c>
      <c r="K33" s="20">
        <f t="shared" si="11"/>
        <v>10</v>
      </c>
      <c r="L33" s="20">
        <f t="shared" si="11"/>
        <v>11</v>
      </c>
      <c r="M33" s="20">
        <f t="shared" si="11"/>
        <v>12</v>
      </c>
      <c r="N33" s="20">
        <f>+M33+1</f>
        <v>13</v>
      </c>
      <c r="O33" s="20">
        <f t="shared" ref="O33:T33" si="12">+N33+1</f>
        <v>14</v>
      </c>
      <c r="P33" s="20">
        <f t="shared" si="12"/>
        <v>15</v>
      </c>
      <c r="Q33" s="20">
        <f t="shared" si="12"/>
        <v>16</v>
      </c>
      <c r="R33" s="20">
        <f t="shared" si="12"/>
        <v>17</v>
      </c>
      <c r="S33" s="20">
        <f t="shared" si="12"/>
        <v>18</v>
      </c>
      <c r="T33" s="20">
        <f t="shared" si="12"/>
        <v>19</v>
      </c>
      <c r="U33" s="20">
        <f>+T33+1</f>
        <v>20</v>
      </c>
    </row>
    <row r="34" spans="1:2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s="5" customFormat="1" x14ac:dyDescent="0.2">
      <c r="A35" s="19" t="s">
        <v>17</v>
      </c>
      <c r="B35" s="5">
        <f>+B$39*B50</f>
        <v>4158</v>
      </c>
      <c r="C35" s="5">
        <f t="shared" ref="C35:U35" si="13">+C$39*C50</f>
        <v>7775.46</v>
      </c>
      <c r="D35" s="5">
        <f t="shared" si="13"/>
        <v>8913.504600000002</v>
      </c>
      <c r="E35" s="5">
        <f t="shared" si="13"/>
        <v>9503.1672120000021</v>
      </c>
      <c r="F35" s="5">
        <f t="shared" si="13"/>
        <v>10181.964870000002</v>
      </c>
      <c r="G35" s="5">
        <f t="shared" si="13"/>
        <v>11654.955787860001</v>
      </c>
      <c r="H35" s="5">
        <f t="shared" si="13"/>
        <v>13286.6495981604</v>
      </c>
      <c r="I35" s="5">
        <f t="shared" si="13"/>
        <v>13818.115582086817</v>
      </c>
      <c r="J35" s="5">
        <f t="shared" si="13"/>
        <v>14370.840205370288</v>
      </c>
      <c r="K35" s="5">
        <f t="shared" si="13"/>
        <v>14945.673813585101</v>
      </c>
      <c r="L35" s="5">
        <f t="shared" si="13"/>
        <v>15543.500766128507</v>
      </c>
      <c r="M35" s="5">
        <f t="shared" si="13"/>
        <v>16942.415835080072</v>
      </c>
      <c r="N35" s="5">
        <f t="shared" si="13"/>
        <v>18467.233260237277</v>
      </c>
      <c r="O35" s="5">
        <f t="shared" si="13"/>
        <v>20129.284253658632</v>
      </c>
      <c r="P35" s="5">
        <f t="shared" si="13"/>
        <v>21940.919836487908</v>
      </c>
      <c r="Q35" s="5">
        <f t="shared" si="13"/>
        <v>31467.898186541865</v>
      </c>
      <c r="R35" s="5">
        <f t="shared" si="13"/>
        <v>29894.503277214775</v>
      </c>
      <c r="S35" s="5">
        <f t="shared" si="13"/>
        <v>28399.778113354034</v>
      </c>
      <c r="T35" s="5">
        <f t="shared" si="13"/>
        <v>26979.789207686328</v>
      </c>
      <c r="U35" s="5">
        <f t="shared" si="13"/>
        <v>25630.799747302011</v>
      </c>
    </row>
    <row r="36" spans="1:21" s="5" customFormat="1" x14ac:dyDescent="0.2">
      <c r="A36" s="19" t="s">
        <v>24</v>
      </c>
      <c r="B36" s="5">
        <f>+B$39*B51</f>
        <v>2772</v>
      </c>
      <c r="C36" s="5">
        <f t="shared" ref="C36:U36" si="14">+C$39*C51</f>
        <v>9896.0400000000009</v>
      </c>
      <c r="D36" s="5">
        <f t="shared" si="14"/>
        <v>9599.1588000000029</v>
      </c>
      <c r="E36" s="5">
        <f t="shared" si="14"/>
        <v>9503.1672120000021</v>
      </c>
      <c r="F36" s="5">
        <f t="shared" si="14"/>
        <v>9503.1672120000021</v>
      </c>
      <c r="G36" s="5">
        <f t="shared" si="14"/>
        <v>10283.7845187</v>
      </c>
      <c r="H36" s="5">
        <f t="shared" si="14"/>
        <v>10489.460209073999</v>
      </c>
      <c r="I36" s="5">
        <f t="shared" si="14"/>
        <v>10909.03861743696</v>
      </c>
      <c r="J36" s="5">
        <f t="shared" si="14"/>
        <v>11345.400162134438</v>
      </c>
      <c r="K36" s="5">
        <f t="shared" si="14"/>
        <v>11799.216168619816</v>
      </c>
      <c r="L36" s="5">
        <f t="shared" si="14"/>
        <v>8180.789876909741</v>
      </c>
      <c r="M36" s="5">
        <f t="shared" si="14"/>
        <v>8917.0609658316171</v>
      </c>
      <c r="N36" s="5">
        <f t="shared" si="14"/>
        <v>9719.5964527564629</v>
      </c>
      <c r="O36" s="5">
        <f t="shared" si="14"/>
        <v>10594.360133504544</v>
      </c>
      <c r="P36" s="5">
        <f t="shared" si="14"/>
        <v>11547.852545519952</v>
      </c>
      <c r="Q36" s="5">
        <f t="shared" si="14"/>
        <v>37761.477823850233</v>
      </c>
      <c r="R36" s="5">
        <f t="shared" si="14"/>
        <v>35873.403932657726</v>
      </c>
      <c r="S36" s="5">
        <f t="shared" si="14"/>
        <v>34079.733736024842</v>
      </c>
      <c r="T36" s="5">
        <f t="shared" si="14"/>
        <v>32375.747049223592</v>
      </c>
      <c r="U36" s="5">
        <f t="shared" si="14"/>
        <v>30756.959696762413</v>
      </c>
    </row>
    <row r="37" spans="1:2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x14ac:dyDescent="0.2">
      <c r="A38" s="18" t="s">
        <v>12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x14ac:dyDescent="0.2">
      <c r="A39" s="5" t="s">
        <v>22</v>
      </c>
      <c r="B39" s="9">
        <f>Assumptions!C20*Assumptions!C21</f>
        <v>69300</v>
      </c>
      <c r="C39" s="5">
        <f t="shared" ref="C39:U39" si="15">+B42</f>
        <v>70686</v>
      </c>
      <c r="D39" s="5">
        <f t="shared" si="15"/>
        <v>68565.420000000013</v>
      </c>
      <c r="E39" s="5">
        <f t="shared" si="15"/>
        <v>67879.765800000008</v>
      </c>
      <c r="F39" s="5">
        <f t="shared" si="15"/>
        <v>67879.765800000008</v>
      </c>
      <c r="G39" s="5">
        <f t="shared" si="15"/>
        <v>68558.563458000004</v>
      </c>
      <c r="H39" s="5">
        <f t="shared" si="15"/>
        <v>69929.734727160001</v>
      </c>
      <c r="I39" s="5">
        <f t="shared" si="15"/>
        <v>72726.924116246402</v>
      </c>
      <c r="J39" s="5">
        <f t="shared" si="15"/>
        <v>75636.001080896254</v>
      </c>
      <c r="K39" s="5">
        <f t="shared" si="15"/>
        <v>78661.441124132107</v>
      </c>
      <c r="L39" s="5">
        <f t="shared" si="15"/>
        <v>81807.898769097403</v>
      </c>
      <c r="M39" s="5">
        <f t="shared" si="15"/>
        <v>89170.609658316171</v>
      </c>
      <c r="N39" s="5">
        <f t="shared" si="15"/>
        <v>97195.964527564618</v>
      </c>
      <c r="O39" s="5">
        <f t="shared" si="15"/>
        <v>105943.60133504543</v>
      </c>
      <c r="P39" s="5">
        <f t="shared" si="15"/>
        <v>115478.52545519952</v>
      </c>
      <c r="Q39" s="5">
        <f t="shared" si="15"/>
        <v>125871.59274616746</v>
      </c>
      <c r="R39" s="5">
        <f t="shared" si="15"/>
        <v>119578.0131088591</v>
      </c>
      <c r="S39" s="5">
        <f t="shared" si="15"/>
        <v>113599.11245341614</v>
      </c>
      <c r="T39" s="5">
        <f t="shared" si="15"/>
        <v>107919.15683074531</v>
      </c>
      <c r="U39" s="5">
        <f t="shared" si="15"/>
        <v>102523.19898920805</v>
      </c>
    </row>
    <row r="40" spans="1:21" x14ac:dyDescent="0.2">
      <c r="A40" s="5" t="s">
        <v>20</v>
      </c>
      <c r="B40" s="5">
        <f>+B35</f>
        <v>4158</v>
      </c>
      <c r="C40" s="5">
        <f>+C35</f>
        <v>7775.46</v>
      </c>
      <c r="D40" s="5">
        <f t="shared" ref="D40:U40" si="16">+D35</f>
        <v>8913.504600000002</v>
      </c>
      <c r="E40" s="5">
        <f t="shared" si="16"/>
        <v>9503.1672120000021</v>
      </c>
      <c r="F40" s="5">
        <f t="shared" si="16"/>
        <v>10181.964870000002</v>
      </c>
      <c r="G40" s="5">
        <f t="shared" si="16"/>
        <v>11654.955787860001</v>
      </c>
      <c r="H40" s="5">
        <f t="shared" si="16"/>
        <v>13286.6495981604</v>
      </c>
      <c r="I40" s="5">
        <f t="shared" si="16"/>
        <v>13818.115582086817</v>
      </c>
      <c r="J40" s="5">
        <f t="shared" si="16"/>
        <v>14370.840205370288</v>
      </c>
      <c r="K40" s="5">
        <f t="shared" si="16"/>
        <v>14945.673813585101</v>
      </c>
      <c r="L40" s="5">
        <f t="shared" si="16"/>
        <v>15543.500766128507</v>
      </c>
      <c r="M40" s="5">
        <f t="shared" si="16"/>
        <v>16942.415835080072</v>
      </c>
      <c r="N40" s="5">
        <f t="shared" si="16"/>
        <v>18467.233260237277</v>
      </c>
      <c r="O40" s="5">
        <f t="shared" si="16"/>
        <v>20129.284253658632</v>
      </c>
      <c r="P40" s="5">
        <f t="shared" si="16"/>
        <v>21940.919836487908</v>
      </c>
      <c r="Q40" s="5">
        <f t="shared" si="16"/>
        <v>31467.898186541865</v>
      </c>
      <c r="R40" s="5">
        <f t="shared" si="16"/>
        <v>29894.503277214775</v>
      </c>
      <c r="S40" s="5">
        <f t="shared" si="16"/>
        <v>28399.778113354034</v>
      </c>
      <c r="T40" s="5">
        <f t="shared" si="16"/>
        <v>26979.789207686328</v>
      </c>
      <c r="U40" s="5">
        <f t="shared" si="16"/>
        <v>25630.799747302011</v>
      </c>
    </row>
    <row r="41" spans="1:21" x14ac:dyDescent="0.2">
      <c r="A41" s="5" t="s">
        <v>23</v>
      </c>
      <c r="B41" s="5">
        <f>-B36</f>
        <v>-2772</v>
      </c>
      <c r="C41" s="5">
        <f>-C36</f>
        <v>-9896.0400000000009</v>
      </c>
      <c r="D41" s="5">
        <f t="shared" ref="D41:U41" si="17">-D36</f>
        <v>-9599.1588000000029</v>
      </c>
      <c r="E41" s="5">
        <f t="shared" si="17"/>
        <v>-9503.1672120000021</v>
      </c>
      <c r="F41" s="5">
        <f t="shared" si="17"/>
        <v>-9503.1672120000021</v>
      </c>
      <c r="G41" s="5">
        <f t="shared" si="17"/>
        <v>-10283.7845187</v>
      </c>
      <c r="H41" s="5">
        <f t="shared" si="17"/>
        <v>-10489.460209073999</v>
      </c>
      <c r="I41" s="5">
        <f t="shared" si="17"/>
        <v>-10909.03861743696</v>
      </c>
      <c r="J41" s="5">
        <f t="shared" si="17"/>
        <v>-11345.400162134438</v>
      </c>
      <c r="K41" s="5">
        <f t="shared" si="17"/>
        <v>-11799.216168619816</v>
      </c>
      <c r="L41" s="5">
        <f t="shared" si="17"/>
        <v>-8180.789876909741</v>
      </c>
      <c r="M41" s="5">
        <f t="shared" si="17"/>
        <v>-8917.0609658316171</v>
      </c>
      <c r="N41" s="5">
        <f t="shared" si="17"/>
        <v>-9719.5964527564629</v>
      </c>
      <c r="O41" s="5">
        <f t="shared" si="17"/>
        <v>-10594.360133504544</v>
      </c>
      <c r="P41" s="5">
        <f t="shared" si="17"/>
        <v>-11547.852545519952</v>
      </c>
      <c r="Q41" s="5">
        <f t="shared" si="17"/>
        <v>-37761.477823850233</v>
      </c>
      <c r="R41" s="5">
        <f t="shared" si="17"/>
        <v>-35873.403932657726</v>
      </c>
      <c r="S41" s="5">
        <f t="shared" si="17"/>
        <v>-34079.733736024842</v>
      </c>
      <c r="T41" s="5">
        <f t="shared" si="17"/>
        <v>-32375.747049223592</v>
      </c>
      <c r="U41" s="5">
        <f t="shared" si="17"/>
        <v>-30756.959696762413</v>
      </c>
    </row>
    <row r="42" spans="1:21" x14ac:dyDescent="0.2">
      <c r="A42" s="5" t="s">
        <v>21</v>
      </c>
      <c r="B42" s="13">
        <f t="shared" ref="B42:U42" si="18">SUM(B39:B41)</f>
        <v>70686</v>
      </c>
      <c r="C42" s="13">
        <f t="shared" si="18"/>
        <v>68565.420000000013</v>
      </c>
      <c r="D42" s="13">
        <f t="shared" si="18"/>
        <v>67879.765800000008</v>
      </c>
      <c r="E42" s="13">
        <f t="shared" si="18"/>
        <v>67879.765800000008</v>
      </c>
      <c r="F42" s="13">
        <f t="shared" si="18"/>
        <v>68558.563458000004</v>
      </c>
      <c r="G42" s="13">
        <f t="shared" si="18"/>
        <v>69929.734727160001</v>
      </c>
      <c r="H42" s="13">
        <f t="shared" si="18"/>
        <v>72726.924116246402</v>
      </c>
      <c r="I42" s="13">
        <f t="shared" si="18"/>
        <v>75636.001080896254</v>
      </c>
      <c r="J42" s="13">
        <f t="shared" si="18"/>
        <v>78661.441124132107</v>
      </c>
      <c r="K42" s="13">
        <f t="shared" si="18"/>
        <v>81807.898769097403</v>
      </c>
      <c r="L42" s="13">
        <f t="shared" si="18"/>
        <v>89170.609658316171</v>
      </c>
      <c r="M42" s="13">
        <f t="shared" si="18"/>
        <v>97195.964527564618</v>
      </c>
      <c r="N42" s="13">
        <f t="shared" si="18"/>
        <v>105943.60133504543</v>
      </c>
      <c r="O42" s="13">
        <f t="shared" si="18"/>
        <v>115478.52545519952</v>
      </c>
      <c r="P42" s="13">
        <f t="shared" si="18"/>
        <v>125871.59274616746</v>
      </c>
      <c r="Q42" s="13">
        <f t="shared" si="18"/>
        <v>119578.0131088591</v>
      </c>
      <c r="R42" s="13">
        <f t="shared" si="18"/>
        <v>113599.11245341614</v>
      </c>
      <c r="S42" s="13">
        <f t="shared" si="18"/>
        <v>107919.15683074531</v>
      </c>
      <c r="T42" s="13">
        <f t="shared" si="18"/>
        <v>102523.19898920805</v>
      </c>
      <c r="U42" s="13">
        <f t="shared" si="18"/>
        <v>97397.039039747644</v>
      </c>
    </row>
    <row r="43" spans="1:2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">
      <c r="A44" s="18" t="s">
        <v>13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">
      <c r="A45" s="5" t="s">
        <v>22</v>
      </c>
      <c r="B45" s="9">
        <f>Assumptions!C20-'New Unit Financial Profile'!B39</f>
        <v>103950</v>
      </c>
      <c r="C45" s="5">
        <f t="shared" ref="C45:U45" si="19">+B47</f>
        <v>101871</v>
      </c>
      <c r="D45" s="5">
        <f t="shared" si="19"/>
        <v>95634</v>
      </c>
      <c r="E45" s="5">
        <f t="shared" si="19"/>
        <v>89397</v>
      </c>
      <c r="F45" s="5">
        <f t="shared" si="19"/>
        <v>83160</v>
      </c>
      <c r="G45" s="5">
        <f t="shared" si="19"/>
        <v>76923</v>
      </c>
      <c r="H45" s="5">
        <f t="shared" si="19"/>
        <v>69646.5</v>
      </c>
      <c r="I45" s="5">
        <f t="shared" si="19"/>
        <v>62370</v>
      </c>
      <c r="J45" s="5">
        <f t="shared" si="19"/>
        <v>55093.5</v>
      </c>
      <c r="K45" s="5">
        <f t="shared" si="19"/>
        <v>47817</v>
      </c>
      <c r="L45" s="5">
        <f t="shared" si="19"/>
        <v>40540.5</v>
      </c>
      <c r="M45" s="5">
        <f t="shared" si="19"/>
        <v>33264</v>
      </c>
      <c r="N45" s="5">
        <f t="shared" si="19"/>
        <v>24948</v>
      </c>
      <c r="O45" s="5">
        <f t="shared" si="19"/>
        <v>15592.5</v>
      </c>
      <c r="P45" s="5">
        <f t="shared" si="19"/>
        <v>5197.5</v>
      </c>
      <c r="Q45" s="5">
        <f t="shared" si="19"/>
        <v>0</v>
      </c>
      <c r="R45" s="5">
        <f t="shared" si="19"/>
        <v>0</v>
      </c>
      <c r="S45" s="5">
        <f t="shared" si="19"/>
        <v>0</v>
      </c>
      <c r="T45" s="5">
        <f t="shared" si="19"/>
        <v>0</v>
      </c>
      <c r="U45" s="5">
        <f t="shared" si="19"/>
        <v>0</v>
      </c>
    </row>
    <row r="46" spans="1:21" x14ac:dyDescent="0.2">
      <c r="A46" s="5" t="s">
        <v>26</v>
      </c>
      <c r="B46" s="5">
        <f>-$B$45*B52</f>
        <v>-2079</v>
      </c>
      <c r="C46" s="5">
        <f t="shared" ref="C46:U46" si="20">-$B$45*C52</f>
        <v>-6237</v>
      </c>
      <c r="D46" s="5">
        <f t="shared" si="20"/>
        <v>-6237</v>
      </c>
      <c r="E46" s="5">
        <f t="shared" si="20"/>
        <v>-6237</v>
      </c>
      <c r="F46" s="5">
        <f t="shared" si="20"/>
        <v>-6237</v>
      </c>
      <c r="G46" s="5">
        <f t="shared" si="20"/>
        <v>-7276.5000000000009</v>
      </c>
      <c r="H46" s="5">
        <f t="shared" si="20"/>
        <v>-7276.5000000000009</v>
      </c>
      <c r="I46" s="5">
        <f t="shared" si="20"/>
        <v>-7276.5000000000009</v>
      </c>
      <c r="J46" s="5">
        <f t="shared" si="20"/>
        <v>-7276.5000000000009</v>
      </c>
      <c r="K46" s="5">
        <f t="shared" si="20"/>
        <v>-7276.5000000000009</v>
      </c>
      <c r="L46" s="5">
        <f t="shared" si="20"/>
        <v>-7276.5000000000009</v>
      </c>
      <c r="M46" s="5">
        <f t="shared" si="20"/>
        <v>-8316</v>
      </c>
      <c r="N46" s="5">
        <f t="shared" si="20"/>
        <v>-9355.5</v>
      </c>
      <c r="O46" s="5">
        <f t="shared" si="20"/>
        <v>-10395</v>
      </c>
      <c r="P46" s="5">
        <f t="shared" si="20"/>
        <v>-5197.5</v>
      </c>
      <c r="Q46" s="5">
        <f t="shared" si="20"/>
        <v>0</v>
      </c>
      <c r="R46" s="5">
        <f t="shared" si="20"/>
        <v>0</v>
      </c>
      <c r="S46" s="5">
        <f t="shared" si="20"/>
        <v>0</v>
      </c>
      <c r="T46" s="5">
        <f t="shared" si="20"/>
        <v>0</v>
      </c>
      <c r="U46" s="5">
        <f t="shared" si="20"/>
        <v>0</v>
      </c>
    </row>
    <row r="47" spans="1:21" x14ac:dyDescent="0.2">
      <c r="A47" s="5" t="s">
        <v>21</v>
      </c>
      <c r="B47" s="13">
        <f t="shared" ref="B47:U47" si="21">SUM(B45:B46)</f>
        <v>101871</v>
      </c>
      <c r="C47" s="13">
        <f t="shared" si="21"/>
        <v>95634</v>
      </c>
      <c r="D47" s="13">
        <f t="shared" si="21"/>
        <v>89397</v>
      </c>
      <c r="E47" s="13">
        <f t="shared" si="21"/>
        <v>83160</v>
      </c>
      <c r="F47" s="13">
        <f t="shared" si="21"/>
        <v>76923</v>
      </c>
      <c r="G47" s="13">
        <f t="shared" si="21"/>
        <v>69646.5</v>
      </c>
      <c r="H47" s="13">
        <f t="shared" si="21"/>
        <v>62370</v>
      </c>
      <c r="I47" s="13">
        <f t="shared" si="21"/>
        <v>55093.5</v>
      </c>
      <c r="J47" s="13">
        <f t="shared" si="21"/>
        <v>47817</v>
      </c>
      <c r="K47" s="13">
        <f t="shared" si="21"/>
        <v>40540.5</v>
      </c>
      <c r="L47" s="13">
        <f t="shared" si="21"/>
        <v>33264</v>
      </c>
      <c r="M47" s="13">
        <f t="shared" si="21"/>
        <v>24948</v>
      </c>
      <c r="N47" s="13">
        <f t="shared" si="21"/>
        <v>15592.5</v>
      </c>
      <c r="O47" s="13">
        <f t="shared" si="21"/>
        <v>5197.5</v>
      </c>
      <c r="P47" s="13">
        <f t="shared" si="21"/>
        <v>0</v>
      </c>
      <c r="Q47" s="13">
        <f t="shared" si="21"/>
        <v>0</v>
      </c>
      <c r="R47" s="13">
        <f t="shared" si="21"/>
        <v>0</v>
      </c>
      <c r="S47" s="13">
        <f t="shared" si="21"/>
        <v>0</v>
      </c>
      <c r="T47" s="13">
        <f t="shared" si="21"/>
        <v>0</v>
      </c>
      <c r="U47" s="13">
        <f t="shared" si="21"/>
        <v>0</v>
      </c>
    </row>
    <row r="48" spans="1:2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2" t="s">
        <v>55</v>
      </c>
      <c r="B50" s="10">
        <v>0.06</v>
      </c>
      <c r="C50" s="10">
        <v>0.11</v>
      </c>
      <c r="D50" s="10">
        <v>0.13</v>
      </c>
      <c r="E50" s="10">
        <v>0.14000000000000001</v>
      </c>
      <c r="F50" s="10">
        <v>0.15</v>
      </c>
      <c r="G50" s="10">
        <v>0.17</v>
      </c>
      <c r="H50" s="10">
        <v>0.19</v>
      </c>
      <c r="I50" s="10">
        <v>0.19</v>
      </c>
      <c r="J50" s="10">
        <v>0.19</v>
      </c>
      <c r="K50" s="10">
        <v>0.19</v>
      </c>
      <c r="L50" s="10">
        <v>0.19</v>
      </c>
      <c r="M50" s="10">
        <v>0.19</v>
      </c>
      <c r="N50" s="10">
        <v>0.19</v>
      </c>
      <c r="O50" s="10">
        <v>0.19</v>
      </c>
      <c r="P50" s="10">
        <v>0.19</v>
      </c>
      <c r="Q50" s="10">
        <v>0.25</v>
      </c>
      <c r="R50" s="10">
        <v>0.25</v>
      </c>
      <c r="S50" s="10">
        <v>0.25</v>
      </c>
      <c r="T50" s="10">
        <v>0.25</v>
      </c>
      <c r="U50" s="10">
        <v>0.25</v>
      </c>
    </row>
    <row r="51" spans="1:21" x14ac:dyDescent="0.2">
      <c r="A51" s="2" t="s">
        <v>18</v>
      </c>
      <c r="B51" s="10">
        <v>0.04</v>
      </c>
      <c r="C51" s="10">
        <v>0.14000000000000001</v>
      </c>
      <c r="D51" s="10">
        <v>0.14000000000000001</v>
      </c>
      <c r="E51" s="10">
        <v>0.14000000000000001</v>
      </c>
      <c r="F51" s="10">
        <v>0.14000000000000001</v>
      </c>
      <c r="G51" s="10">
        <v>0.15</v>
      </c>
      <c r="H51" s="10">
        <v>0.15</v>
      </c>
      <c r="I51" s="10">
        <v>0.15</v>
      </c>
      <c r="J51" s="10">
        <v>0.15</v>
      </c>
      <c r="K51" s="10">
        <v>0.15</v>
      </c>
      <c r="L51" s="10">
        <v>0.1</v>
      </c>
      <c r="M51" s="10">
        <v>0.1</v>
      </c>
      <c r="N51" s="10">
        <v>0.1</v>
      </c>
      <c r="O51" s="10">
        <v>0.1</v>
      </c>
      <c r="P51" s="10">
        <v>0.1</v>
      </c>
      <c r="Q51" s="10">
        <v>0.3</v>
      </c>
      <c r="R51" s="10">
        <v>0.3</v>
      </c>
      <c r="S51" s="10">
        <v>0.3</v>
      </c>
      <c r="T51" s="10">
        <v>0.3</v>
      </c>
      <c r="U51" s="10">
        <v>0.3</v>
      </c>
    </row>
    <row r="52" spans="1:21" x14ac:dyDescent="0.2">
      <c r="A52" s="2" t="s">
        <v>25</v>
      </c>
      <c r="B52" s="10">
        <v>0.02</v>
      </c>
      <c r="C52" s="10">
        <v>0.06</v>
      </c>
      <c r="D52" s="10">
        <v>0.06</v>
      </c>
      <c r="E52" s="10">
        <v>0.06</v>
      </c>
      <c r="F52" s="10">
        <v>0.06</v>
      </c>
      <c r="G52" s="10">
        <v>7.0000000000000007E-2</v>
      </c>
      <c r="H52" s="10">
        <v>7.0000000000000007E-2</v>
      </c>
      <c r="I52" s="10">
        <v>7.0000000000000007E-2</v>
      </c>
      <c r="J52" s="10">
        <v>7.0000000000000007E-2</v>
      </c>
      <c r="K52" s="10">
        <v>7.0000000000000007E-2</v>
      </c>
      <c r="L52" s="10">
        <v>7.0000000000000007E-2</v>
      </c>
      <c r="M52" s="10">
        <v>0.08</v>
      </c>
      <c r="N52" s="10">
        <v>0.09</v>
      </c>
      <c r="O52" s="10">
        <v>0.1</v>
      </c>
      <c r="P52" s="10">
        <v>0.05</v>
      </c>
      <c r="Q52" s="10"/>
      <c r="R52" s="10"/>
      <c r="S52" s="10"/>
      <c r="T52" s="10"/>
      <c r="U52" s="10"/>
    </row>
    <row r="53" spans="1:2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5"/>
      <c r="R54" s="5"/>
      <c r="S54" s="5"/>
      <c r="T54" s="5"/>
      <c r="U54" s="5"/>
    </row>
    <row r="55" spans="1:21" x14ac:dyDescent="0.2">
      <c r="A55" s="17" t="s">
        <v>30</v>
      </c>
    </row>
    <row r="56" spans="1:21" x14ac:dyDescent="0.2">
      <c r="A56" s="12" t="s">
        <v>28</v>
      </c>
      <c r="B56" s="12">
        <f>NPV(0.14,B36:U36)-B39</f>
        <v>2680.4555160410091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1:21" x14ac:dyDescent="0.2">
      <c r="A57" s="22" t="s">
        <v>27</v>
      </c>
      <c r="B57" s="15">
        <f>IRR(A58:U58,0.1)</f>
        <v>0.14488740067415362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27">
        <f>-B39</f>
        <v>-69300</v>
      </c>
      <c r="B58" s="27">
        <f>+B36</f>
        <v>2772</v>
      </c>
      <c r="C58" s="27">
        <f t="shared" ref="C58:U58" si="22">+C36</f>
        <v>9896.0400000000009</v>
      </c>
      <c r="D58" s="27">
        <f t="shared" si="22"/>
        <v>9599.1588000000029</v>
      </c>
      <c r="E58" s="27">
        <f t="shared" si="22"/>
        <v>9503.1672120000021</v>
      </c>
      <c r="F58" s="27">
        <f t="shared" si="22"/>
        <v>9503.1672120000021</v>
      </c>
      <c r="G58" s="27">
        <f t="shared" si="22"/>
        <v>10283.7845187</v>
      </c>
      <c r="H58" s="27">
        <f t="shared" si="22"/>
        <v>10489.460209073999</v>
      </c>
      <c r="I58" s="27">
        <f t="shared" si="22"/>
        <v>10909.03861743696</v>
      </c>
      <c r="J58" s="27">
        <f t="shared" si="22"/>
        <v>11345.400162134438</v>
      </c>
      <c r="K58" s="27">
        <f t="shared" si="22"/>
        <v>11799.216168619816</v>
      </c>
      <c r="L58" s="27">
        <f t="shared" si="22"/>
        <v>8180.789876909741</v>
      </c>
      <c r="M58" s="27">
        <f t="shared" si="22"/>
        <v>8917.0609658316171</v>
      </c>
      <c r="N58" s="27">
        <f t="shared" si="22"/>
        <v>9719.5964527564629</v>
      </c>
      <c r="O58" s="27">
        <f t="shared" si="22"/>
        <v>10594.360133504544</v>
      </c>
      <c r="P58" s="27">
        <f t="shared" si="22"/>
        <v>11547.852545519952</v>
      </c>
      <c r="Q58" s="27">
        <f t="shared" si="22"/>
        <v>37761.477823850233</v>
      </c>
      <c r="R58" s="27">
        <f t="shared" si="22"/>
        <v>35873.403932657726</v>
      </c>
      <c r="S58" s="27">
        <f t="shared" si="22"/>
        <v>34079.733736024842</v>
      </c>
      <c r="T58" s="27">
        <f t="shared" si="22"/>
        <v>32375.747049223592</v>
      </c>
      <c r="U58" s="27">
        <f t="shared" si="22"/>
        <v>30756.959696762413</v>
      </c>
    </row>
    <row r="59" spans="1:2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1" spans="1:21" x14ac:dyDescent="0.2">
      <c r="A61" s="41" t="s">
        <v>58</v>
      </c>
    </row>
    <row r="62" spans="1:21" x14ac:dyDescent="0.2">
      <c r="A62" s="20" t="s">
        <v>29</v>
      </c>
      <c r="B62" s="20">
        <v>1</v>
      </c>
      <c r="C62" s="20">
        <f>+B62+1</f>
        <v>2</v>
      </c>
      <c r="D62" s="20">
        <f t="shared" ref="D62:M62" si="23">+C62+1</f>
        <v>3</v>
      </c>
      <c r="E62" s="20">
        <f t="shared" si="23"/>
        <v>4</v>
      </c>
      <c r="F62" s="20">
        <f t="shared" si="23"/>
        <v>5</v>
      </c>
      <c r="G62" s="20">
        <f t="shared" si="23"/>
        <v>6</v>
      </c>
      <c r="H62" s="20">
        <f t="shared" si="23"/>
        <v>7</v>
      </c>
      <c r="I62" s="20">
        <f t="shared" si="23"/>
        <v>8</v>
      </c>
      <c r="J62" s="20">
        <f t="shared" si="23"/>
        <v>9</v>
      </c>
      <c r="K62" s="20">
        <f t="shared" si="23"/>
        <v>10</v>
      </c>
      <c r="L62" s="20">
        <f t="shared" si="23"/>
        <v>11</v>
      </c>
      <c r="M62" s="20">
        <f t="shared" si="23"/>
        <v>12</v>
      </c>
      <c r="N62" s="20">
        <f>+M62+1</f>
        <v>13</v>
      </c>
      <c r="O62" s="20">
        <f t="shared" ref="O62:T62" si="24">+N62+1</f>
        <v>14</v>
      </c>
      <c r="P62" s="20">
        <f t="shared" si="24"/>
        <v>15</v>
      </c>
      <c r="Q62" s="20">
        <f t="shared" si="24"/>
        <v>16</v>
      </c>
      <c r="R62" s="20">
        <f t="shared" si="24"/>
        <v>17</v>
      </c>
      <c r="S62" s="20">
        <f t="shared" si="24"/>
        <v>18</v>
      </c>
      <c r="T62" s="20">
        <f t="shared" si="24"/>
        <v>19</v>
      </c>
      <c r="U62" s="20">
        <f>+T62+1</f>
        <v>20</v>
      </c>
    </row>
    <row r="63" spans="1:2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">
      <c r="A64" s="19" t="s">
        <v>17</v>
      </c>
      <c r="B64" s="5">
        <f>+B$68*B79</f>
        <v>13500</v>
      </c>
      <c r="C64" s="5">
        <f t="shared" ref="C64:U64" si="25">+C$68*C79</f>
        <v>25245</v>
      </c>
      <c r="D64" s="5">
        <f t="shared" si="25"/>
        <v>28939.95</v>
      </c>
      <c r="E64" s="5">
        <f t="shared" si="25"/>
        <v>30854.439000000002</v>
      </c>
      <c r="F64" s="5">
        <f t="shared" si="25"/>
        <v>33058.327499999999</v>
      </c>
      <c r="G64" s="5">
        <f t="shared" si="25"/>
        <v>37840.765545000002</v>
      </c>
      <c r="H64" s="5">
        <f t="shared" si="25"/>
        <v>43138.472721300001</v>
      </c>
      <c r="I64" s="5">
        <f t="shared" si="25"/>
        <v>44864.011630151996</v>
      </c>
      <c r="J64" s="5">
        <f t="shared" si="25"/>
        <v>46658.572095358082</v>
      </c>
      <c r="K64" s="5">
        <f t="shared" si="25"/>
        <v>48524.914979172405</v>
      </c>
      <c r="L64" s="5">
        <f t="shared" si="25"/>
        <v>50465.911578339292</v>
      </c>
      <c r="M64" s="5">
        <f t="shared" si="25"/>
        <v>55007.843620389838</v>
      </c>
      <c r="N64" s="5">
        <f t="shared" si="25"/>
        <v>59958.549546224916</v>
      </c>
      <c r="O64" s="5">
        <f t="shared" si="25"/>
        <v>65354.819005385165</v>
      </c>
      <c r="P64" s="5">
        <f t="shared" si="25"/>
        <v>71236.752715869821</v>
      </c>
      <c r="Q64" s="5">
        <f t="shared" si="25"/>
        <v>102168.5006056554</v>
      </c>
      <c r="R64" s="5">
        <f t="shared" si="25"/>
        <v>97060.075575372626</v>
      </c>
      <c r="S64" s="5">
        <f t="shared" si="25"/>
        <v>92207.071796603996</v>
      </c>
      <c r="T64" s="5">
        <f t="shared" si="25"/>
        <v>87596.718206773789</v>
      </c>
      <c r="U64" s="5">
        <f t="shared" si="25"/>
        <v>83216.882296435098</v>
      </c>
    </row>
    <row r="65" spans="1:21" x14ac:dyDescent="0.2">
      <c r="A65" s="19" t="s">
        <v>24</v>
      </c>
      <c r="B65" s="5">
        <f>+B$68*B80</f>
        <v>9000</v>
      </c>
      <c r="C65" s="5">
        <f t="shared" ref="C65:U65" si="26">+C$68*C80</f>
        <v>32130.000000000004</v>
      </c>
      <c r="D65" s="5">
        <f t="shared" si="26"/>
        <v>31166.100000000002</v>
      </c>
      <c r="E65" s="5">
        <f t="shared" si="26"/>
        <v>30854.439000000002</v>
      </c>
      <c r="F65" s="5">
        <f t="shared" si="26"/>
        <v>30854.439000000002</v>
      </c>
      <c r="G65" s="5">
        <f t="shared" si="26"/>
        <v>33388.910774999997</v>
      </c>
      <c r="H65" s="5">
        <f t="shared" si="26"/>
        <v>34056.688990499999</v>
      </c>
      <c r="I65" s="5">
        <f t="shared" si="26"/>
        <v>35418.956550119998</v>
      </c>
      <c r="J65" s="5">
        <f t="shared" si="26"/>
        <v>36835.714812124796</v>
      </c>
      <c r="K65" s="5">
        <f t="shared" si="26"/>
        <v>38309.143404609793</v>
      </c>
      <c r="L65" s="5">
        <f t="shared" si="26"/>
        <v>26561.006093862787</v>
      </c>
      <c r="M65" s="5">
        <f t="shared" si="26"/>
        <v>28951.496642310442</v>
      </c>
      <c r="N65" s="5">
        <f t="shared" si="26"/>
        <v>31557.131340118376</v>
      </c>
      <c r="O65" s="5">
        <f t="shared" si="26"/>
        <v>34397.273160729033</v>
      </c>
      <c r="P65" s="5">
        <f t="shared" si="26"/>
        <v>37493.027745194646</v>
      </c>
      <c r="Q65" s="5">
        <f t="shared" si="26"/>
        <v>122602.20072678647</v>
      </c>
      <c r="R65" s="5">
        <f t="shared" si="26"/>
        <v>116472.09069044715</v>
      </c>
      <c r="S65" s="5">
        <f t="shared" si="26"/>
        <v>110648.48615592479</v>
      </c>
      <c r="T65" s="5">
        <f t="shared" si="26"/>
        <v>105116.06184812855</v>
      </c>
      <c r="U65" s="5">
        <f t="shared" si="26"/>
        <v>99860.258755722112</v>
      </c>
    </row>
    <row r="66" spans="1:2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">
      <c r="A67" s="18" t="s">
        <v>12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">
      <c r="A68" s="5" t="s">
        <v>22</v>
      </c>
      <c r="B68" s="9">
        <f>Assumptions!C34*Assumptions!C35</f>
        <v>225000</v>
      </c>
      <c r="C68" s="5">
        <f t="shared" ref="C68:U68" si="27">+B71</f>
        <v>229500</v>
      </c>
      <c r="D68" s="5">
        <f t="shared" si="27"/>
        <v>222615</v>
      </c>
      <c r="E68" s="5">
        <f t="shared" si="27"/>
        <v>220388.85</v>
      </c>
      <c r="F68" s="5">
        <f t="shared" si="27"/>
        <v>220388.85</v>
      </c>
      <c r="G68" s="5">
        <f t="shared" si="27"/>
        <v>222592.73849999998</v>
      </c>
      <c r="H68" s="5">
        <f t="shared" si="27"/>
        <v>227044.59326999998</v>
      </c>
      <c r="I68" s="5">
        <f t="shared" si="27"/>
        <v>236126.37700079998</v>
      </c>
      <c r="J68" s="5">
        <f t="shared" si="27"/>
        <v>245571.43208083199</v>
      </c>
      <c r="K68" s="5">
        <f t="shared" si="27"/>
        <v>255394.28936406528</v>
      </c>
      <c r="L68" s="5">
        <f t="shared" si="27"/>
        <v>265610.06093862787</v>
      </c>
      <c r="M68" s="5">
        <f t="shared" si="27"/>
        <v>289514.9664231044</v>
      </c>
      <c r="N68" s="5">
        <f t="shared" si="27"/>
        <v>315571.31340118375</v>
      </c>
      <c r="O68" s="5">
        <f t="shared" si="27"/>
        <v>343972.73160729033</v>
      </c>
      <c r="P68" s="5">
        <f t="shared" si="27"/>
        <v>374930.27745194646</v>
      </c>
      <c r="Q68" s="5">
        <f t="shared" si="27"/>
        <v>408674.00242262159</v>
      </c>
      <c r="R68" s="5">
        <f t="shared" si="27"/>
        <v>388240.3023014905</v>
      </c>
      <c r="S68" s="5">
        <f t="shared" si="27"/>
        <v>368828.28718641598</v>
      </c>
      <c r="T68" s="5">
        <f t="shared" si="27"/>
        <v>350386.87282709515</v>
      </c>
      <c r="U68" s="5">
        <f t="shared" si="27"/>
        <v>332867.52918574039</v>
      </c>
    </row>
    <row r="69" spans="1:21" x14ac:dyDescent="0.2">
      <c r="A69" s="5" t="s">
        <v>20</v>
      </c>
      <c r="B69" s="5">
        <f>+B64</f>
        <v>13500</v>
      </c>
      <c r="C69" s="5">
        <f>+C64</f>
        <v>25245</v>
      </c>
      <c r="D69" s="5">
        <f t="shared" ref="D69:U69" si="28">+D64</f>
        <v>28939.95</v>
      </c>
      <c r="E69" s="5">
        <f t="shared" si="28"/>
        <v>30854.439000000002</v>
      </c>
      <c r="F69" s="5">
        <f t="shared" si="28"/>
        <v>33058.327499999999</v>
      </c>
      <c r="G69" s="5">
        <f t="shared" si="28"/>
        <v>37840.765545000002</v>
      </c>
      <c r="H69" s="5">
        <f t="shared" si="28"/>
        <v>43138.472721300001</v>
      </c>
      <c r="I69" s="5">
        <f t="shared" si="28"/>
        <v>44864.011630151996</v>
      </c>
      <c r="J69" s="5">
        <f t="shared" si="28"/>
        <v>46658.572095358082</v>
      </c>
      <c r="K69" s="5">
        <f t="shared" si="28"/>
        <v>48524.914979172405</v>
      </c>
      <c r="L69" s="5">
        <f t="shared" si="28"/>
        <v>50465.911578339292</v>
      </c>
      <c r="M69" s="5">
        <f t="shared" si="28"/>
        <v>55007.843620389838</v>
      </c>
      <c r="N69" s="5">
        <f t="shared" si="28"/>
        <v>59958.549546224916</v>
      </c>
      <c r="O69" s="5">
        <f t="shared" si="28"/>
        <v>65354.819005385165</v>
      </c>
      <c r="P69" s="5">
        <f t="shared" si="28"/>
        <v>71236.752715869821</v>
      </c>
      <c r="Q69" s="5">
        <f t="shared" si="28"/>
        <v>102168.5006056554</v>
      </c>
      <c r="R69" s="5">
        <f t="shared" si="28"/>
        <v>97060.075575372626</v>
      </c>
      <c r="S69" s="5">
        <f t="shared" si="28"/>
        <v>92207.071796603996</v>
      </c>
      <c r="T69" s="5">
        <f t="shared" si="28"/>
        <v>87596.718206773789</v>
      </c>
      <c r="U69" s="5">
        <f t="shared" si="28"/>
        <v>83216.882296435098</v>
      </c>
    </row>
    <row r="70" spans="1:21" x14ac:dyDescent="0.2">
      <c r="A70" s="5" t="s">
        <v>23</v>
      </c>
      <c r="B70" s="5">
        <f>-B65</f>
        <v>-9000</v>
      </c>
      <c r="C70" s="5">
        <f>-C65</f>
        <v>-32130.000000000004</v>
      </c>
      <c r="D70" s="5">
        <f t="shared" ref="D70:U70" si="29">-D65</f>
        <v>-31166.100000000002</v>
      </c>
      <c r="E70" s="5">
        <f t="shared" si="29"/>
        <v>-30854.439000000002</v>
      </c>
      <c r="F70" s="5">
        <f t="shared" si="29"/>
        <v>-30854.439000000002</v>
      </c>
      <c r="G70" s="5">
        <f t="shared" si="29"/>
        <v>-33388.910774999997</v>
      </c>
      <c r="H70" s="5">
        <f t="shared" si="29"/>
        <v>-34056.688990499999</v>
      </c>
      <c r="I70" s="5">
        <f t="shared" si="29"/>
        <v>-35418.956550119998</v>
      </c>
      <c r="J70" s="5">
        <f t="shared" si="29"/>
        <v>-36835.714812124796</v>
      </c>
      <c r="K70" s="5">
        <f t="shared" si="29"/>
        <v>-38309.143404609793</v>
      </c>
      <c r="L70" s="5">
        <f t="shared" si="29"/>
        <v>-26561.006093862787</v>
      </c>
      <c r="M70" s="5">
        <f t="shared" si="29"/>
        <v>-28951.496642310442</v>
      </c>
      <c r="N70" s="5">
        <f t="shared" si="29"/>
        <v>-31557.131340118376</v>
      </c>
      <c r="O70" s="5">
        <f t="shared" si="29"/>
        <v>-34397.273160729033</v>
      </c>
      <c r="P70" s="5">
        <f t="shared" si="29"/>
        <v>-37493.027745194646</v>
      </c>
      <c r="Q70" s="5">
        <f t="shared" si="29"/>
        <v>-122602.20072678647</v>
      </c>
      <c r="R70" s="5">
        <f t="shared" si="29"/>
        <v>-116472.09069044715</v>
      </c>
      <c r="S70" s="5">
        <f t="shared" si="29"/>
        <v>-110648.48615592479</v>
      </c>
      <c r="T70" s="5">
        <f t="shared" si="29"/>
        <v>-105116.06184812855</v>
      </c>
      <c r="U70" s="5">
        <f t="shared" si="29"/>
        <v>-99860.258755722112</v>
      </c>
    </row>
    <row r="71" spans="1:21" x14ac:dyDescent="0.2">
      <c r="A71" s="5" t="s">
        <v>21</v>
      </c>
      <c r="B71" s="13">
        <f t="shared" ref="B71:U71" si="30">SUM(B68:B70)</f>
        <v>229500</v>
      </c>
      <c r="C71" s="13">
        <f t="shared" si="30"/>
        <v>222615</v>
      </c>
      <c r="D71" s="13">
        <f t="shared" si="30"/>
        <v>220388.85</v>
      </c>
      <c r="E71" s="13">
        <f t="shared" si="30"/>
        <v>220388.85</v>
      </c>
      <c r="F71" s="13">
        <f t="shared" si="30"/>
        <v>222592.73849999998</v>
      </c>
      <c r="G71" s="13">
        <f t="shared" si="30"/>
        <v>227044.59326999998</v>
      </c>
      <c r="H71" s="13">
        <f t="shared" si="30"/>
        <v>236126.37700079998</v>
      </c>
      <c r="I71" s="13">
        <f t="shared" si="30"/>
        <v>245571.43208083199</v>
      </c>
      <c r="J71" s="13">
        <f t="shared" si="30"/>
        <v>255394.28936406528</v>
      </c>
      <c r="K71" s="13">
        <f t="shared" si="30"/>
        <v>265610.06093862787</v>
      </c>
      <c r="L71" s="13">
        <f t="shared" si="30"/>
        <v>289514.9664231044</v>
      </c>
      <c r="M71" s="13">
        <f t="shared" si="30"/>
        <v>315571.31340118375</v>
      </c>
      <c r="N71" s="13">
        <f t="shared" si="30"/>
        <v>343972.73160729033</v>
      </c>
      <c r="O71" s="13">
        <f t="shared" si="30"/>
        <v>374930.27745194646</v>
      </c>
      <c r="P71" s="13">
        <f t="shared" si="30"/>
        <v>408674.00242262159</v>
      </c>
      <c r="Q71" s="13">
        <f t="shared" si="30"/>
        <v>388240.3023014905</v>
      </c>
      <c r="R71" s="13">
        <f t="shared" si="30"/>
        <v>368828.28718641598</v>
      </c>
      <c r="S71" s="13">
        <f t="shared" si="30"/>
        <v>350386.87282709515</v>
      </c>
      <c r="T71" s="13">
        <f t="shared" si="30"/>
        <v>332867.52918574039</v>
      </c>
      <c r="U71" s="13">
        <f t="shared" si="30"/>
        <v>316224.15272645338</v>
      </c>
    </row>
    <row r="72" spans="1:2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">
      <c r="A73" s="18" t="s">
        <v>13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">
      <c r="A74" s="5" t="s">
        <v>22</v>
      </c>
      <c r="B74" s="9">
        <f>Assumptions!C34-'New Unit Financial Profile'!B68</f>
        <v>337500</v>
      </c>
      <c r="C74" s="5">
        <f t="shared" ref="C74:U74" si="31">+B76</f>
        <v>330750</v>
      </c>
      <c r="D74" s="5">
        <f t="shared" si="31"/>
        <v>310500</v>
      </c>
      <c r="E74" s="5">
        <f t="shared" si="31"/>
        <v>290250</v>
      </c>
      <c r="F74" s="5">
        <f t="shared" si="31"/>
        <v>270000</v>
      </c>
      <c r="G74" s="5">
        <f t="shared" si="31"/>
        <v>249750</v>
      </c>
      <c r="H74" s="5">
        <f t="shared" si="31"/>
        <v>226125</v>
      </c>
      <c r="I74" s="5">
        <f t="shared" si="31"/>
        <v>202500</v>
      </c>
      <c r="J74" s="5">
        <f t="shared" si="31"/>
        <v>178875</v>
      </c>
      <c r="K74" s="5">
        <f t="shared" si="31"/>
        <v>155250</v>
      </c>
      <c r="L74" s="5">
        <f t="shared" si="31"/>
        <v>131625</v>
      </c>
      <c r="M74" s="5">
        <f t="shared" si="31"/>
        <v>108000</v>
      </c>
      <c r="N74" s="5">
        <f t="shared" si="31"/>
        <v>81000</v>
      </c>
      <c r="O74" s="5">
        <f t="shared" si="31"/>
        <v>50625</v>
      </c>
      <c r="P74" s="5">
        <f t="shared" si="31"/>
        <v>16875</v>
      </c>
      <c r="Q74" s="5">
        <f t="shared" si="31"/>
        <v>0</v>
      </c>
      <c r="R74" s="5">
        <f t="shared" si="31"/>
        <v>0</v>
      </c>
      <c r="S74" s="5">
        <f t="shared" si="31"/>
        <v>0</v>
      </c>
      <c r="T74" s="5">
        <f t="shared" si="31"/>
        <v>0</v>
      </c>
      <c r="U74" s="5">
        <f t="shared" si="31"/>
        <v>0</v>
      </c>
    </row>
    <row r="75" spans="1:21" x14ac:dyDescent="0.2">
      <c r="A75" s="5" t="s">
        <v>26</v>
      </c>
      <c r="B75" s="5">
        <f>-$B$74*B81</f>
        <v>-6750</v>
      </c>
      <c r="C75" s="5">
        <f t="shared" ref="C75:U75" si="32">-$B$74*C81</f>
        <v>-20250</v>
      </c>
      <c r="D75" s="5">
        <f t="shared" si="32"/>
        <v>-20250</v>
      </c>
      <c r="E75" s="5">
        <f t="shared" si="32"/>
        <v>-20250</v>
      </c>
      <c r="F75" s="5">
        <f t="shared" si="32"/>
        <v>-20250</v>
      </c>
      <c r="G75" s="5">
        <f t="shared" si="32"/>
        <v>-23625.000000000004</v>
      </c>
      <c r="H75" s="5">
        <f t="shared" si="32"/>
        <v>-23625.000000000004</v>
      </c>
      <c r="I75" s="5">
        <f t="shared" si="32"/>
        <v>-23625.000000000004</v>
      </c>
      <c r="J75" s="5">
        <f t="shared" si="32"/>
        <v>-23625.000000000004</v>
      </c>
      <c r="K75" s="5">
        <f t="shared" si="32"/>
        <v>-23625.000000000004</v>
      </c>
      <c r="L75" s="5">
        <f t="shared" si="32"/>
        <v>-23625.000000000004</v>
      </c>
      <c r="M75" s="5">
        <f t="shared" si="32"/>
        <v>-27000</v>
      </c>
      <c r="N75" s="5">
        <f t="shared" si="32"/>
        <v>-30375</v>
      </c>
      <c r="O75" s="5">
        <f t="shared" si="32"/>
        <v>-33750</v>
      </c>
      <c r="P75" s="5">
        <f t="shared" si="32"/>
        <v>-16875</v>
      </c>
      <c r="Q75" s="5">
        <f t="shared" si="32"/>
        <v>0</v>
      </c>
      <c r="R75" s="5">
        <f t="shared" si="32"/>
        <v>0</v>
      </c>
      <c r="S75" s="5">
        <f t="shared" si="32"/>
        <v>0</v>
      </c>
      <c r="T75" s="5">
        <f t="shared" si="32"/>
        <v>0</v>
      </c>
      <c r="U75" s="5">
        <f t="shared" si="32"/>
        <v>0</v>
      </c>
    </row>
    <row r="76" spans="1:21" x14ac:dyDescent="0.2">
      <c r="A76" s="5" t="s">
        <v>21</v>
      </c>
      <c r="B76" s="13">
        <f t="shared" ref="B76:U76" si="33">SUM(B74:B75)</f>
        <v>330750</v>
      </c>
      <c r="C76" s="13">
        <f t="shared" si="33"/>
        <v>310500</v>
      </c>
      <c r="D76" s="13">
        <f t="shared" si="33"/>
        <v>290250</v>
      </c>
      <c r="E76" s="13">
        <f t="shared" si="33"/>
        <v>270000</v>
      </c>
      <c r="F76" s="13">
        <f t="shared" si="33"/>
        <v>249750</v>
      </c>
      <c r="G76" s="13">
        <f t="shared" si="33"/>
        <v>226125</v>
      </c>
      <c r="H76" s="13">
        <f t="shared" si="33"/>
        <v>202500</v>
      </c>
      <c r="I76" s="13">
        <f t="shared" si="33"/>
        <v>178875</v>
      </c>
      <c r="J76" s="13">
        <f t="shared" si="33"/>
        <v>155250</v>
      </c>
      <c r="K76" s="13">
        <f t="shared" si="33"/>
        <v>131625</v>
      </c>
      <c r="L76" s="13">
        <f t="shared" si="33"/>
        <v>108000</v>
      </c>
      <c r="M76" s="13">
        <f t="shared" si="33"/>
        <v>81000</v>
      </c>
      <c r="N76" s="13">
        <f t="shared" si="33"/>
        <v>50625</v>
      </c>
      <c r="O76" s="13">
        <f t="shared" si="33"/>
        <v>16875</v>
      </c>
      <c r="P76" s="13">
        <f t="shared" si="33"/>
        <v>0</v>
      </c>
      <c r="Q76" s="13">
        <f t="shared" si="33"/>
        <v>0</v>
      </c>
      <c r="R76" s="13">
        <f t="shared" si="33"/>
        <v>0</v>
      </c>
      <c r="S76" s="13">
        <f t="shared" si="33"/>
        <v>0</v>
      </c>
      <c r="T76" s="13">
        <f t="shared" si="33"/>
        <v>0</v>
      </c>
      <c r="U76" s="13">
        <f t="shared" si="33"/>
        <v>0</v>
      </c>
    </row>
    <row r="77" spans="1:2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2" t="s">
        <v>55</v>
      </c>
      <c r="B79" s="10">
        <v>0.06</v>
      </c>
      <c r="C79" s="10">
        <v>0.11</v>
      </c>
      <c r="D79" s="10">
        <v>0.13</v>
      </c>
      <c r="E79" s="10">
        <v>0.14000000000000001</v>
      </c>
      <c r="F79" s="10">
        <v>0.15</v>
      </c>
      <c r="G79" s="10">
        <v>0.17</v>
      </c>
      <c r="H79" s="10">
        <v>0.19</v>
      </c>
      <c r="I79" s="10">
        <v>0.19</v>
      </c>
      <c r="J79" s="10">
        <v>0.19</v>
      </c>
      <c r="K79" s="10">
        <v>0.19</v>
      </c>
      <c r="L79" s="10">
        <v>0.19</v>
      </c>
      <c r="M79" s="10">
        <v>0.19</v>
      </c>
      <c r="N79" s="10">
        <v>0.19</v>
      </c>
      <c r="O79" s="10">
        <v>0.19</v>
      </c>
      <c r="P79" s="10">
        <v>0.19</v>
      </c>
      <c r="Q79" s="10">
        <v>0.25</v>
      </c>
      <c r="R79" s="10">
        <v>0.25</v>
      </c>
      <c r="S79" s="10">
        <v>0.25</v>
      </c>
      <c r="T79" s="10">
        <v>0.25</v>
      </c>
      <c r="U79" s="10">
        <v>0.25</v>
      </c>
    </row>
    <row r="80" spans="1:21" x14ac:dyDescent="0.2">
      <c r="A80" s="2" t="s">
        <v>18</v>
      </c>
      <c r="B80" s="10">
        <v>0.04</v>
      </c>
      <c r="C80" s="10">
        <v>0.14000000000000001</v>
      </c>
      <c r="D80" s="10">
        <v>0.14000000000000001</v>
      </c>
      <c r="E80" s="10">
        <v>0.14000000000000001</v>
      </c>
      <c r="F80" s="10">
        <v>0.14000000000000001</v>
      </c>
      <c r="G80" s="10">
        <v>0.15</v>
      </c>
      <c r="H80" s="10">
        <v>0.15</v>
      </c>
      <c r="I80" s="10">
        <v>0.15</v>
      </c>
      <c r="J80" s="10">
        <v>0.15</v>
      </c>
      <c r="K80" s="10">
        <v>0.15</v>
      </c>
      <c r="L80" s="10">
        <v>0.1</v>
      </c>
      <c r="M80" s="10">
        <v>0.1</v>
      </c>
      <c r="N80" s="10">
        <v>0.1</v>
      </c>
      <c r="O80" s="10">
        <v>0.1</v>
      </c>
      <c r="P80" s="10">
        <v>0.1</v>
      </c>
      <c r="Q80" s="10">
        <v>0.3</v>
      </c>
      <c r="R80" s="10">
        <v>0.3</v>
      </c>
      <c r="S80" s="10">
        <v>0.3</v>
      </c>
      <c r="T80" s="10">
        <v>0.3</v>
      </c>
      <c r="U80" s="10">
        <v>0.3</v>
      </c>
    </row>
    <row r="81" spans="1:21" x14ac:dyDescent="0.2">
      <c r="A81" s="2" t="s">
        <v>25</v>
      </c>
      <c r="B81" s="10">
        <v>0.02</v>
      </c>
      <c r="C81" s="10">
        <v>0.06</v>
      </c>
      <c r="D81" s="10">
        <v>0.06</v>
      </c>
      <c r="E81" s="10">
        <v>0.06</v>
      </c>
      <c r="F81" s="10">
        <v>0.06</v>
      </c>
      <c r="G81" s="10">
        <v>7.0000000000000007E-2</v>
      </c>
      <c r="H81" s="10">
        <v>7.0000000000000007E-2</v>
      </c>
      <c r="I81" s="10">
        <v>7.0000000000000007E-2</v>
      </c>
      <c r="J81" s="10">
        <v>7.0000000000000007E-2</v>
      </c>
      <c r="K81" s="10">
        <v>7.0000000000000007E-2</v>
      </c>
      <c r="L81" s="10">
        <v>7.0000000000000007E-2</v>
      </c>
      <c r="M81" s="10">
        <v>0.08</v>
      </c>
      <c r="N81" s="10">
        <v>0.09</v>
      </c>
      <c r="O81" s="10">
        <v>0.1</v>
      </c>
      <c r="P81" s="10">
        <v>0.05</v>
      </c>
      <c r="Q81" s="10"/>
      <c r="R81" s="10"/>
      <c r="S81" s="10"/>
      <c r="T81" s="10"/>
      <c r="U81" s="10"/>
    </row>
    <row r="82" spans="1:2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5"/>
      <c r="R83" s="5"/>
      <c r="S83" s="5"/>
      <c r="T83" s="5"/>
      <c r="U83" s="5"/>
    </row>
    <row r="84" spans="1:21" x14ac:dyDescent="0.2">
      <c r="A84" s="17" t="s">
        <v>30</v>
      </c>
    </row>
    <row r="85" spans="1:21" x14ac:dyDescent="0.2">
      <c r="A85" s="12" t="s">
        <v>28</v>
      </c>
      <c r="B85" s="12">
        <f>NPV(0.14,B65:U65)-B68</f>
        <v>8702.777649483789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">
      <c r="A86" s="22" t="s">
        <v>27</v>
      </c>
      <c r="B86" s="15">
        <f>IRR(A87:U87,0.1)</f>
        <v>0.14488740067415362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 spans="1:21" x14ac:dyDescent="0.2">
      <c r="A87" s="27">
        <f>-B68</f>
        <v>-225000</v>
      </c>
      <c r="B87" s="27">
        <f>+B65</f>
        <v>9000</v>
      </c>
      <c r="C87" s="27">
        <f t="shared" ref="C87:U87" si="34">+C65</f>
        <v>32130.000000000004</v>
      </c>
      <c r="D87" s="27">
        <f t="shared" si="34"/>
        <v>31166.100000000002</v>
      </c>
      <c r="E87" s="27">
        <f t="shared" si="34"/>
        <v>30854.439000000002</v>
      </c>
      <c r="F87" s="27">
        <f t="shared" si="34"/>
        <v>30854.439000000002</v>
      </c>
      <c r="G87" s="27">
        <f t="shared" si="34"/>
        <v>33388.910774999997</v>
      </c>
      <c r="H87" s="27">
        <f t="shared" si="34"/>
        <v>34056.688990499999</v>
      </c>
      <c r="I87" s="27">
        <f t="shared" si="34"/>
        <v>35418.956550119998</v>
      </c>
      <c r="J87" s="27">
        <f t="shared" si="34"/>
        <v>36835.714812124796</v>
      </c>
      <c r="K87" s="27">
        <f t="shared" si="34"/>
        <v>38309.143404609793</v>
      </c>
      <c r="L87" s="27">
        <f t="shared" si="34"/>
        <v>26561.006093862787</v>
      </c>
      <c r="M87" s="27">
        <f t="shared" si="34"/>
        <v>28951.496642310442</v>
      </c>
      <c r="N87" s="27">
        <f t="shared" si="34"/>
        <v>31557.131340118376</v>
      </c>
      <c r="O87" s="27">
        <f t="shared" si="34"/>
        <v>34397.273160729033</v>
      </c>
      <c r="P87" s="27">
        <f t="shared" si="34"/>
        <v>37493.027745194646</v>
      </c>
      <c r="Q87" s="27">
        <f t="shared" si="34"/>
        <v>122602.20072678647</v>
      </c>
      <c r="R87" s="27">
        <f t="shared" si="34"/>
        <v>116472.09069044715</v>
      </c>
      <c r="S87" s="27">
        <f t="shared" si="34"/>
        <v>110648.48615592479</v>
      </c>
      <c r="T87" s="27">
        <f t="shared" si="34"/>
        <v>105116.06184812855</v>
      </c>
      <c r="U87" s="27">
        <f t="shared" si="34"/>
        <v>99860.258755722112</v>
      </c>
    </row>
    <row r="88" spans="1:2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90" spans="1:21" x14ac:dyDescent="0.2">
      <c r="A90" s="41" t="s">
        <v>63</v>
      </c>
    </row>
    <row r="91" spans="1:21" x14ac:dyDescent="0.2">
      <c r="A91" s="20" t="s">
        <v>29</v>
      </c>
      <c r="B91" s="20">
        <v>1</v>
      </c>
      <c r="C91" s="20">
        <f>+B91+1</f>
        <v>2</v>
      </c>
      <c r="D91" s="20">
        <f t="shared" ref="D91:M91" si="35">+C91+1</f>
        <v>3</v>
      </c>
      <c r="E91" s="20">
        <f t="shared" si="35"/>
        <v>4</v>
      </c>
      <c r="F91" s="20">
        <f t="shared" si="35"/>
        <v>5</v>
      </c>
      <c r="G91" s="20">
        <f t="shared" si="35"/>
        <v>6</v>
      </c>
      <c r="H91" s="20">
        <f t="shared" si="35"/>
        <v>7</v>
      </c>
      <c r="I91" s="20">
        <f t="shared" si="35"/>
        <v>8</v>
      </c>
      <c r="J91" s="20">
        <f t="shared" si="35"/>
        <v>9</v>
      </c>
      <c r="K91" s="20">
        <f t="shared" si="35"/>
        <v>10</v>
      </c>
      <c r="L91" s="20">
        <f t="shared" si="35"/>
        <v>11</v>
      </c>
      <c r="M91" s="20">
        <f t="shared" si="35"/>
        <v>12</v>
      </c>
      <c r="N91" s="20">
        <f>+M91+1</f>
        <v>13</v>
      </c>
      <c r="O91" s="20">
        <f t="shared" ref="O91:T91" si="36">+N91+1</f>
        <v>14</v>
      </c>
      <c r="P91" s="20">
        <f t="shared" si="36"/>
        <v>15</v>
      </c>
      <c r="Q91" s="20">
        <f t="shared" si="36"/>
        <v>16</v>
      </c>
      <c r="R91" s="20">
        <f t="shared" si="36"/>
        <v>17</v>
      </c>
      <c r="S91" s="20">
        <f t="shared" si="36"/>
        <v>18</v>
      </c>
      <c r="T91" s="20">
        <f t="shared" si="36"/>
        <v>19</v>
      </c>
      <c r="U91" s="20">
        <f>+T91+1</f>
        <v>20</v>
      </c>
    </row>
    <row r="92" spans="1:2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">
      <c r="A93" s="19" t="s">
        <v>17</v>
      </c>
      <c r="B93" s="5">
        <f>+B$97*B108</f>
        <v>4457.3999999999996</v>
      </c>
      <c r="C93" s="5">
        <f t="shared" ref="C93:U93" si="37">+C$97*C108</f>
        <v>8335.3379999999979</v>
      </c>
      <c r="D93" s="5">
        <f t="shared" si="37"/>
        <v>9555.3283800000008</v>
      </c>
      <c r="E93" s="5">
        <f t="shared" si="37"/>
        <v>10187.450103600002</v>
      </c>
      <c r="F93" s="5">
        <f t="shared" si="37"/>
        <v>10915.125110999999</v>
      </c>
      <c r="G93" s="5">
        <f t="shared" si="37"/>
        <v>12494.179877058001</v>
      </c>
      <c r="H93" s="5">
        <f t="shared" si="37"/>
        <v>14243.365059846121</v>
      </c>
      <c r="I93" s="5">
        <f t="shared" si="37"/>
        <v>14813.099662239967</v>
      </c>
      <c r="J93" s="5">
        <f t="shared" si="37"/>
        <v>15405.623648729566</v>
      </c>
      <c r="K93" s="5">
        <f t="shared" si="37"/>
        <v>16021.84859467875</v>
      </c>
      <c r="L93" s="5">
        <f t="shared" si="37"/>
        <v>16662.722538465903</v>
      </c>
      <c r="M93" s="5">
        <f t="shared" si="37"/>
        <v>18162.367566927835</v>
      </c>
      <c r="N93" s="5">
        <f t="shared" si="37"/>
        <v>19796.980647951339</v>
      </c>
      <c r="O93" s="5">
        <f t="shared" si="37"/>
        <v>21578.708906266958</v>
      </c>
      <c r="P93" s="5">
        <f t="shared" si="37"/>
        <v>23520.792707830984</v>
      </c>
      <c r="Q93" s="5">
        <f t="shared" si="37"/>
        <v>33733.768488862857</v>
      </c>
      <c r="R93" s="5">
        <f t="shared" si="37"/>
        <v>32047.080064419712</v>
      </c>
      <c r="S93" s="5">
        <f t="shared" si="37"/>
        <v>30444.726061198722</v>
      </c>
      <c r="T93" s="5">
        <f t="shared" si="37"/>
        <v>28922.489758138785</v>
      </c>
      <c r="U93" s="5">
        <f t="shared" si="37"/>
        <v>27476.365270231843</v>
      </c>
    </row>
    <row r="94" spans="1:21" x14ac:dyDescent="0.2">
      <c r="A94" s="19" t="s">
        <v>24</v>
      </c>
      <c r="B94" s="5">
        <f>+B$97*B109</f>
        <v>2971.6</v>
      </c>
      <c r="C94" s="5">
        <f t="shared" ref="C94:U94" si="38">+C$97*C109</f>
        <v>10608.611999999999</v>
      </c>
      <c r="D94" s="5">
        <f t="shared" si="38"/>
        <v>10290.353640000001</v>
      </c>
      <c r="E94" s="5">
        <f t="shared" si="38"/>
        <v>10187.450103600002</v>
      </c>
      <c r="F94" s="5">
        <f t="shared" si="38"/>
        <v>10187.450103600002</v>
      </c>
      <c r="G94" s="5">
        <f t="shared" si="38"/>
        <v>11024.27636211</v>
      </c>
      <c r="H94" s="5">
        <f t="shared" si="38"/>
        <v>11244.761889352201</v>
      </c>
      <c r="I94" s="5">
        <f t="shared" si="38"/>
        <v>11694.552364926289</v>
      </c>
      <c r="J94" s="5">
        <f t="shared" si="38"/>
        <v>12162.334459523341</v>
      </c>
      <c r="K94" s="5">
        <f t="shared" si="38"/>
        <v>12648.827837904277</v>
      </c>
      <c r="L94" s="5">
        <f t="shared" si="38"/>
        <v>8769.8539676136334</v>
      </c>
      <c r="M94" s="5">
        <f t="shared" si="38"/>
        <v>9559.1408246988613</v>
      </c>
      <c r="N94" s="5">
        <f t="shared" si="38"/>
        <v>10419.463498921759</v>
      </c>
      <c r="O94" s="5">
        <f t="shared" si="38"/>
        <v>11357.215213824717</v>
      </c>
      <c r="P94" s="5">
        <f t="shared" si="38"/>
        <v>12379.36458306894</v>
      </c>
      <c r="Q94" s="5">
        <f t="shared" si="38"/>
        <v>40480.522186635426</v>
      </c>
      <c r="R94" s="5">
        <f t="shared" si="38"/>
        <v>38456.496077303651</v>
      </c>
      <c r="S94" s="5">
        <f t="shared" si="38"/>
        <v>36533.671273438464</v>
      </c>
      <c r="T94" s="5">
        <f t="shared" si="38"/>
        <v>34706.987709766538</v>
      </c>
      <c r="U94" s="5">
        <f t="shared" si="38"/>
        <v>32971.63832427821</v>
      </c>
    </row>
    <row r="95" spans="1:2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x14ac:dyDescent="0.2">
      <c r="A96" s="18" t="s">
        <v>12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">
      <c r="A97" s="5" t="s">
        <v>22</v>
      </c>
      <c r="B97" s="9">
        <f>Assumptions!C48*Assumptions!C49</f>
        <v>74290</v>
      </c>
      <c r="C97" s="5">
        <f t="shared" ref="C97:U97" si="39">+B100</f>
        <v>75775.799999999988</v>
      </c>
      <c r="D97" s="5">
        <f t="shared" si="39"/>
        <v>73502.525999999998</v>
      </c>
      <c r="E97" s="5">
        <f t="shared" si="39"/>
        <v>72767.500740000003</v>
      </c>
      <c r="F97" s="5">
        <f t="shared" si="39"/>
        <v>72767.500740000003</v>
      </c>
      <c r="G97" s="5">
        <f t="shared" si="39"/>
        <v>73495.175747400004</v>
      </c>
      <c r="H97" s="5">
        <f t="shared" si="39"/>
        <v>74965.079262348008</v>
      </c>
      <c r="I97" s="5">
        <f t="shared" si="39"/>
        <v>77963.682432841932</v>
      </c>
      <c r="J97" s="5">
        <f t="shared" si="39"/>
        <v>81082.22973015561</v>
      </c>
      <c r="K97" s="5">
        <f t="shared" si="39"/>
        <v>84325.518919361843</v>
      </c>
      <c r="L97" s="5">
        <f t="shared" si="39"/>
        <v>87698.539676136323</v>
      </c>
      <c r="M97" s="5">
        <f t="shared" si="39"/>
        <v>95591.408246988605</v>
      </c>
      <c r="N97" s="5">
        <f t="shared" si="39"/>
        <v>104194.63498921758</v>
      </c>
      <c r="O97" s="5">
        <f t="shared" si="39"/>
        <v>113572.15213824715</v>
      </c>
      <c r="P97" s="5">
        <f t="shared" si="39"/>
        <v>123793.64583068939</v>
      </c>
      <c r="Q97" s="5">
        <f t="shared" si="39"/>
        <v>134935.07395545143</v>
      </c>
      <c r="R97" s="5">
        <f t="shared" si="39"/>
        <v>128188.32025767885</v>
      </c>
      <c r="S97" s="5">
        <f t="shared" si="39"/>
        <v>121778.90424479489</v>
      </c>
      <c r="T97" s="5">
        <f t="shared" si="39"/>
        <v>115689.95903255514</v>
      </c>
      <c r="U97" s="5">
        <f t="shared" si="39"/>
        <v>109905.46108092737</v>
      </c>
    </row>
    <row r="98" spans="1:21" x14ac:dyDescent="0.2">
      <c r="A98" s="5" t="s">
        <v>20</v>
      </c>
      <c r="B98" s="5">
        <f>+B93</f>
        <v>4457.3999999999996</v>
      </c>
      <c r="C98" s="5">
        <f>+C93</f>
        <v>8335.3379999999979</v>
      </c>
      <c r="D98" s="5">
        <f t="shared" ref="D98:U98" si="40">+D93</f>
        <v>9555.3283800000008</v>
      </c>
      <c r="E98" s="5">
        <f t="shared" si="40"/>
        <v>10187.450103600002</v>
      </c>
      <c r="F98" s="5">
        <f t="shared" si="40"/>
        <v>10915.125110999999</v>
      </c>
      <c r="G98" s="5">
        <f t="shared" si="40"/>
        <v>12494.179877058001</v>
      </c>
      <c r="H98" s="5">
        <f t="shared" si="40"/>
        <v>14243.365059846121</v>
      </c>
      <c r="I98" s="5">
        <f t="shared" si="40"/>
        <v>14813.099662239967</v>
      </c>
      <c r="J98" s="5">
        <f t="shared" si="40"/>
        <v>15405.623648729566</v>
      </c>
      <c r="K98" s="5">
        <f t="shared" si="40"/>
        <v>16021.84859467875</v>
      </c>
      <c r="L98" s="5">
        <f t="shared" si="40"/>
        <v>16662.722538465903</v>
      </c>
      <c r="M98" s="5">
        <f t="shared" si="40"/>
        <v>18162.367566927835</v>
      </c>
      <c r="N98" s="5">
        <f t="shared" si="40"/>
        <v>19796.980647951339</v>
      </c>
      <c r="O98" s="5">
        <f t="shared" si="40"/>
        <v>21578.708906266958</v>
      </c>
      <c r="P98" s="5">
        <f t="shared" si="40"/>
        <v>23520.792707830984</v>
      </c>
      <c r="Q98" s="5">
        <f t="shared" si="40"/>
        <v>33733.768488862857</v>
      </c>
      <c r="R98" s="5">
        <f t="shared" si="40"/>
        <v>32047.080064419712</v>
      </c>
      <c r="S98" s="5">
        <f t="shared" si="40"/>
        <v>30444.726061198722</v>
      </c>
      <c r="T98" s="5">
        <f t="shared" si="40"/>
        <v>28922.489758138785</v>
      </c>
      <c r="U98" s="5">
        <f t="shared" si="40"/>
        <v>27476.365270231843</v>
      </c>
    </row>
    <row r="99" spans="1:21" x14ac:dyDescent="0.2">
      <c r="A99" s="5" t="s">
        <v>23</v>
      </c>
      <c r="B99" s="5">
        <f>-B94</f>
        <v>-2971.6</v>
      </c>
      <c r="C99" s="5">
        <f>-C94</f>
        <v>-10608.611999999999</v>
      </c>
      <c r="D99" s="5">
        <f t="shared" ref="D99:U99" si="41">-D94</f>
        <v>-10290.353640000001</v>
      </c>
      <c r="E99" s="5">
        <f t="shared" si="41"/>
        <v>-10187.450103600002</v>
      </c>
      <c r="F99" s="5">
        <f t="shared" si="41"/>
        <v>-10187.450103600002</v>
      </c>
      <c r="G99" s="5">
        <f t="shared" si="41"/>
        <v>-11024.27636211</v>
      </c>
      <c r="H99" s="5">
        <f t="shared" si="41"/>
        <v>-11244.761889352201</v>
      </c>
      <c r="I99" s="5">
        <f t="shared" si="41"/>
        <v>-11694.552364926289</v>
      </c>
      <c r="J99" s="5">
        <f t="shared" si="41"/>
        <v>-12162.334459523341</v>
      </c>
      <c r="K99" s="5">
        <f t="shared" si="41"/>
        <v>-12648.827837904277</v>
      </c>
      <c r="L99" s="5">
        <f t="shared" si="41"/>
        <v>-8769.8539676136334</v>
      </c>
      <c r="M99" s="5">
        <f t="shared" si="41"/>
        <v>-9559.1408246988613</v>
      </c>
      <c r="N99" s="5">
        <f t="shared" si="41"/>
        <v>-10419.463498921759</v>
      </c>
      <c r="O99" s="5">
        <f t="shared" si="41"/>
        <v>-11357.215213824717</v>
      </c>
      <c r="P99" s="5">
        <f t="shared" si="41"/>
        <v>-12379.36458306894</v>
      </c>
      <c r="Q99" s="5">
        <f t="shared" si="41"/>
        <v>-40480.522186635426</v>
      </c>
      <c r="R99" s="5">
        <f t="shared" si="41"/>
        <v>-38456.496077303651</v>
      </c>
      <c r="S99" s="5">
        <f t="shared" si="41"/>
        <v>-36533.671273438464</v>
      </c>
      <c r="T99" s="5">
        <f t="shared" si="41"/>
        <v>-34706.987709766538</v>
      </c>
      <c r="U99" s="5">
        <f t="shared" si="41"/>
        <v>-32971.63832427821</v>
      </c>
    </row>
    <row r="100" spans="1:21" x14ac:dyDescent="0.2">
      <c r="A100" s="5" t="s">
        <v>21</v>
      </c>
      <c r="B100" s="13">
        <f t="shared" ref="B100:U100" si="42">SUM(B97:B99)</f>
        <v>75775.799999999988</v>
      </c>
      <c r="C100" s="13">
        <f t="shared" si="42"/>
        <v>73502.525999999998</v>
      </c>
      <c r="D100" s="13">
        <f t="shared" si="42"/>
        <v>72767.500740000003</v>
      </c>
      <c r="E100" s="13">
        <f t="shared" si="42"/>
        <v>72767.500740000003</v>
      </c>
      <c r="F100" s="13">
        <f t="shared" si="42"/>
        <v>73495.175747400004</v>
      </c>
      <c r="G100" s="13">
        <f t="shared" si="42"/>
        <v>74965.079262348008</v>
      </c>
      <c r="H100" s="13">
        <f t="shared" si="42"/>
        <v>77963.682432841932</v>
      </c>
      <c r="I100" s="13">
        <f t="shared" si="42"/>
        <v>81082.22973015561</v>
      </c>
      <c r="J100" s="13">
        <f t="shared" si="42"/>
        <v>84325.518919361843</v>
      </c>
      <c r="K100" s="13">
        <f t="shared" si="42"/>
        <v>87698.539676136323</v>
      </c>
      <c r="L100" s="13">
        <f t="shared" si="42"/>
        <v>95591.408246988605</v>
      </c>
      <c r="M100" s="13">
        <f t="shared" si="42"/>
        <v>104194.63498921758</v>
      </c>
      <c r="N100" s="13">
        <f t="shared" si="42"/>
        <v>113572.15213824715</v>
      </c>
      <c r="O100" s="13">
        <f t="shared" si="42"/>
        <v>123793.64583068939</v>
      </c>
      <c r="P100" s="13">
        <f t="shared" si="42"/>
        <v>134935.07395545143</v>
      </c>
      <c r="Q100" s="13">
        <f t="shared" si="42"/>
        <v>128188.32025767885</v>
      </c>
      <c r="R100" s="13">
        <f t="shared" si="42"/>
        <v>121778.90424479489</v>
      </c>
      <c r="S100" s="13">
        <f t="shared" si="42"/>
        <v>115689.95903255514</v>
      </c>
      <c r="T100" s="13">
        <f t="shared" si="42"/>
        <v>109905.46108092737</v>
      </c>
      <c r="U100" s="13">
        <f t="shared" si="42"/>
        <v>104410.18802688102</v>
      </c>
    </row>
    <row r="101" spans="1:2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">
      <c r="A102" s="18" t="s">
        <v>13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x14ac:dyDescent="0.2">
      <c r="A103" s="5" t="s">
        <v>22</v>
      </c>
      <c r="B103" s="9">
        <f>Assumptions!C48-'New Unit Financial Profile'!B97</f>
        <v>111435</v>
      </c>
      <c r="C103" s="5">
        <f t="shared" ref="C103:U103" si="43">+B105</f>
        <v>109206.3</v>
      </c>
      <c r="D103" s="5">
        <f t="shared" si="43"/>
        <v>102520.2</v>
      </c>
      <c r="E103" s="5">
        <f t="shared" si="43"/>
        <v>95834.099999999991</v>
      </c>
      <c r="F103" s="5">
        <f t="shared" si="43"/>
        <v>89147.999999999985</v>
      </c>
      <c r="G103" s="5">
        <f t="shared" si="43"/>
        <v>82461.89999999998</v>
      </c>
      <c r="H103" s="5">
        <f t="shared" si="43"/>
        <v>74661.449999999983</v>
      </c>
      <c r="I103" s="5">
        <f t="shared" si="43"/>
        <v>66860.999999999985</v>
      </c>
      <c r="J103" s="5">
        <f t="shared" si="43"/>
        <v>59060.549999999988</v>
      </c>
      <c r="K103" s="5">
        <f t="shared" si="43"/>
        <v>51260.099999999991</v>
      </c>
      <c r="L103" s="5">
        <f t="shared" si="43"/>
        <v>43459.649999999994</v>
      </c>
      <c r="M103" s="5">
        <f t="shared" si="43"/>
        <v>35659.199999999997</v>
      </c>
      <c r="N103" s="5">
        <f t="shared" si="43"/>
        <v>26744.399999999994</v>
      </c>
      <c r="O103" s="5">
        <f t="shared" si="43"/>
        <v>16715.249999999993</v>
      </c>
      <c r="P103" s="5">
        <f t="shared" si="43"/>
        <v>5571.7499999999927</v>
      </c>
      <c r="Q103" s="5">
        <f t="shared" si="43"/>
        <v>-7.2759576141834259E-12</v>
      </c>
      <c r="R103" s="5">
        <f t="shared" si="43"/>
        <v>-7.2759576141834259E-12</v>
      </c>
      <c r="S103" s="5">
        <f t="shared" si="43"/>
        <v>-7.2759576141834259E-12</v>
      </c>
      <c r="T103" s="5">
        <f t="shared" si="43"/>
        <v>-7.2759576141834259E-12</v>
      </c>
      <c r="U103" s="5">
        <f t="shared" si="43"/>
        <v>-7.2759576141834259E-12</v>
      </c>
    </row>
    <row r="104" spans="1:21" x14ac:dyDescent="0.2">
      <c r="A104" s="5" t="s">
        <v>26</v>
      </c>
      <c r="B104" s="5">
        <f>-$B$103*B110</f>
        <v>-2228.7000000000003</v>
      </c>
      <c r="C104" s="5">
        <f t="shared" ref="C104:U104" si="44">-$B$103*C110</f>
        <v>-6686.0999999999995</v>
      </c>
      <c r="D104" s="5">
        <f t="shared" si="44"/>
        <v>-6686.0999999999995</v>
      </c>
      <c r="E104" s="5">
        <f t="shared" si="44"/>
        <v>-6686.0999999999995</v>
      </c>
      <c r="F104" s="5">
        <f t="shared" si="44"/>
        <v>-6686.0999999999995</v>
      </c>
      <c r="G104" s="5">
        <f t="shared" si="44"/>
        <v>-7800.4500000000007</v>
      </c>
      <c r="H104" s="5">
        <f t="shared" si="44"/>
        <v>-7800.4500000000007</v>
      </c>
      <c r="I104" s="5">
        <f t="shared" si="44"/>
        <v>-7800.4500000000007</v>
      </c>
      <c r="J104" s="5">
        <f t="shared" si="44"/>
        <v>-7800.4500000000007</v>
      </c>
      <c r="K104" s="5">
        <f t="shared" si="44"/>
        <v>-7800.4500000000007</v>
      </c>
      <c r="L104" s="5">
        <f t="shared" si="44"/>
        <v>-7800.4500000000007</v>
      </c>
      <c r="M104" s="5">
        <f t="shared" si="44"/>
        <v>-8914.8000000000011</v>
      </c>
      <c r="N104" s="5">
        <f t="shared" si="44"/>
        <v>-10029.15</v>
      </c>
      <c r="O104" s="5">
        <f t="shared" si="44"/>
        <v>-11143.5</v>
      </c>
      <c r="P104" s="5">
        <f t="shared" si="44"/>
        <v>-5571.75</v>
      </c>
      <c r="Q104" s="5">
        <f t="shared" si="44"/>
        <v>0</v>
      </c>
      <c r="R104" s="5">
        <f t="shared" si="44"/>
        <v>0</v>
      </c>
      <c r="S104" s="5">
        <f t="shared" si="44"/>
        <v>0</v>
      </c>
      <c r="T104" s="5">
        <f t="shared" si="44"/>
        <v>0</v>
      </c>
      <c r="U104" s="5">
        <f t="shared" si="44"/>
        <v>0</v>
      </c>
    </row>
    <row r="105" spans="1:21" x14ac:dyDescent="0.2">
      <c r="A105" s="5" t="s">
        <v>21</v>
      </c>
      <c r="B105" s="13">
        <f t="shared" ref="B105:U105" si="45">SUM(B103:B104)</f>
        <v>109206.3</v>
      </c>
      <c r="C105" s="13">
        <f t="shared" si="45"/>
        <v>102520.2</v>
      </c>
      <c r="D105" s="13">
        <f t="shared" si="45"/>
        <v>95834.099999999991</v>
      </c>
      <c r="E105" s="13">
        <f t="shared" si="45"/>
        <v>89147.999999999985</v>
      </c>
      <c r="F105" s="13">
        <f t="shared" si="45"/>
        <v>82461.89999999998</v>
      </c>
      <c r="G105" s="13">
        <f t="shared" si="45"/>
        <v>74661.449999999983</v>
      </c>
      <c r="H105" s="13">
        <f t="shared" si="45"/>
        <v>66860.999999999985</v>
      </c>
      <c r="I105" s="13">
        <f t="shared" si="45"/>
        <v>59060.549999999988</v>
      </c>
      <c r="J105" s="13">
        <f t="shared" si="45"/>
        <v>51260.099999999991</v>
      </c>
      <c r="K105" s="13">
        <f t="shared" si="45"/>
        <v>43459.649999999994</v>
      </c>
      <c r="L105" s="13">
        <f t="shared" si="45"/>
        <v>35659.199999999997</v>
      </c>
      <c r="M105" s="13">
        <f t="shared" si="45"/>
        <v>26744.399999999994</v>
      </c>
      <c r="N105" s="13">
        <f t="shared" si="45"/>
        <v>16715.249999999993</v>
      </c>
      <c r="O105" s="13">
        <f t="shared" si="45"/>
        <v>5571.7499999999927</v>
      </c>
      <c r="P105" s="13">
        <f t="shared" si="45"/>
        <v>-7.2759576141834259E-12</v>
      </c>
      <c r="Q105" s="13">
        <f t="shared" si="45"/>
        <v>-7.2759576141834259E-12</v>
      </c>
      <c r="R105" s="13">
        <f t="shared" si="45"/>
        <v>-7.2759576141834259E-12</v>
      </c>
      <c r="S105" s="13">
        <f t="shared" si="45"/>
        <v>-7.2759576141834259E-12</v>
      </c>
      <c r="T105" s="13">
        <f t="shared" si="45"/>
        <v>-7.2759576141834259E-12</v>
      </c>
      <c r="U105" s="13">
        <f t="shared" si="45"/>
        <v>-7.2759576141834259E-12</v>
      </c>
    </row>
    <row r="106" spans="1:2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">
      <c r="A107" s="5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2" t="s">
        <v>55</v>
      </c>
      <c r="B108" s="10">
        <v>0.06</v>
      </c>
      <c r="C108" s="10">
        <v>0.11</v>
      </c>
      <c r="D108" s="10">
        <v>0.13</v>
      </c>
      <c r="E108" s="10">
        <v>0.14000000000000001</v>
      </c>
      <c r="F108" s="10">
        <v>0.15</v>
      </c>
      <c r="G108" s="10">
        <v>0.17</v>
      </c>
      <c r="H108" s="10">
        <v>0.19</v>
      </c>
      <c r="I108" s="10">
        <v>0.19</v>
      </c>
      <c r="J108" s="10">
        <v>0.19</v>
      </c>
      <c r="K108" s="10">
        <v>0.19</v>
      </c>
      <c r="L108" s="10">
        <v>0.19</v>
      </c>
      <c r="M108" s="10">
        <v>0.19</v>
      </c>
      <c r="N108" s="10">
        <v>0.19</v>
      </c>
      <c r="O108" s="10">
        <v>0.19</v>
      </c>
      <c r="P108" s="10">
        <v>0.19</v>
      </c>
      <c r="Q108" s="10">
        <v>0.25</v>
      </c>
      <c r="R108" s="10">
        <v>0.25</v>
      </c>
      <c r="S108" s="10">
        <v>0.25</v>
      </c>
      <c r="T108" s="10">
        <v>0.25</v>
      </c>
      <c r="U108" s="10">
        <v>0.25</v>
      </c>
    </row>
    <row r="109" spans="1:21" x14ac:dyDescent="0.2">
      <c r="A109" s="2" t="s">
        <v>18</v>
      </c>
      <c r="B109" s="10">
        <v>0.04</v>
      </c>
      <c r="C109" s="10">
        <v>0.14000000000000001</v>
      </c>
      <c r="D109" s="10">
        <v>0.14000000000000001</v>
      </c>
      <c r="E109" s="10">
        <v>0.14000000000000001</v>
      </c>
      <c r="F109" s="10">
        <v>0.14000000000000001</v>
      </c>
      <c r="G109" s="10">
        <v>0.15</v>
      </c>
      <c r="H109" s="10">
        <v>0.15</v>
      </c>
      <c r="I109" s="10">
        <v>0.15</v>
      </c>
      <c r="J109" s="10">
        <v>0.15</v>
      </c>
      <c r="K109" s="10">
        <v>0.15</v>
      </c>
      <c r="L109" s="10">
        <v>0.1</v>
      </c>
      <c r="M109" s="10">
        <v>0.1</v>
      </c>
      <c r="N109" s="10">
        <v>0.1</v>
      </c>
      <c r="O109" s="10">
        <v>0.1</v>
      </c>
      <c r="P109" s="10">
        <v>0.1</v>
      </c>
      <c r="Q109" s="10">
        <v>0.3</v>
      </c>
      <c r="R109" s="10">
        <v>0.3</v>
      </c>
      <c r="S109" s="10">
        <v>0.3</v>
      </c>
      <c r="T109" s="10">
        <v>0.3</v>
      </c>
      <c r="U109" s="10">
        <v>0.3</v>
      </c>
    </row>
    <row r="110" spans="1:21" x14ac:dyDescent="0.2">
      <c r="A110" s="2" t="s">
        <v>25</v>
      </c>
      <c r="B110" s="10">
        <v>0.02</v>
      </c>
      <c r="C110" s="10">
        <v>0.06</v>
      </c>
      <c r="D110" s="10">
        <v>0.06</v>
      </c>
      <c r="E110" s="10">
        <v>0.06</v>
      </c>
      <c r="F110" s="10">
        <v>0.06</v>
      </c>
      <c r="G110" s="10">
        <v>7.0000000000000007E-2</v>
      </c>
      <c r="H110" s="10">
        <v>7.0000000000000007E-2</v>
      </c>
      <c r="I110" s="10">
        <v>7.0000000000000007E-2</v>
      </c>
      <c r="J110" s="10">
        <v>7.0000000000000007E-2</v>
      </c>
      <c r="K110" s="10">
        <v>7.0000000000000007E-2</v>
      </c>
      <c r="L110" s="10">
        <v>7.0000000000000007E-2</v>
      </c>
      <c r="M110" s="10">
        <v>0.08</v>
      </c>
      <c r="N110" s="10">
        <v>0.09</v>
      </c>
      <c r="O110" s="10">
        <v>0.1</v>
      </c>
      <c r="P110" s="10">
        <v>0.05</v>
      </c>
      <c r="Q110" s="10"/>
      <c r="R110" s="10"/>
      <c r="S110" s="10"/>
      <c r="T110" s="10"/>
      <c r="U110" s="10"/>
    </row>
    <row r="111" spans="1:2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5"/>
      <c r="R112" s="5"/>
      <c r="S112" s="5"/>
      <c r="T112" s="5"/>
      <c r="U112" s="5"/>
    </row>
    <row r="113" spans="1:21" x14ac:dyDescent="0.2">
      <c r="A113" s="17" t="s">
        <v>30</v>
      </c>
    </row>
    <row r="114" spans="1:21" x14ac:dyDescent="0.2">
      <c r="A114" s="12" t="s">
        <v>28</v>
      </c>
      <c r="B114" s="12">
        <f>NPV(0.14,B94:U94)-B97</f>
        <v>2873.4637848006969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spans="1:21" x14ac:dyDescent="0.2">
      <c r="A115" s="22" t="s">
        <v>27</v>
      </c>
      <c r="B115" s="15">
        <f>IRR(A116:U116,0.1)</f>
        <v>0.14488740067415362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 spans="1:21" x14ac:dyDescent="0.2">
      <c r="A116" s="27">
        <f>-B97</f>
        <v>-74290</v>
      </c>
      <c r="B116" s="27">
        <f>+B94</f>
        <v>2971.6</v>
      </c>
      <c r="C116" s="27">
        <f t="shared" ref="C116:U116" si="46">+C94</f>
        <v>10608.611999999999</v>
      </c>
      <c r="D116" s="27">
        <f t="shared" si="46"/>
        <v>10290.353640000001</v>
      </c>
      <c r="E116" s="27">
        <f t="shared" si="46"/>
        <v>10187.450103600002</v>
      </c>
      <c r="F116" s="27">
        <f t="shared" si="46"/>
        <v>10187.450103600002</v>
      </c>
      <c r="G116" s="27">
        <f t="shared" si="46"/>
        <v>11024.27636211</v>
      </c>
      <c r="H116" s="27">
        <f t="shared" si="46"/>
        <v>11244.761889352201</v>
      </c>
      <c r="I116" s="27">
        <f t="shared" si="46"/>
        <v>11694.552364926289</v>
      </c>
      <c r="J116" s="27">
        <f t="shared" si="46"/>
        <v>12162.334459523341</v>
      </c>
      <c r="K116" s="27">
        <f t="shared" si="46"/>
        <v>12648.827837904277</v>
      </c>
      <c r="L116" s="27">
        <f t="shared" si="46"/>
        <v>8769.8539676136334</v>
      </c>
      <c r="M116" s="27">
        <f t="shared" si="46"/>
        <v>9559.1408246988613</v>
      </c>
      <c r="N116" s="27">
        <f t="shared" si="46"/>
        <v>10419.463498921759</v>
      </c>
      <c r="O116" s="27">
        <f t="shared" si="46"/>
        <v>11357.215213824717</v>
      </c>
      <c r="P116" s="27">
        <f t="shared" si="46"/>
        <v>12379.36458306894</v>
      </c>
      <c r="Q116" s="27">
        <f t="shared" si="46"/>
        <v>40480.522186635426</v>
      </c>
      <c r="R116" s="27">
        <f t="shared" si="46"/>
        <v>38456.496077303651</v>
      </c>
      <c r="S116" s="27">
        <f t="shared" si="46"/>
        <v>36533.671273438464</v>
      </c>
      <c r="T116" s="27">
        <f t="shared" si="46"/>
        <v>34706.987709766538</v>
      </c>
      <c r="U116" s="27">
        <f t="shared" si="46"/>
        <v>32971.63832427821</v>
      </c>
    </row>
    <row r="117" spans="1:2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</sheetData>
  <pageMargins left="0.25" right="0.25" top="0.5" bottom="0.5" header="0.5" footer="0.25"/>
  <pageSetup scale="54" fitToHeight="2" orientation="landscape" r:id="rId1"/>
  <headerFooter alignWithMargins="0"/>
  <rowBreaks count="1" manualBreakCount="1">
    <brk id="60" max="2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9"/>
  <sheetViews>
    <sheetView workbookViewId="0"/>
  </sheetViews>
  <sheetFormatPr defaultRowHeight="12.75" x14ac:dyDescent="0.2"/>
  <cols>
    <col min="1" max="1" width="20.7109375" customWidth="1"/>
    <col min="2" max="22" width="10.7109375" customWidth="1"/>
  </cols>
  <sheetData>
    <row r="1" spans="1:22" x14ac:dyDescent="0.2">
      <c r="A1" s="41" t="s">
        <v>47</v>
      </c>
      <c r="B1" s="42"/>
      <c r="C1" s="42"/>
    </row>
    <row r="2" spans="1:22" x14ac:dyDescent="0.2">
      <c r="A2" s="41" t="s">
        <v>48</v>
      </c>
      <c r="B2" s="42"/>
      <c r="C2" s="42"/>
    </row>
    <row r="3" spans="1:22" x14ac:dyDescent="0.2">
      <c r="A3" s="26" t="s">
        <v>49</v>
      </c>
    </row>
    <row r="6" spans="1:22" s="20" customFormat="1" x14ac:dyDescent="0.2">
      <c r="B6" s="20">
        <v>2000</v>
      </c>
      <c r="C6" s="20">
        <f>+B6+1</f>
        <v>2001</v>
      </c>
      <c r="D6" s="20">
        <f>+C6+1</f>
        <v>2002</v>
      </c>
      <c r="E6" s="20">
        <f t="shared" ref="E6:V6" si="0">+D6+1</f>
        <v>2003</v>
      </c>
      <c r="F6" s="20">
        <f t="shared" si="0"/>
        <v>2004</v>
      </c>
      <c r="G6" s="20">
        <f t="shared" si="0"/>
        <v>2005</v>
      </c>
      <c r="H6" s="20">
        <f t="shared" si="0"/>
        <v>2006</v>
      </c>
      <c r="I6" s="20">
        <f t="shared" si="0"/>
        <v>2007</v>
      </c>
      <c r="J6" s="20">
        <f t="shared" si="0"/>
        <v>2008</v>
      </c>
      <c r="K6" s="20">
        <f t="shared" si="0"/>
        <v>2009</v>
      </c>
      <c r="L6" s="20">
        <f t="shared" si="0"/>
        <v>2010</v>
      </c>
      <c r="M6" s="20">
        <f t="shared" si="0"/>
        <v>2011</v>
      </c>
      <c r="N6" s="20">
        <f t="shared" si="0"/>
        <v>2012</v>
      </c>
      <c r="O6" s="20">
        <f t="shared" si="0"/>
        <v>2013</v>
      </c>
      <c r="P6" s="20">
        <f t="shared" si="0"/>
        <v>2014</v>
      </c>
      <c r="Q6" s="20">
        <f t="shared" si="0"/>
        <v>2015</v>
      </c>
      <c r="R6" s="20">
        <f t="shared" si="0"/>
        <v>2016</v>
      </c>
      <c r="S6" s="20">
        <f t="shared" si="0"/>
        <v>2017</v>
      </c>
      <c r="T6" s="20">
        <f t="shared" si="0"/>
        <v>2018</v>
      </c>
      <c r="U6" s="20">
        <f t="shared" si="0"/>
        <v>2019</v>
      </c>
      <c r="V6" s="20">
        <f t="shared" si="0"/>
        <v>2020</v>
      </c>
    </row>
    <row r="8" spans="1:22" x14ac:dyDescent="0.2">
      <c r="A8" t="s">
        <v>45</v>
      </c>
      <c r="C8" s="25">
        <v>0</v>
      </c>
      <c r="D8" s="25">
        <v>1500</v>
      </c>
      <c r="E8" s="25">
        <v>3000</v>
      </c>
      <c r="F8" s="25">
        <v>3000</v>
      </c>
      <c r="G8" s="25">
        <v>3000</v>
      </c>
    </row>
    <row r="9" spans="1:22" x14ac:dyDescent="0.2">
      <c r="A9" t="s">
        <v>46</v>
      </c>
      <c r="C9" s="25">
        <f>Assumptions!C46</f>
        <v>437</v>
      </c>
      <c r="D9" s="25">
        <f>Assumptions!C18</f>
        <v>231</v>
      </c>
      <c r="E9" s="25">
        <f>Assumptions!C32</f>
        <v>750</v>
      </c>
      <c r="F9" s="25"/>
      <c r="G9" s="25"/>
    </row>
    <row r="10" spans="1:22" x14ac:dyDescent="0.2">
      <c r="A10" t="s">
        <v>44</v>
      </c>
      <c r="B10" s="25">
        <f>3076+3771</f>
        <v>6847</v>
      </c>
      <c r="C10" s="5"/>
      <c r="D10" s="5"/>
      <c r="E10" s="5"/>
      <c r="F10" s="5"/>
      <c r="G10" s="5"/>
    </row>
    <row r="11" spans="1:22" x14ac:dyDescent="0.2">
      <c r="A11" t="s">
        <v>43</v>
      </c>
      <c r="B11" s="7">
        <f>SUM(B8:B10)</f>
        <v>6847</v>
      </c>
      <c r="C11" s="7">
        <f>+B11+SUM(C8:C10)</f>
        <v>7284</v>
      </c>
      <c r="D11" s="7">
        <f>+C11+SUM(D8:D10)</f>
        <v>9015</v>
      </c>
      <c r="E11" s="7">
        <f>+D11+SUM(E8:E10)</f>
        <v>12765</v>
      </c>
      <c r="F11" s="7">
        <f>+E11+SUM(F8:F10)</f>
        <v>15765</v>
      </c>
      <c r="G11" s="7">
        <f>+F11+SUM(G8:G10)</f>
        <v>18765</v>
      </c>
    </row>
    <row r="12" spans="1:22" ht="12" customHeight="1" x14ac:dyDescent="0.2"/>
    <row r="13" spans="1:22" ht="12" customHeight="1" x14ac:dyDescent="0.2"/>
    <row r="14" spans="1:22" x14ac:dyDescent="0.2">
      <c r="A14" s="17" t="s">
        <v>42</v>
      </c>
    </row>
    <row r="15" spans="1:22" x14ac:dyDescent="0.2">
      <c r="A15" s="32" t="s">
        <v>64</v>
      </c>
      <c r="B15" s="6">
        <v>0</v>
      </c>
      <c r="C15" s="9">
        <f>C8*300</f>
        <v>0</v>
      </c>
      <c r="D15" s="23">
        <f>+D8*Assumptions!$C$5</f>
        <v>825000</v>
      </c>
      <c r="E15" s="23">
        <f>+E8*Assumptions!$C$5</f>
        <v>1650000</v>
      </c>
      <c r="F15" s="23">
        <f>+F8*Assumptions!$C$5</f>
        <v>1650000</v>
      </c>
      <c r="G15" s="23">
        <f>+G8*Assumptions!$C$5</f>
        <v>1650000</v>
      </c>
      <c r="I15" s="6">
        <f>SUM(B15:G15)</f>
        <v>5775000</v>
      </c>
    </row>
    <row r="16" spans="1:22" x14ac:dyDescent="0.2">
      <c r="A16" s="33" t="s">
        <v>65</v>
      </c>
      <c r="B16" s="34">
        <v>0</v>
      </c>
      <c r="C16" s="35">
        <f>Assumptions!C48</f>
        <v>185725</v>
      </c>
      <c r="D16" s="36">
        <f>Assumptions!C20</f>
        <v>173250</v>
      </c>
      <c r="E16" s="36">
        <f>Assumptions!C34</f>
        <v>562500</v>
      </c>
      <c r="F16" s="36">
        <v>0</v>
      </c>
      <c r="G16" s="36">
        <v>0</v>
      </c>
      <c r="I16" s="34">
        <f>SUM(B16:G16)</f>
        <v>921475</v>
      </c>
    </row>
    <row r="17" spans="1:22" x14ac:dyDescent="0.2">
      <c r="A17" s="32" t="s">
        <v>66</v>
      </c>
      <c r="B17" s="6">
        <v>0</v>
      </c>
      <c r="C17" s="9">
        <f>C16+C15</f>
        <v>185725</v>
      </c>
      <c r="D17" s="9">
        <f>D16+D15</f>
        <v>998250</v>
      </c>
      <c r="E17" s="9">
        <f>E16+E15</f>
        <v>2212500</v>
      </c>
      <c r="F17" s="9">
        <f>F16+F15</f>
        <v>1650000</v>
      </c>
      <c r="G17" s="9">
        <f>G16+G15</f>
        <v>1650000</v>
      </c>
      <c r="I17" s="6">
        <f>SUM(B17:G17)</f>
        <v>6696475</v>
      </c>
    </row>
    <row r="18" spans="1:22" x14ac:dyDescent="0.2">
      <c r="A18" s="32"/>
      <c r="B18" s="6"/>
      <c r="C18" s="9"/>
      <c r="D18" s="23"/>
      <c r="E18" s="23"/>
      <c r="F18" s="23"/>
      <c r="G18" s="23"/>
    </row>
    <row r="19" spans="1:22" x14ac:dyDescent="0.2">
      <c r="A19" t="s">
        <v>12</v>
      </c>
      <c r="C19" s="5">
        <f>+C17*Assumptions!$C$7</f>
        <v>74290</v>
      </c>
      <c r="D19" s="5">
        <f>+D17*Assumptions!$C$7</f>
        <v>399300</v>
      </c>
      <c r="E19" s="5">
        <f>+E17*Assumptions!$C$7</f>
        <v>885000</v>
      </c>
      <c r="F19" s="5">
        <f>+F17*Assumptions!$C$7</f>
        <v>660000</v>
      </c>
      <c r="G19" s="5">
        <f>+G17*Assumptions!$C$7</f>
        <v>660000</v>
      </c>
      <c r="I19" s="6">
        <f>SUM(B19:G19)</f>
        <v>2678590</v>
      </c>
    </row>
    <row r="20" spans="1:22" x14ac:dyDescent="0.2">
      <c r="A20" t="s">
        <v>13</v>
      </c>
      <c r="C20" s="6">
        <f>+C17-C19</f>
        <v>111435</v>
      </c>
      <c r="D20" s="6">
        <f>+D17-D19</f>
        <v>598950</v>
      </c>
      <c r="E20" s="6">
        <f>+E17-E19</f>
        <v>1327500</v>
      </c>
      <c r="F20" s="6">
        <f>+F17-F19</f>
        <v>990000</v>
      </c>
      <c r="G20" s="6">
        <f>+G17-G19</f>
        <v>990000</v>
      </c>
      <c r="I20" s="34">
        <f>SUM(B20:G20)</f>
        <v>4017885</v>
      </c>
    </row>
    <row r="21" spans="1:22" x14ac:dyDescent="0.2">
      <c r="I21" s="6">
        <f>SUM(I19:I20)</f>
        <v>6696475</v>
      </c>
    </row>
    <row r="23" spans="1:22" x14ac:dyDescent="0.2">
      <c r="A23" s="17" t="s">
        <v>17</v>
      </c>
      <c r="E23" s="5"/>
      <c r="F23" s="5"/>
      <c r="G23" s="5"/>
    </row>
    <row r="24" spans="1:22" x14ac:dyDescent="0.2">
      <c r="A24" s="6" t="s">
        <v>63</v>
      </c>
      <c r="C24" s="5">
        <f>'New Unit Financial Profile'!B93</f>
        <v>4457.3999999999996</v>
      </c>
      <c r="D24" s="5">
        <f>'New Unit Financial Profile'!C93</f>
        <v>8335.3379999999979</v>
      </c>
      <c r="E24" s="5">
        <f>'New Unit Financial Profile'!D93</f>
        <v>9555.3283800000008</v>
      </c>
      <c r="F24" s="5">
        <f>'New Unit Financial Profile'!E93</f>
        <v>10187.450103600002</v>
      </c>
      <c r="G24" s="5">
        <f>'New Unit Financial Profile'!F93</f>
        <v>10915.125110999999</v>
      </c>
      <c r="H24" s="5">
        <f>'New Unit Financial Profile'!G93</f>
        <v>12494.179877058001</v>
      </c>
      <c r="I24" s="5">
        <f>'New Unit Financial Profile'!H93</f>
        <v>14243.365059846121</v>
      </c>
      <c r="J24" s="5">
        <f>'New Unit Financial Profile'!I93</f>
        <v>14813.099662239967</v>
      </c>
      <c r="K24" s="5">
        <f>'New Unit Financial Profile'!J93</f>
        <v>15405.623648729566</v>
      </c>
      <c r="L24" s="5">
        <f>'New Unit Financial Profile'!K93</f>
        <v>16021.84859467875</v>
      </c>
      <c r="M24" s="5">
        <f>'New Unit Financial Profile'!L93</f>
        <v>16662.722538465903</v>
      </c>
      <c r="N24" s="5">
        <f>'New Unit Financial Profile'!M93</f>
        <v>18162.367566927835</v>
      </c>
      <c r="O24" s="5">
        <f>'New Unit Financial Profile'!N93</f>
        <v>19796.980647951339</v>
      </c>
      <c r="P24" s="5">
        <f>'New Unit Financial Profile'!O93</f>
        <v>21578.708906266958</v>
      </c>
      <c r="Q24" s="5">
        <f>'New Unit Financial Profile'!P93</f>
        <v>23520.792707830984</v>
      </c>
      <c r="R24" s="5">
        <f>'New Unit Financial Profile'!Q93</f>
        <v>33733.768488862857</v>
      </c>
      <c r="S24" s="5">
        <f>'New Unit Financial Profile'!R93</f>
        <v>32047.080064419712</v>
      </c>
      <c r="T24" s="5">
        <f>'New Unit Financial Profile'!S93</f>
        <v>30444.726061198722</v>
      </c>
      <c r="U24" s="5">
        <f>'New Unit Financial Profile'!T93</f>
        <v>28922.489758138785</v>
      </c>
      <c r="V24" s="5">
        <f>'New Unit Financial Profile'!U93</f>
        <v>27476.365270231843</v>
      </c>
    </row>
    <row r="25" spans="1:22" x14ac:dyDescent="0.2">
      <c r="A25" s="6" t="s">
        <v>57</v>
      </c>
      <c r="C25" s="5">
        <v>0</v>
      </c>
      <c r="D25" s="5">
        <f>'New Unit Financial Profile'!B35</f>
        <v>4158</v>
      </c>
      <c r="E25" s="5">
        <f>'New Unit Financial Profile'!C35</f>
        <v>7775.46</v>
      </c>
      <c r="F25" s="5">
        <f>'New Unit Financial Profile'!D35</f>
        <v>8913.504600000002</v>
      </c>
      <c r="G25" s="5">
        <f>'New Unit Financial Profile'!E35</f>
        <v>9503.1672120000021</v>
      </c>
      <c r="H25" s="5">
        <f>'New Unit Financial Profile'!F35</f>
        <v>10181.964870000002</v>
      </c>
      <c r="I25" s="5">
        <f>'New Unit Financial Profile'!G35</f>
        <v>11654.955787860001</v>
      </c>
      <c r="J25" s="5">
        <f>'New Unit Financial Profile'!H35</f>
        <v>13286.6495981604</v>
      </c>
      <c r="K25" s="5">
        <f>'New Unit Financial Profile'!I35</f>
        <v>13818.115582086817</v>
      </c>
      <c r="L25" s="5">
        <f>'New Unit Financial Profile'!J35</f>
        <v>14370.840205370288</v>
      </c>
      <c r="M25" s="5">
        <f>'New Unit Financial Profile'!K35</f>
        <v>14945.673813585101</v>
      </c>
      <c r="N25" s="5">
        <f>'New Unit Financial Profile'!L35</f>
        <v>15543.500766128507</v>
      </c>
      <c r="O25" s="5">
        <f>'New Unit Financial Profile'!M35</f>
        <v>16942.415835080072</v>
      </c>
      <c r="P25" s="5">
        <f>'New Unit Financial Profile'!N35</f>
        <v>18467.233260237277</v>
      </c>
      <c r="Q25" s="5">
        <f>'New Unit Financial Profile'!O35</f>
        <v>20129.284253658632</v>
      </c>
      <c r="R25" s="5">
        <f>'New Unit Financial Profile'!P35</f>
        <v>21940.919836487908</v>
      </c>
      <c r="S25" s="5">
        <f>'New Unit Financial Profile'!Q35</f>
        <v>31467.898186541865</v>
      </c>
      <c r="T25" s="5">
        <f>'New Unit Financial Profile'!R35</f>
        <v>29894.503277214775</v>
      </c>
      <c r="U25" s="5">
        <f>'New Unit Financial Profile'!S35</f>
        <v>28399.778113354034</v>
      </c>
      <c r="V25" s="5">
        <f>'New Unit Financial Profile'!T35</f>
        <v>26979.789207686328</v>
      </c>
    </row>
    <row r="26" spans="1:22" x14ac:dyDescent="0.2">
      <c r="A26" s="34" t="s">
        <v>58</v>
      </c>
      <c r="B26" s="33"/>
      <c r="C26" s="44">
        <v>0</v>
      </c>
      <c r="D26" s="44">
        <v>0</v>
      </c>
      <c r="E26" s="44">
        <f>'New Unit Financial Profile'!B64</f>
        <v>13500</v>
      </c>
      <c r="F26" s="44">
        <f>'New Unit Financial Profile'!C64</f>
        <v>25245</v>
      </c>
      <c r="G26" s="44">
        <f>'New Unit Financial Profile'!D64</f>
        <v>28939.95</v>
      </c>
      <c r="H26" s="44">
        <f>'New Unit Financial Profile'!E64</f>
        <v>30854.439000000002</v>
      </c>
      <c r="I26" s="44">
        <f>'New Unit Financial Profile'!F64</f>
        <v>33058.327499999999</v>
      </c>
      <c r="J26" s="44">
        <f>'New Unit Financial Profile'!G64</f>
        <v>37840.765545000002</v>
      </c>
      <c r="K26" s="44">
        <f>'New Unit Financial Profile'!H64</f>
        <v>43138.472721300001</v>
      </c>
      <c r="L26" s="44">
        <f>'New Unit Financial Profile'!I64</f>
        <v>44864.011630151996</v>
      </c>
      <c r="M26" s="44">
        <f>'New Unit Financial Profile'!J64</f>
        <v>46658.572095358082</v>
      </c>
      <c r="N26" s="44">
        <f>'New Unit Financial Profile'!K64</f>
        <v>48524.914979172405</v>
      </c>
      <c r="O26" s="44">
        <f>'New Unit Financial Profile'!L64</f>
        <v>50465.911578339292</v>
      </c>
      <c r="P26" s="44">
        <f>'New Unit Financial Profile'!M64</f>
        <v>55007.843620389838</v>
      </c>
      <c r="Q26" s="44">
        <f>'New Unit Financial Profile'!N64</f>
        <v>59958.549546224916</v>
      </c>
      <c r="R26" s="44">
        <f>'New Unit Financial Profile'!O64</f>
        <v>65354.819005385165</v>
      </c>
      <c r="S26" s="44">
        <f>'New Unit Financial Profile'!P64</f>
        <v>71236.752715869821</v>
      </c>
      <c r="T26" s="44">
        <f>'New Unit Financial Profile'!Q64</f>
        <v>102168.5006056554</v>
      </c>
      <c r="U26" s="44">
        <f>'New Unit Financial Profile'!R64</f>
        <v>97060.075575372626</v>
      </c>
      <c r="V26" s="44">
        <f>'New Unit Financial Profile'!S64</f>
        <v>92207.071796603996</v>
      </c>
    </row>
    <row r="27" spans="1:22" x14ac:dyDescent="0.2">
      <c r="A27" s="6" t="s">
        <v>68</v>
      </c>
      <c r="C27" s="5">
        <f>SUM(C24:C26)</f>
        <v>4457.3999999999996</v>
      </c>
      <c r="D27" s="5">
        <f t="shared" ref="D27:V27" si="1">SUM(D24:D26)</f>
        <v>12493.337999999998</v>
      </c>
      <c r="E27" s="5">
        <f t="shared" si="1"/>
        <v>30830.788380000002</v>
      </c>
      <c r="F27" s="5">
        <f t="shared" si="1"/>
        <v>44345.9547036</v>
      </c>
      <c r="G27" s="5">
        <f t="shared" si="1"/>
        <v>49358.242322999999</v>
      </c>
      <c r="H27" s="5">
        <f t="shared" si="1"/>
        <v>53530.583747058001</v>
      </c>
      <c r="I27" s="5">
        <f t="shared" si="1"/>
        <v>58956.648347706119</v>
      </c>
      <c r="J27" s="5">
        <f t="shared" si="1"/>
        <v>65940.514805400366</v>
      </c>
      <c r="K27" s="5">
        <f t="shared" si="1"/>
        <v>72362.211952116384</v>
      </c>
      <c r="L27" s="5">
        <f t="shared" si="1"/>
        <v>75256.700430201032</v>
      </c>
      <c r="M27" s="5">
        <f t="shared" si="1"/>
        <v>78266.96844740909</v>
      </c>
      <c r="N27" s="5">
        <f t="shared" si="1"/>
        <v>82230.783312228741</v>
      </c>
      <c r="O27" s="5">
        <f t="shared" si="1"/>
        <v>87205.308061370699</v>
      </c>
      <c r="P27" s="5">
        <f t="shared" si="1"/>
        <v>95053.785786894063</v>
      </c>
      <c r="Q27" s="5">
        <f t="shared" si="1"/>
        <v>103608.62650771454</v>
      </c>
      <c r="R27" s="5">
        <f t="shared" si="1"/>
        <v>121029.50733073594</v>
      </c>
      <c r="S27" s="5">
        <f t="shared" si="1"/>
        <v>134751.73096683138</v>
      </c>
      <c r="T27" s="5">
        <f t="shared" si="1"/>
        <v>162507.72994406888</v>
      </c>
      <c r="U27" s="5">
        <f t="shared" si="1"/>
        <v>154382.34344686545</v>
      </c>
      <c r="V27" s="5">
        <f t="shared" si="1"/>
        <v>146663.22627452217</v>
      </c>
    </row>
    <row r="28" spans="1:22" x14ac:dyDescent="0.2">
      <c r="A28" s="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s="6" customFormat="1" x14ac:dyDescent="0.2">
      <c r="A29" s="6" t="s">
        <v>36</v>
      </c>
      <c r="C29" s="5">
        <f>+'New Unit Financial Profile'!B6*$C$8/500</f>
        <v>0</v>
      </c>
      <c r="D29" s="5">
        <f>+'New Unit Financial Profile'!C6*$C$8/500</f>
        <v>0</v>
      </c>
      <c r="E29" s="5">
        <f>+'New Unit Financial Profile'!D6*$C$8/500</f>
        <v>0</v>
      </c>
      <c r="F29" s="5">
        <f>+'New Unit Financial Profile'!E6*$C$8/500</f>
        <v>0</v>
      </c>
      <c r="G29" s="5">
        <f>+'New Unit Financial Profile'!F6*$C$8/500</f>
        <v>0</v>
      </c>
      <c r="H29" s="5">
        <f>+'New Unit Financial Profile'!G6*$C$8/500</f>
        <v>0</v>
      </c>
      <c r="I29" s="5">
        <f>+'New Unit Financial Profile'!H6*$C$8/500</f>
        <v>0</v>
      </c>
      <c r="J29" s="5">
        <f>+'New Unit Financial Profile'!I6*$C$8/500</f>
        <v>0</v>
      </c>
      <c r="K29" s="5">
        <f>+'New Unit Financial Profile'!J6*$C$8/500</f>
        <v>0</v>
      </c>
      <c r="L29" s="5">
        <f>+'New Unit Financial Profile'!K6*$C$8/500</f>
        <v>0</v>
      </c>
      <c r="M29" s="5">
        <f>+'New Unit Financial Profile'!L6*$C$8/500</f>
        <v>0</v>
      </c>
      <c r="N29" s="5">
        <f>+'New Unit Financial Profile'!M6*$C$8/500</f>
        <v>0</v>
      </c>
      <c r="O29" s="5">
        <f>+'New Unit Financial Profile'!N6*$C$8/500</f>
        <v>0</v>
      </c>
      <c r="P29" s="5">
        <f>+'New Unit Financial Profile'!O6*$C$8/500</f>
        <v>0</v>
      </c>
      <c r="Q29" s="5">
        <f>+'New Unit Financial Profile'!P6*$C$8/500</f>
        <v>0</v>
      </c>
      <c r="R29" s="5">
        <f>+'New Unit Financial Profile'!Q6*$C$8/500</f>
        <v>0</v>
      </c>
      <c r="S29" s="5">
        <f>+'New Unit Financial Profile'!R6*$C$8/500</f>
        <v>0</v>
      </c>
      <c r="T29" s="5">
        <f>+'New Unit Financial Profile'!S6*$C$8/500</f>
        <v>0</v>
      </c>
      <c r="U29" s="5">
        <f>+'New Unit Financial Profile'!T6*$C$8/500</f>
        <v>0</v>
      </c>
      <c r="V29" s="5">
        <f>+'New Unit Financial Profile'!U6*$C$8/500</f>
        <v>0</v>
      </c>
    </row>
    <row r="30" spans="1:22" s="6" customFormat="1" x14ac:dyDescent="0.2">
      <c r="A30" s="6" t="s">
        <v>37</v>
      </c>
      <c r="C30" s="6">
        <v>0</v>
      </c>
      <c r="D30" s="5">
        <f>+'New Unit Financial Profile'!B6*$D$8/500</f>
        <v>19800</v>
      </c>
      <c r="E30" s="5">
        <f>+'New Unit Financial Profile'!C6*$D$8/500</f>
        <v>37026</v>
      </c>
      <c r="F30" s="5">
        <f>+'New Unit Financial Profile'!D6*$D$8/500</f>
        <v>42445.26</v>
      </c>
      <c r="G30" s="5">
        <f>+'New Unit Financial Profile'!E6*$D$8/500</f>
        <v>45253.177200000013</v>
      </c>
      <c r="H30" s="5">
        <f>+'New Unit Financial Profile'!F6*$D$8/500</f>
        <v>48485.546999999999</v>
      </c>
      <c r="I30" s="5">
        <f>+'New Unit Financial Profile'!G6*$D$8/500</f>
        <v>55499.789466000002</v>
      </c>
      <c r="J30" s="5">
        <f>+'New Unit Financial Profile'!H6*$D$8/500</f>
        <v>63269.759991240011</v>
      </c>
      <c r="K30" s="5">
        <f>+'New Unit Financial Profile'!I6*$D$8/500</f>
        <v>65800.550390889621</v>
      </c>
      <c r="L30" s="5">
        <f>+'New Unit Financial Profile'!J6*$D$8/500</f>
        <v>68432.5724065252</v>
      </c>
      <c r="M30" s="5">
        <f>+'New Unit Financial Profile'!K6*$D$8/500</f>
        <v>71169.875302786197</v>
      </c>
      <c r="N30" s="5">
        <f>+'New Unit Financial Profile'!L6*$D$8/500</f>
        <v>74016.670314897652</v>
      </c>
      <c r="O30" s="5">
        <f>+'New Unit Financial Profile'!M6*$D$8/500</f>
        <v>80678.170643238424</v>
      </c>
      <c r="P30" s="5">
        <f>+'New Unit Financial Profile'!N6*$D$8/500</f>
        <v>87939.206001129874</v>
      </c>
      <c r="Q30" s="5">
        <f>+'New Unit Financial Profile'!O6*$D$8/500</f>
        <v>95853.734541231563</v>
      </c>
      <c r="R30" s="5">
        <f>+'New Unit Financial Profile'!P6*$D$8/500</f>
        <v>104480.5706499424</v>
      </c>
      <c r="S30" s="5">
        <f>+'New Unit Financial Profile'!Q6*$D$8/500</f>
        <v>149847.13422162793</v>
      </c>
      <c r="T30" s="5">
        <f>+'New Unit Financial Profile'!R6*$D$8/500</f>
        <v>142354.77751054653</v>
      </c>
      <c r="U30" s="5">
        <f>+'New Unit Financial Profile'!S6*$D$8/500</f>
        <v>135237.03863501921</v>
      </c>
      <c r="V30" s="5">
        <f>+'New Unit Financial Profile'!T6*$D$8/500</f>
        <v>128475.18670326826</v>
      </c>
    </row>
    <row r="31" spans="1:22" s="6" customFormat="1" x14ac:dyDescent="0.2">
      <c r="A31" s="6" t="s">
        <v>38</v>
      </c>
      <c r="C31" s="6">
        <v>0</v>
      </c>
      <c r="D31" s="6">
        <v>0</v>
      </c>
      <c r="E31" s="5">
        <f>+'New Unit Financial Profile'!B6*6</f>
        <v>39600</v>
      </c>
      <c r="F31" s="5">
        <f>+'New Unit Financial Profile'!C6*6</f>
        <v>74052</v>
      </c>
      <c r="G31" s="5">
        <f>+'New Unit Financial Profile'!D6*6</f>
        <v>84890.52</v>
      </c>
      <c r="H31" s="5">
        <f>+'New Unit Financial Profile'!E6*6</f>
        <v>90506.354400000011</v>
      </c>
      <c r="I31" s="5">
        <f>+'New Unit Financial Profile'!F6*6</f>
        <v>96971.093999999997</v>
      </c>
      <c r="J31" s="5">
        <f>+'New Unit Financial Profile'!G6*6</f>
        <v>110999.578932</v>
      </c>
      <c r="K31" s="5">
        <f>+'New Unit Financial Profile'!H6*6</f>
        <v>126539.51998248002</v>
      </c>
      <c r="L31" s="5">
        <f>+'New Unit Financial Profile'!I6*6</f>
        <v>131601.10078177924</v>
      </c>
      <c r="M31" s="5">
        <f>+'New Unit Financial Profile'!J6*6</f>
        <v>136865.1448130504</v>
      </c>
      <c r="N31" s="5">
        <f>+'New Unit Financial Profile'!K6*6</f>
        <v>142339.75060557242</v>
      </c>
      <c r="O31" s="5">
        <f>+'New Unit Financial Profile'!L6*6</f>
        <v>148033.3406297953</v>
      </c>
      <c r="P31" s="5">
        <f>+'New Unit Financial Profile'!M6*6</f>
        <v>161356.34128647685</v>
      </c>
      <c r="Q31" s="5">
        <f>+'New Unit Financial Profile'!N6*6</f>
        <v>175878.41200225975</v>
      </c>
      <c r="R31" s="5">
        <f>+'New Unit Financial Profile'!O6*6</f>
        <v>191707.46908246313</v>
      </c>
      <c r="S31" s="5">
        <f>+'New Unit Financial Profile'!P6*6</f>
        <v>208961.1412998848</v>
      </c>
      <c r="T31" s="5">
        <f>+'New Unit Financial Profile'!Q6*6</f>
        <v>299694.2684432558</v>
      </c>
      <c r="U31" s="5">
        <f>+'New Unit Financial Profile'!R6*6</f>
        <v>284709.55502109305</v>
      </c>
      <c r="V31" s="5">
        <f>+'New Unit Financial Profile'!S6*6</f>
        <v>270474.07727003843</v>
      </c>
    </row>
    <row r="32" spans="1:22" s="6" customFormat="1" x14ac:dyDescent="0.2">
      <c r="A32" s="6" t="s">
        <v>39</v>
      </c>
      <c r="C32" s="6">
        <v>0</v>
      </c>
      <c r="D32" s="6">
        <v>0</v>
      </c>
      <c r="E32" s="5">
        <v>0</v>
      </c>
      <c r="F32" s="5">
        <f>+'New Unit Financial Profile'!B6*6</f>
        <v>39600</v>
      </c>
      <c r="G32" s="5">
        <f>+'New Unit Financial Profile'!C6*6</f>
        <v>74052</v>
      </c>
      <c r="H32" s="5">
        <f>+'New Unit Financial Profile'!D6*6</f>
        <v>84890.52</v>
      </c>
      <c r="I32" s="5">
        <f>+'New Unit Financial Profile'!E6*6</f>
        <v>90506.354400000011</v>
      </c>
      <c r="J32" s="5">
        <f>+'New Unit Financial Profile'!F6*6</f>
        <v>96971.093999999997</v>
      </c>
      <c r="K32" s="5">
        <f>+'New Unit Financial Profile'!G6*6</f>
        <v>110999.578932</v>
      </c>
      <c r="L32" s="5">
        <f>+'New Unit Financial Profile'!H6*6</f>
        <v>126539.51998248002</v>
      </c>
      <c r="M32" s="5">
        <f>+'New Unit Financial Profile'!I6*6</f>
        <v>131601.10078177924</v>
      </c>
      <c r="N32" s="5">
        <f>+'New Unit Financial Profile'!J6*6</f>
        <v>136865.1448130504</v>
      </c>
      <c r="O32" s="5">
        <f>+'New Unit Financial Profile'!K6*6</f>
        <v>142339.75060557242</v>
      </c>
      <c r="P32" s="5">
        <f>+'New Unit Financial Profile'!L6*6</f>
        <v>148033.3406297953</v>
      </c>
      <c r="Q32" s="5">
        <f>+'New Unit Financial Profile'!M6*6</f>
        <v>161356.34128647685</v>
      </c>
      <c r="R32" s="5">
        <f>+'New Unit Financial Profile'!N6*6</f>
        <v>175878.41200225975</v>
      </c>
      <c r="S32" s="5">
        <f>+'New Unit Financial Profile'!O6*6</f>
        <v>191707.46908246313</v>
      </c>
      <c r="T32" s="5">
        <f>+'New Unit Financial Profile'!P6*6</f>
        <v>208961.1412998848</v>
      </c>
      <c r="U32" s="5">
        <f>+'New Unit Financial Profile'!Q6*6</f>
        <v>299694.2684432558</v>
      </c>
      <c r="V32" s="5">
        <f>+'New Unit Financial Profile'!R6*6</f>
        <v>284709.55502109305</v>
      </c>
    </row>
    <row r="33" spans="1:22" s="6" customFormat="1" x14ac:dyDescent="0.2">
      <c r="A33" s="34" t="s">
        <v>40</v>
      </c>
      <c r="B33" s="34"/>
      <c r="C33" s="34">
        <v>0</v>
      </c>
      <c r="D33" s="34">
        <v>0</v>
      </c>
      <c r="E33" s="44">
        <v>0</v>
      </c>
      <c r="F33" s="44">
        <v>0</v>
      </c>
      <c r="G33" s="44">
        <f>+'New Unit Financial Profile'!B6*6</f>
        <v>39600</v>
      </c>
      <c r="H33" s="44">
        <f>+'New Unit Financial Profile'!C6*6</f>
        <v>74052</v>
      </c>
      <c r="I33" s="44">
        <f>+'New Unit Financial Profile'!D6*6</f>
        <v>84890.52</v>
      </c>
      <c r="J33" s="44">
        <f>+'New Unit Financial Profile'!E6*6</f>
        <v>90506.354400000011</v>
      </c>
      <c r="K33" s="44">
        <f>+'New Unit Financial Profile'!F6*6</f>
        <v>96971.093999999997</v>
      </c>
      <c r="L33" s="44">
        <f>+'New Unit Financial Profile'!G6*6</f>
        <v>110999.578932</v>
      </c>
      <c r="M33" s="44">
        <f>+'New Unit Financial Profile'!H6*6</f>
        <v>126539.51998248002</v>
      </c>
      <c r="N33" s="44">
        <f>+'New Unit Financial Profile'!I6*6</f>
        <v>131601.10078177924</v>
      </c>
      <c r="O33" s="44">
        <f>+'New Unit Financial Profile'!J6*6</f>
        <v>136865.1448130504</v>
      </c>
      <c r="P33" s="44">
        <f>+'New Unit Financial Profile'!K6*6</f>
        <v>142339.75060557242</v>
      </c>
      <c r="Q33" s="44">
        <f>+'New Unit Financial Profile'!L6*6</f>
        <v>148033.3406297953</v>
      </c>
      <c r="R33" s="44">
        <f>+'New Unit Financial Profile'!M6*6</f>
        <v>161356.34128647685</v>
      </c>
      <c r="S33" s="44">
        <f>+'New Unit Financial Profile'!N6*6</f>
        <v>175878.41200225975</v>
      </c>
      <c r="T33" s="44">
        <f>+'New Unit Financial Profile'!O6*6</f>
        <v>191707.46908246313</v>
      </c>
      <c r="U33" s="44">
        <f>+'New Unit Financial Profile'!P6*6</f>
        <v>208961.1412998848</v>
      </c>
      <c r="V33" s="44">
        <f>+'New Unit Financial Profile'!Q6*6</f>
        <v>299694.2684432558</v>
      </c>
    </row>
    <row r="34" spans="1:22" s="6" customFormat="1" x14ac:dyDescent="0.2">
      <c r="A34" s="6" t="s">
        <v>69</v>
      </c>
      <c r="C34" s="6">
        <f>SUM(C29:C33)</f>
        <v>0</v>
      </c>
      <c r="D34" s="6">
        <f t="shared" ref="D34:V34" si="2">SUM(D29:D33)</f>
        <v>19800</v>
      </c>
      <c r="E34" s="6">
        <f t="shared" si="2"/>
        <v>76626</v>
      </c>
      <c r="F34" s="6">
        <f t="shared" si="2"/>
        <v>156097.26</v>
      </c>
      <c r="G34" s="6">
        <f t="shared" si="2"/>
        <v>243795.69720000002</v>
      </c>
      <c r="H34" s="6">
        <f t="shared" si="2"/>
        <v>297934.42139999999</v>
      </c>
      <c r="I34" s="6">
        <f t="shared" si="2"/>
        <v>327867.757866</v>
      </c>
      <c r="J34" s="6">
        <f t="shared" si="2"/>
        <v>361746.78732324002</v>
      </c>
      <c r="K34" s="6">
        <f t="shared" si="2"/>
        <v>400310.74330536963</v>
      </c>
      <c r="L34" s="6">
        <f t="shared" si="2"/>
        <v>437572.77210278448</v>
      </c>
      <c r="M34" s="6">
        <f t="shared" si="2"/>
        <v>466175.64088009583</v>
      </c>
      <c r="N34" s="6">
        <f t="shared" si="2"/>
        <v>484822.6665152997</v>
      </c>
      <c r="O34" s="6">
        <f t="shared" si="2"/>
        <v>507916.40669165656</v>
      </c>
      <c r="P34" s="6">
        <f t="shared" si="2"/>
        <v>539668.63852297445</v>
      </c>
      <c r="Q34" s="6">
        <f t="shared" si="2"/>
        <v>581121.82845976343</v>
      </c>
      <c r="R34" s="6">
        <f t="shared" si="2"/>
        <v>633422.79302114213</v>
      </c>
      <c r="S34" s="6">
        <f t="shared" si="2"/>
        <v>726394.15660623566</v>
      </c>
      <c r="T34" s="6">
        <f t="shared" si="2"/>
        <v>842717.65633615013</v>
      </c>
      <c r="U34" s="6">
        <f t="shared" si="2"/>
        <v>928602.00339925289</v>
      </c>
      <c r="V34" s="6">
        <f t="shared" si="2"/>
        <v>983353.08743765554</v>
      </c>
    </row>
    <row r="35" spans="1:22" s="6" customFormat="1" x14ac:dyDescent="0.2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s="6" customFormat="1" x14ac:dyDescent="0.2">
      <c r="A36" s="24" t="s">
        <v>41</v>
      </c>
      <c r="C36" s="7">
        <f>C34+C27</f>
        <v>4457.3999999999996</v>
      </c>
      <c r="D36" s="7">
        <f t="shared" ref="D36:V36" si="3">D34+D27</f>
        <v>32293.337999999996</v>
      </c>
      <c r="E36" s="7">
        <f t="shared" si="3"/>
        <v>107456.78838</v>
      </c>
      <c r="F36" s="7">
        <f t="shared" si="3"/>
        <v>200443.21470360001</v>
      </c>
      <c r="G36" s="7">
        <f t="shared" si="3"/>
        <v>293153.93952300004</v>
      </c>
      <c r="H36" s="7">
        <f t="shared" si="3"/>
        <v>351465.00514705799</v>
      </c>
      <c r="I36" s="7">
        <f t="shared" si="3"/>
        <v>386824.40621370613</v>
      </c>
      <c r="J36" s="7">
        <f t="shared" si="3"/>
        <v>427687.30212864035</v>
      </c>
      <c r="K36" s="7">
        <f t="shared" si="3"/>
        <v>472672.95525748603</v>
      </c>
      <c r="L36" s="7">
        <f t="shared" si="3"/>
        <v>512829.4725329855</v>
      </c>
      <c r="M36" s="7">
        <f t="shared" si="3"/>
        <v>544442.60932750488</v>
      </c>
      <c r="N36" s="7">
        <f t="shared" si="3"/>
        <v>567053.44982752844</v>
      </c>
      <c r="O36" s="7">
        <f t="shared" si="3"/>
        <v>595121.71475302731</v>
      </c>
      <c r="P36" s="7">
        <f t="shared" si="3"/>
        <v>634722.42430986848</v>
      </c>
      <c r="Q36" s="7">
        <f t="shared" si="3"/>
        <v>684730.45496747794</v>
      </c>
      <c r="R36" s="7">
        <f t="shared" si="3"/>
        <v>754452.30035187805</v>
      </c>
      <c r="S36" s="7">
        <f t="shared" si="3"/>
        <v>861145.8875730671</v>
      </c>
      <c r="T36" s="7">
        <f t="shared" si="3"/>
        <v>1005225.3862802191</v>
      </c>
      <c r="U36" s="7">
        <f t="shared" si="3"/>
        <v>1082984.3468461183</v>
      </c>
      <c r="V36" s="7">
        <f t="shared" si="3"/>
        <v>1130016.3137121778</v>
      </c>
    </row>
    <row r="37" spans="1:22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">
      <c r="E38" s="5"/>
      <c r="F38" s="5"/>
      <c r="G38" s="5"/>
    </row>
    <row r="39" spans="1:22" x14ac:dyDescent="0.2">
      <c r="A39" s="17" t="s">
        <v>35</v>
      </c>
    </row>
    <row r="40" spans="1:22" x14ac:dyDescent="0.2">
      <c r="A40" s="5" t="s">
        <v>63</v>
      </c>
      <c r="C40" s="5">
        <f>'New Unit Financial Profile'!B94</f>
        <v>2971.6</v>
      </c>
      <c r="D40" s="5">
        <f>'New Unit Financial Profile'!C94</f>
        <v>10608.611999999999</v>
      </c>
      <c r="E40" s="5">
        <f>'New Unit Financial Profile'!D94</f>
        <v>10290.353640000001</v>
      </c>
      <c r="F40" s="5">
        <f>'New Unit Financial Profile'!E94</f>
        <v>10187.450103600002</v>
      </c>
      <c r="G40" s="5">
        <f>'New Unit Financial Profile'!F94</f>
        <v>10187.450103600002</v>
      </c>
      <c r="H40" s="5">
        <f>'New Unit Financial Profile'!G94</f>
        <v>11024.27636211</v>
      </c>
      <c r="I40" s="5">
        <f>'New Unit Financial Profile'!H94</f>
        <v>11244.761889352201</v>
      </c>
      <c r="J40" s="5">
        <f>'New Unit Financial Profile'!I94</f>
        <v>11694.552364926289</v>
      </c>
      <c r="K40" s="5">
        <f>'New Unit Financial Profile'!J94</f>
        <v>12162.334459523341</v>
      </c>
      <c r="L40" s="5">
        <f>'New Unit Financial Profile'!K94</f>
        <v>12648.827837904277</v>
      </c>
      <c r="M40" s="5">
        <f>'New Unit Financial Profile'!L94</f>
        <v>8769.8539676136334</v>
      </c>
      <c r="N40" s="5">
        <f>'New Unit Financial Profile'!M94</f>
        <v>9559.1408246988613</v>
      </c>
      <c r="O40" s="5">
        <f>'New Unit Financial Profile'!N94</f>
        <v>10419.463498921759</v>
      </c>
      <c r="P40" s="5">
        <f>'New Unit Financial Profile'!O94</f>
        <v>11357.215213824717</v>
      </c>
      <c r="Q40" s="5">
        <f>'New Unit Financial Profile'!P94</f>
        <v>12379.36458306894</v>
      </c>
      <c r="R40" s="5">
        <f>'New Unit Financial Profile'!Q94</f>
        <v>40480.522186635426</v>
      </c>
      <c r="S40" s="5">
        <f>'New Unit Financial Profile'!R94</f>
        <v>38456.496077303651</v>
      </c>
      <c r="T40" s="5">
        <f>'New Unit Financial Profile'!S94</f>
        <v>36533.671273438464</v>
      </c>
      <c r="U40" s="5">
        <f>'New Unit Financial Profile'!T94</f>
        <v>34706.987709766538</v>
      </c>
      <c r="V40" s="5">
        <f>'New Unit Financial Profile'!U94</f>
        <v>32971.63832427821</v>
      </c>
    </row>
    <row r="41" spans="1:22" x14ac:dyDescent="0.2">
      <c r="A41" s="5" t="s">
        <v>57</v>
      </c>
      <c r="C41" s="5">
        <v>0</v>
      </c>
      <c r="D41" s="5">
        <f>'New Unit Financial Profile'!B36</f>
        <v>2772</v>
      </c>
      <c r="E41" s="5">
        <f>'New Unit Financial Profile'!C36</f>
        <v>9896.0400000000009</v>
      </c>
      <c r="F41" s="5">
        <f>'New Unit Financial Profile'!D36</f>
        <v>9599.1588000000029</v>
      </c>
      <c r="G41" s="5">
        <f>'New Unit Financial Profile'!E36</f>
        <v>9503.1672120000021</v>
      </c>
      <c r="H41" s="5">
        <f>'New Unit Financial Profile'!F36</f>
        <v>9503.1672120000021</v>
      </c>
      <c r="I41" s="5">
        <f>'New Unit Financial Profile'!G36</f>
        <v>10283.7845187</v>
      </c>
      <c r="J41" s="5">
        <f>'New Unit Financial Profile'!H36</f>
        <v>10489.460209073999</v>
      </c>
      <c r="K41" s="5">
        <f>'New Unit Financial Profile'!I36</f>
        <v>10909.03861743696</v>
      </c>
      <c r="L41" s="5">
        <f>'New Unit Financial Profile'!J36</f>
        <v>11345.400162134438</v>
      </c>
      <c r="M41" s="5">
        <f>'New Unit Financial Profile'!K36</f>
        <v>11799.216168619816</v>
      </c>
      <c r="N41" s="5">
        <f>'New Unit Financial Profile'!L36</f>
        <v>8180.789876909741</v>
      </c>
      <c r="O41" s="5">
        <f>'New Unit Financial Profile'!M36</f>
        <v>8917.0609658316171</v>
      </c>
      <c r="P41" s="5">
        <f>'New Unit Financial Profile'!N36</f>
        <v>9719.5964527564629</v>
      </c>
      <c r="Q41" s="5">
        <f>'New Unit Financial Profile'!O36</f>
        <v>10594.360133504544</v>
      </c>
      <c r="R41" s="5">
        <f>'New Unit Financial Profile'!P36</f>
        <v>11547.852545519952</v>
      </c>
      <c r="S41" s="5">
        <f>'New Unit Financial Profile'!Q36</f>
        <v>37761.477823850233</v>
      </c>
      <c r="T41" s="5">
        <f>'New Unit Financial Profile'!R36</f>
        <v>35873.403932657726</v>
      </c>
      <c r="U41" s="5">
        <f>'New Unit Financial Profile'!S36</f>
        <v>34079.733736024842</v>
      </c>
      <c r="V41" s="5">
        <f>'New Unit Financial Profile'!T36</f>
        <v>32375.747049223592</v>
      </c>
    </row>
    <row r="42" spans="1:22" x14ac:dyDescent="0.2">
      <c r="A42" s="44" t="s">
        <v>58</v>
      </c>
      <c r="B42" s="33"/>
      <c r="C42" s="44">
        <v>0</v>
      </c>
      <c r="D42" s="44">
        <v>0</v>
      </c>
      <c r="E42" s="44">
        <f>'New Unit Financial Profile'!B65</f>
        <v>9000</v>
      </c>
      <c r="F42" s="44">
        <f>'New Unit Financial Profile'!C65</f>
        <v>32130.000000000004</v>
      </c>
      <c r="G42" s="44">
        <f>'New Unit Financial Profile'!D65</f>
        <v>31166.100000000002</v>
      </c>
      <c r="H42" s="44">
        <f>'New Unit Financial Profile'!E65</f>
        <v>30854.439000000002</v>
      </c>
      <c r="I42" s="44">
        <f>'New Unit Financial Profile'!F65</f>
        <v>30854.439000000002</v>
      </c>
      <c r="J42" s="44">
        <f>'New Unit Financial Profile'!G65</f>
        <v>33388.910774999997</v>
      </c>
      <c r="K42" s="44">
        <f>'New Unit Financial Profile'!H65</f>
        <v>34056.688990499999</v>
      </c>
      <c r="L42" s="44">
        <f>'New Unit Financial Profile'!I65</f>
        <v>35418.956550119998</v>
      </c>
      <c r="M42" s="44">
        <f>'New Unit Financial Profile'!J65</f>
        <v>36835.714812124796</v>
      </c>
      <c r="N42" s="44">
        <f>'New Unit Financial Profile'!K65</f>
        <v>38309.143404609793</v>
      </c>
      <c r="O42" s="44">
        <f>'New Unit Financial Profile'!L65</f>
        <v>26561.006093862787</v>
      </c>
      <c r="P42" s="44">
        <f>'New Unit Financial Profile'!M65</f>
        <v>28951.496642310442</v>
      </c>
      <c r="Q42" s="44">
        <f>'New Unit Financial Profile'!N65</f>
        <v>31557.131340118376</v>
      </c>
      <c r="R42" s="44">
        <f>'New Unit Financial Profile'!O65</f>
        <v>34397.273160729033</v>
      </c>
      <c r="S42" s="44">
        <f>'New Unit Financial Profile'!P65</f>
        <v>37493.027745194646</v>
      </c>
      <c r="T42" s="44">
        <f>'New Unit Financial Profile'!Q65</f>
        <v>122602.20072678647</v>
      </c>
      <c r="U42" s="44">
        <f>'New Unit Financial Profile'!R65</f>
        <v>116472.09069044715</v>
      </c>
      <c r="V42" s="44">
        <f>'New Unit Financial Profile'!S65</f>
        <v>110648.48615592479</v>
      </c>
    </row>
    <row r="43" spans="1:22" x14ac:dyDescent="0.2">
      <c r="A43" s="6" t="s">
        <v>68</v>
      </c>
      <c r="C43" s="5">
        <f t="shared" ref="C43:V43" si="4">SUM(C40:C42)</f>
        <v>2971.6</v>
      </c>
      <c r="D43" s="5">
        <f t="shared" si="4"/>
        <v>13380.611999999999</v>
      </c>
      <c r="E43" s="5">
        <f t="shared" si="4"/>
        <v>29186.393640000002</v>
      </c>
      <c r="F43" s="5">
        <f t="shared" si="4"/>
        <v>51916.608903600005</v>
      </c>
      <c r="G43" s="5">
        <f t="shared" si="4"/>
        <v>50856.717315600006</v>
      </c>
      <c r="H43" s="5">
        <f t="shared" si="4"/>
        <v>51381.882574110001</v>
      </c>
      <c r="I43" s="5">
        <f t="shared" si="4"/>
        <v>52382.985408052205</v>
      </c>
      <c r="J43" s="5">
        <f t="shared" si="4"/>
        <v>55572.923349000281</v>
      </c>
      <c r="K43" s="5">
        <f t="shared" si="4"/>
        <v>57128.062067460298</v>
      </c>
      <c r="L43" s="5">
        <f t="shared" si="4"/>
        <v>59413.184550158709</v>
      </c>
      <c r="M43" s="5">
        <f t="shared" si="4"/>
        <v>57404.784948358247</v>
      </c>
      <c r="N43" s="5">
        <f t="shared" si="4"/>
        <v>56049.074106218395</v>
      </c>
      <c r="O43" s="5">
        <f t="shared" si="4"/>
        <v>45897.530558616163</v>
      </c>
      <c r="P43" s="5">
        <f t="shared" si="4"/>
        <v>50028.308308891617</v>
      </c>
      <c r="Q43" s="5">
        <f t="shared" si="4"/>
        <v>54530.85605669186</v>
      </c>
      <c r="R43" s="5">
        <f t="shared" si="4"/>
        <v>86425.647892884415</v>
      </c>
      <c r="S43" s="5">
        <f t="shared" si="4"/>
        <v>113711.00164634854</v>
      </c>
      <c r="T43" s="5">
        <f t="shared" si="4"/>
        <v>195009.27593288268</v>
      </c>
      <c r="U43" s="5">
        <f t="shared" si="4"/>
        <v>185258.81213623853</v>
      </c>
      <c r="V43" s="5">
        <f t="shared" si="4"/>
        <v>175995.8715294266</v>
      </c>
    </row>
    <row r="44" spans="1:22" x14ac:dyDescent="0.2">
      <c r="A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s="5" customFormat="1" x14ac:dyDescent="0.2">
      <c r="A45" s="5" t="s">
        <v>36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</row>
    <row r="46" spans="1:22" s="5" customFormat="1" x14ac:dyDescent="0.2">
      <c r="A46" s="5" t="s">
        <v>37</v>
      </c>
      <c r="C46" s="5">
        <v>0</v>
      </c>
      <c r="D46" s="5">
        <f>+'New Unit Financial Profile'!B7*$D$8/500</f>
        <v>13200</v>
      </c>
      <c r="E46" s="5">
        <f>+'New Unit Financial Profile'!C7*$D$8/500</f>
        <v>47124.000000000007</v>
      </c>
      <c r="F46" s="5">
        <f>+'New Unit Financial Profile'!D7*$D$8/500</f>
        <v>45710.280000000006</v>
      </c>
      <c r="G46" s="5">
        <f>+'New Unit Financial Profile'!E7*$D$8/500</f>
        <v>45253.177200000013</v>
      </c>
      <c r="H46" s="5">
        <f>+'New Unit Financial Profile'!F7*$D$8/500</f>
        <v>45253.177200000013</v>
      </c>
      <c r="I46" s="5">
        <f>+'New Unit Financial Profile'!G7*$D$8/500</f>
        <v>48970.402470000008</v>
      </c>
      <c r="J46" s="5">
        <f>+'New Unit Financial Profile'!H7*$D$8/500</f>
        <v>49949.810519400002</v>
      </c>
      <c r="K46" s="5">
        <f>+'New Unit Financial Profile'!I7*$D$8/500</f>
        <v>51947.802940176</v>
      </c>
      <c r="L46" s="5">
        <f>+'New Unit Financial Profile'!J7*$D$8/500</f>
        <v>54025.715057783054</v>
      </c>
      <c r="M46" s="5">
        <f>+'New Unit Financial Profile'!K7*$D$8/500</f>
        <v>56186.743660094377</v>
      </c>
      <c r="N46" s="5">
        <f>+'New Unit Financial Profile'!L7*$D$8/500</f>
        <v>38956.14227099876</v>
      </c>
      <c r="O46" s="5">
        <f>+'New Unit Financial Profile'!M7*$D$8/500</f>
        <v>42462.195075388649</v>
      </c>
      <c r="P46" s="5">
        <f>+'New Unit Financial Profile'!N7*$D$8/500</f>
        <v>46283.792632173616</v>
      </c>
      <c r="Q46" s="5">
        <f>+'New Unit Financial Profile'!O7*$D$8/500</f>
        <v>50449.333969069237</v>
      </c>
      <c r="R46" s="5">
        <f>+'New Unit Financial Profile'!P7*$D$8/500</f>
        <v>54989.774026285471</v>
      </c>
      <c r="S46" s="5">
        <f>+'New Unit Financial Profile'!Q7*$D$8/500</f>
        <v>179816.56106595349</v>
      </c>
      <c r="T46" s="5">
        <f>+'New Unit Financial Profile'!R7*$D$8/500</f>
        <v>170825.73301265584</v>
      </c>
      <c r="U46" s="5">
        <f>+'New Unit Financial Profile'!S7*$D$8/500</f>
        <v>162284.44636202307</v>
      </c>
      <c r="V46" s="5">
        <f>+'New Unit Financial Profile'!T7*$D$8/500</f>
        <v>154170.22404392189</v>
      </c>
    </row>
    <row r="47" spans="1:22" s="5" customFormat="1" x14ac:dyDescent="0.2">
      <c r="A47" s="5" t="s">
        <v>38</v>
      </c>
      <c r="C47" s="5">
        <v>0</v>
      </c>
      <c r="D47" s="5">
        <v>0</v>
      </c>
      <c r="E47" s="5">
        <f>+'New Unit Financial Profile'!B7*6</f>
        <v>26400</v>
      </c>
      <c r="F47" s="5">
        <f>+'New Unit Financial Profile'!C7*6</f>
        <v>94248.000000000015</v>
      </c>
      <c r="G47" s="5">
        <f>+'New Unit Financial Profile'!D7*6</f>
        <v>91420.560000000012</v>
      </c>
      <c r="H47" s="5">
        <f>+'New Unit Financial Profile'!E7*6</f>
        <v>90506.354400000011</v>
      </c>
      <c r="I47" s="5">
        <f>+'New Unit Financial Profile'!F7*6</f>
        <v>90506.354400000011</v>
      </c>
      <c r="J47" s="5">
        <f>+'New Unit Financial Profile'!G7*6</f>
        <v>97940.804940000002</v>
      </c>
      <c r="K47" s="5">
        <f>+'New Unit Financial Profile'!H7*6</f>
        <v>99899.621038800004</v>
      </c>
      <c r="L47" s="5">
        <f>+'New Unit Financial Profile'!I7*6</f>
        <v>103895.605880352</v>
      </c>
      <c r="M47" s="5">
        <f>+'New Unit Financial Profile'!J7*6</f>
        <v>108051.43011556609</v>
      </c>
      <c r="N47" s="5">
        <f>+'New Unit Financial Profile'!K7*6</f>
        <v>112373.48732018874</v>
      </c>
      <c r="O47" s="5">
        <f>+'New Unit Financial Profile'!L7*6</f>
        <v>77912.284541997535</v>
      </c>
      <c r="P47" s="5">
        <f>+'New Unit Financial Profile'!M7*6</f>
        <v>84924.390150777297</v>
      </c>
      <c r="Q47" s="5">
        <f>+'New Unit Financial Profile'!N7*6</f>
        <v>92567.585264347232</v>
      </c>
      <c r="R47" s="5">
        <f>+'New Unit Financial Profile'!O7*6</f>
        <v>100898.66793813847</v>
      </c>
      <c r="S47" s="5">
        <f>+'New Unit Financial Profile'!P7*6</f>
        <v>109979.54805257094</v>
      </c>
      <c r="T47" s="5">
        <f>+'New Unit Financial Profile'!Q7*6</f>
        <v>359633.12213190697</v>
      </c>
      <c r="U47" s="5">
        <f>+'New Unit Financial Profile'!R7*6</f>
        <v>341651.46602531162</v>
      </c>
      <c r="V47" s="5">
        <f>+'New Unit Financial Profile'!S7*6</f>
        <v>324568.89272404613</v>
      </c>
    </row>
    <row r="48" spans="1:22" s="5" customFormat="1" x14ac:dyDescent="0.2">
      <c r="A48" s="5" t="s">
        <v>39</v>
      </c>
      <c r="C48" s="5">
        <v>0</v>
      </c>
      <c r="D48" s="5">
        <v>0</v>
      </c>
      <c r="E48" s="5">
        <v>0</v>
      </c>
      <c r="F48" s="5">
        <f>+'New Unit Financial Profile'!B7*6</f>
        <v>26400</v>
      </c>
      <c r="G48" s="5">
        <f>+'New Unit Financial Profile'!C7*6</f>
        <v>94248.000000000015</v>
      </c>
      <c r="H48" s="5">
        <f>+'New Unit Financial Profile'!D7*6</f>
        <v>91420.560000000012</v>
      </c>
      <c r="I48" s="5">
        <f>+'New Unit Financial Profile'!E7*6</f>
        <v>90506.354400000011</v>
      </c>
      <c r="J48" s="5">
        <f>+'New Unit Financial Profile'!F7*6</f>
        <v>90506.354400000011</v>
      </c>
      <c r="K48" s="5">
        <f>+'New Unit Financial Profile'!G7*6</f>
        <v>97940.804940000002</v>
      </c>
      <c r="L48" s="5">
        <f>+'New Unit Financial Profile'!H7*6</f>
        <v>99899.621038800004</v>
      </c>
      <c r="M48" s="5">
        <f>+'New Unit Financial Profile'!I7*6</f>
        <v>103895.605880352</v>
      </c>
      <c r="N48" s="5">
        <f>+'New Unit Financial Profile'!J7*6</f>
        <v>108051.43011556609</v>
      </c>
      <c r="O48" s="5">
        <f>+'New Unit Financial Profile'!K7*6</f>
        <v>112373.48732018874</v>
      </c>
      <c r="P48" s="5">
        <f>+'New Unit Financial Profile'!L7*6</f>
        <v>77912.284541997535</v>
      </c>
      <c r="Q48" s="5">
        <f>+'New Unit Financial Profile'!M7*6</f>
        <v>84924.390150777297</v>
      </c>
      <c r="R48" s="5">
        <f>+'New Unit Financial Profile'!N7*6</f>
        <v>92567.585264347232</v>
      </c>
      <c r="S48" s="5">
        <f>+'New Unit Financial Profile'!O7*6</f>
        <v>100898.66793813847</v>
      </c>
      <c r="T48" s="5">
        <f>+'New Unit Financial Profile'!P7*6</f>
        <v>109979.54805257094</v>
      </c>
      <c r="U48" s="5">
        <f>+'New Unit Financial Profile'!Q7*6</f>
        <v>359633.12213190697</v>
      </c>
      <c r="V48" s="5">
        <f>+'New Unit Financial Profile'!R7*6</f>
        <v>341651.46602531162</v>
      </c>
    </row>
    <row r="49" spans="1:22" s="5" customFormat="1" x14ac:dyDescent="0.2">
      <c r="A49" s="44" t="s">
        <v>40</v>
      </c>
      <c r="B49" s="44"/>
      <c r="C49" s="44">
        <v>0</v>
      </c>
      <c r="D49" s="44">
        <v>0</v>
      </c>
      <c r="E49" s="44">
        <v>0</v>
      </c>
      <c r="F49" s="44"/>
      <c r="G49" s="44">
        <f>+'New Unit Financial Profile'!B7*6</f>
        <v>26400</v>
      </c>
      <c r="H49" s="44">
        <f>+'New Unit Financial Profile'!C7*6</f>
        <v>94248.000000000015</v>
      </c>
      <c r="I49" s="44">
        <f>+'New Unit Financial Profile'!D7*6</f>
        <v>91420.560000000012</v>
      </c>
      <c r="J49" s="44">
        <f>+'New Unit Financial Profile'!E7*6</f>
        <v>90506.354400000011</v>
      </c>
      <c r="K49" s="44">
        <f>+'New Unit Financial Profile'!F7*6</f>
        <v>90506.354400000011</v>
      </c>
      <c r="L49" s="44">
        <f>+'New Unit Financial Profile'!G7*6</f>
        <v>97940.804940000002</v>
      </c>
      <c r="M49" s="44">
        <f>+'New Unit Financial Profile'!H7*6</f>
        <v>99899.621038800004</v>
      </c>
      <c r="N49" s="44">
        <f>+'New Unit Financial Profile'!I7*6</f>
        <v>103895.605880352</v>
      </c>
      <c r="O49" s="44">
        <f>+'New Unit Financial Profile'!J7*6</f>
        <v>108051.43011556609</v>
      </c>
      <c r="P49" s="44">
        <f>+'New Unit Financial Profile'!K7*6</f>
        <v>112373.48732018874</v>
      </c>
      <c r="Q49" s="44">
        <f>+'New Unit Financial Profile'!L7*6</f>
        <v>77912.284541997535</v>
      </c>
      <c r="R49" s="44">
        <f>+'New Unit Financial Profile'!M7*6</f>
        <v>84924.390150777297</v>
      </c>
      <c r="S49" s="44">
        <f>+'New Unit Financial Profile'!N7*6</f>
        <v>92567.585264347232</v>
      </c>
      <c r="T49" s="44">
        <f>+'New Unit Financial Profile'!O7*6</f>
        <v>100898.66793813847</v>
      </c>
      <c r="U49" s="44">
        <f>+'New Unit Financial Profile'!P7*6</f>
        <v>109979.54805257094</v>
      </c>
      <c r="V49" s="44">
        <f>+'New Unit Financial Profile'!Q7*6</f>
        <v>359633.12213190697</v>
      </c>
    </row>
    <row r="50" spans="1:22" s="5" customFormat="1" x14ac:dyDescent="0.2">
      <c r="A50" s="6" t="s">
        <v>69</v>
      </c>
      <c r="B50" s="6"/>
      <c r="C50" s="6">
        <f t="shared" ref="C50:V50" si="5">SUM(C45:C49)</f>
        <v>0</v>
      </c>
      <c r="D50" s="6">
        <f t="shared" si="5"/>
        <v>13200</v>
      </c>
      <c r="E50" s="6">
        <f t="shared" si="5"/>
        <v>73524</v>
      </c>
      <c r="F50" s="6">
        <f t="shared" si="5"/>
        <v>166358.28000000003</v>
      </c>
      <c r="G50" s="6">
        <f t="shared" si="5"/>
        <v>257321.73720000003</v>
      </c>
      <c r="H50" s="6">
        <f t="shared" si="5"/>
        <v>321428.09160000004</v>
      </c>
      <c r="I50" s="6">
        <f t="shared" si="5"/>
        <v>321403.67127000005</v>
      </c>
      <c r="J50" s="6">
        <f t="shared" si="5"/>
        <v>328903.32425940002</v>
      </c>
      <c r="K50" s="6">
        <f t="shared" si="5"/>
        <v>340294.58331897599</v>
      </c>
      <c r="L50" s="6">
        <f t="shared" si="5"/>
        <v>355761.74691693508</v>
      </c>
      <c r="M50" s="6">
        <f t="shared" si="5"/>
        <v>368033.40069481242</v>
      </c>
      <c r="N50" s="6">
        <f t="shared" si="5"/>
        <v>363276.66558710556</v>
      </c>
      <c r="O50" s="6">
        <f t="shared" si="5"/>
        <v>340799.39705314103</v>
      </c>
      <c r="P50" s="6">
        <f t="shared" si="5"/>
        <v>321493.95464513719</v>
      </c>
      <c r="Q50" s="6">
        <f t="shared" si="5"/>
        <v>305853.59392619133</v>
      </c>
      <c r="R50" s="6">
        <f t="shared" si="5"/>
        <v>333380.41737954848</v>
      </c>
      <c r="S50" s="6">
        <f t="shared" si="5"/>
        <v>483262.36232101009</v>
      </c>
      <c r="T50" s="6">
        <f t="shared" si="5"/>
        <v>741337.07113527216</v>
      </c>
      <c r="U50" s="6">
        <f t="shared" si="5"/>
        <v>973548.58257181256</v>
      </c>
      <c r="V50" s="6">
        <f t="shared" si="5"/>
        <v>1180023.7049251867</v>
      </c>
    </row>
    <row r="51" spans="1:22" s="5" customFormat="1" x14ac:dyDescent="0.2"/>
    <row r="52" spans="1:22" s="5" customFormat="1" x14ac:dyDescent="0.2">
      <c r="A52" s="19" t="s">
        <v>41</v>
      </c>
      <c r="C52" s="13">
        <f>C50+C43</f>
        <v>2971.6</v>
      </c>
      <c r="D52" s="13">
        <f t="shared" ref="D52:V52" si="6">D50+D43</f>
        <v>26580.612000000001</v>
      </c>
      <c r="E52" s="13">
        <f t="shared" si="6"/>
        <v>102710.39363999999</v>
      </c>
      <c r="F52" s="13">
        <f t="shared" si="6"/>
        <v>218274.88890360005</v>
      </c>
      <c r="G52" s="13">
        <f t="shared" si="6"/>
        <v>308178.45451560005</v>
      </c>
      <c r="H52" s="13">
        <f t="shared" si="6"/>
        <v>372809.97417411004</v>
      </c>
      <c r="I52" s="13">
        <f t="shared" si="6"/>
        <v>373786.65667805227</v>
      </c>
      <c r="J52" s="13">
        <f t="shared" si="6"/>
        <v>384476.2476084003</v>
      </c>
      <c r="K52" s="13">
        <f t="shared" si="6"/>
        <v>397422.64538643626</v>
      </c>
      <c r="L52" s="13">
        <f t="shared" si="6"/>
        <v>415174.93146709376</v>
      </c>
      <c r="M52" s="13">
        <f t="shared" si="6"/>
        <v>425438.18564317067</v>
      </c>
      <c r="N52" s="13">
        <f t="shared" si="6"/>
        <v>419325.73969332397</v>
      </c>
      <c r="O52" s="13">
        <f t="shared" si="6"/>
        <v>386696.92761175719</v>
      </c>
      <c r="P52" s="13">
        <f t="shared" si="6"/>
        <v>371522.26295402879</v>
      </c>
      <c r="Q52" s="13">
        <f t="shared" si="6"/>
        <v>360384.44998288318</v>
      </c>
      <c r="R52" s="13">
        <f t="shared" si="6"/>
        <v>419806.06527243287</v>
      </c>
      <c r="S52" s="13">
        <f t="shared" si="6"/>
        <v>596973.3639673586</v>
      </c>
      <c r="T52" s="13">
        <f t="shared" si="6"/>
        <v>936346.34706815484</v>
      </c>
      <c r="U52" s="13">
        <f t="shared" si="6"/>
        <v>1158807.3947080511</v>
      </c>
      <c r="V52" s="13">
        <f t="shared" si="6"/>
        <v>1356019.5764546134</v>
      </c>
    </row>
    <row r="53" spans="1:22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5" spans="1:22" x14ac:dyDescent="0.2">
      <c r="A55" t="s">
        <v>50</v>
      </c>
    </row>
    <row r="56" spans="1:22" x14ac:dyDescent="0.2">
      <c r="A56" t="s">
        <v>51</v>
      </c>
    </row>
    <row r="57" spans="1:22" x14ac:dyDescent="0.2">
      <c r="A57" t="s">
        <v>52</v>
      </c>
    </row>
    <row r="58" spans="1:22" x14ac:dyDescent="0.2">
      <c r="A58" t="s">
        <v>53</v>
      </c>
    </row>
    <row r="59" spans="1:22" x14ac:dyDescent="0.2">
      <c r="A59" t="s">
        <v>54</v>
      </c>
    </row>
  </sheetData>
  <pageMargins left="0.25" right="0.25" top="0.5" bottom="0.5" header="0.5" footer="0.2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Assumptions</vt:lpstr>
      <vt:lpstr>New Unit Financial Profile</vt:lpstr>
      <vt:lpstr>Summary</vt:lpstr>
      <vt:lpstr>Assumptions!Print_Area</vt:lpstr>
      <vt:lpstr>'New Unit Financial Profile'!Print_Area</vt:lpstr>
      <vt:lpstr>Summary!Print_Area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WDISPATCH</dc:creator>
  <cp:lastModifiedBy>Felienne</cp:lastModifiedBy>
  <cp:lastPrinted>2000-06-29T23:34:51Z</cp:lastPrinted>
  <dcterms:created xsi:type="dcterms:W3CDTF">2000-06-27T23:36:00Z</dcterms:created>
  <dcterms:modified xsi:type="dcterms:W3CDTF">2014-09-03T11:01:53Z</dcterms:modified>
</cp:coreProperties>
</file>