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" yWindow="-45" windowWidth="7815" windowHeight="8745" tabRatio="842" firstSheet="1" activeTab="1"/>
  </bookViews>
  <sheets>
    <sheet name="6.5% - Swap" sheetId="4" state="hidden" r:id="rId1"/>
    <sheet name="Brownsville" sheetId="5" r:id="rId2"/>
    <sheet name="Caledonia" sheetId="7" r:id="rId3"/>
    <sheet name="New Albany" sheetId="8" r:id="rId4"/>
    <sheet name="Draw Summary" sheetId="9" r:id="rId5"/>
  </sheets>
  <externalReferences>
    <externalReference r:id="rId6"/>
  </externalReferences>
  <definedNames>
    <definedName name="_xlnm.Print_Area" localSheetId="1">Brownsville!$A$1:$Q$62</definedName>
    <definedName name="_xlnm.Print_Area" localSheetId="2">Caledonia!$A$1:$Q$63</definedName>
    <definedName name="_xlnm.Print_Area" localSheetId="4">'Draw Summary'!$A$1:$G$62</definedName>
    <definedName name="_xlnm.Print_Area" localSheetId="3">'New Albany'!$A$1:$Q$71</definedName>
  </definedNames>
  <calcPr calcId="152511"/>
</workbook>
</file>

<file path=xl/calcChain.xml><?xml version="1.0" encoding="utf-8"?>
<calcChain xmlns="http://schemas.openxmlformats.org/spreadsheetml/2006/main">
  <c r="V2" i="4" l="1"/>
  <c r="V3" i="4"/>
  <c r="F9" i="4"/>
  <c r="O9" i="4"/>
  <c r="V9" i="4"/>
  <c r="V10" i="4"/>
  <c r="W10" i="4"/>
  <c r="W11" i="4" s="1"/>
  <c r="W12" i="4" s="1"/>
  <c r="W14" i="4" s="1"/>
  <c r="W31" i="4" s="1"/>
  <c r="V11" i="4"/>
  <c r="V12" i="4"/>
  <c r="V13" i="4"/>
  <c r="V14" i="4"/>
  <c r="V15" i="4"/>
  <c r="V16" i="4"/>
  <c r="W16" i="4"/>
  <c r="W18" i="4" s="1"/>
  <c r="W20" i="4" s="1"/>
  <c r="W21" i="4" s="1"/>
  <c r="W22" i="4" s="1"/>
  <c r="W23" i="4" s="1"/>
  <c r="W24" i="4" s="1"/>
  <c r="V17" i="4"/>
  <c r="V18" i="4"/>
  <c r="V19" i="4"/>
  <c r="W19" i="4"/>
  <c r="V20" i="4"/>
  <c r="V21" i="4"/>
  <c r="V22" i="4"/>
  <c r="V23" i="4"/>
  <c r="V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30" i="4"/>
  <c r="C32" i="4"/>
  <c r="D32" i="4"/>
  <c r="C33" i="4"/>
  <c r="V40" i="4"/>
  <c r="W40" i="4"/>
  <c r="W29" i="4" s="1"/>
  <c r="V46" i="4"/>
  <c r="V47" i="4"/>
  <c r="V48" i="4"/>
  <c r="P49" i="4"/>
  <c r="Q49" i="4"/>
  <c r="R49" i="4"/>
  <c r="V50" i="4"/>
  <c r="V51" i="4"/>
  <c r="V52" i="4"/>
  <c r="V53" i="4"/>
  <c r="W53" i="4"/>
  <c r="W54" i="4" s="1"/>
  <c r="V54" i="4"/>
  <c r="V55" i="4"/>
  <c r="V56" i="4"/>
  <c r="W56" i="4"/>
  <c r="W59" i="4" s="1"/>
  <c r="W60" i="4" s="1"/>
  <c r="W61" i="4" s="1"/>
  <c r="V57" i="4"/>
  <c r="W57" i="4"/>
  <c r="V58" i="4"/>
  <c r="V59" i="4"/>
  <c r="V60" i="4"/>
  <c r="V61" i="4"/>
  <c r="V62" i="4"/>
  <c r="W62" i="4"/>
  <c r="W63" i="4" s="1"/>
  <c r="V63" i="4"/>
  <c r="C64" i="4"/>
  <c r="D64" i="4"/>
  <c r="D74" i="4" s="1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C65" i="4"/>
  <c r="D65" i="4" s="1"/>
  <c r="W68" i="4"/>
  <c r="V69" i="4"/>
  <c r="W70" i="4"/>
  <c r="C71" i="4"/>
  <c r="D71" i="4"/>
  <c r="C72" i="4"/>
  <c r="D72" i="4" s="1"/>
  <c r="C74" i="4"/>
  <c r="V79" i="4"/>
  <c r="W79" i="4"/>
  <c r="D81" i="4"/>
  <c r="V85" i="4"/>
  <c r="V86" i="4"/>
  <c r="L87" i="4"/>
  <c r="M87" i="4"/>
  <c r="M101" i="4" s="1"/>
  <c r="N87" i="4"/>
  <c r="O87" i="4"/>
  <c r="O101" i="4" s="1"/>
  <c r="P87" i="4"/>
  <c r="Q87" i="4"/>
  <c r="R87" i="4"/>
  <c r="R101" i="4" s="1"/>
  <c r="S87" i="4"/>
  <c r="S101" i="4" s="1"/>
  <c r="V88" i="4"/>
  <c r="V89" i="4"/>
  <c r="W89" i="4"/>
  <c r="V90" i="4"/>
  <c r="V91" i="4"/>
  <c r="W91" i="4"/>
  <c r="W93" i="4" s="1"/>
  <c r="V92" i="4"/>
  <c r="V93" i="4"/>
  <c r="V94" i="4"/>
  <c r="W94" i="4"/>
  <c r="V95" i="4"/>
  <c r="V96" i="4"/>
  <c r="W96" i="4"/>
  <c r="W97" i="4" s="1"/>
  <c r="V97" i="4"/>
  <c r="V98" i="4"/>
  <c r="V99" i="4"/>
  <c r="O100" i="4"/>
  <c r="V100" i="4"/>
  <c r="W100" i="4"/>
  <c r="C101" i="4"/>
  <c r="D101" i="4"/>
  <c r="D111" i="4" s="1"/>
  <c r="D118" i="4" s="1"/>
  <c r="E101" i="4"/>
  <c r="F101" i="4"/>
  <c r="G101" i="4"/>
  <c r="H101" i="4"/>
  <c r="I101" i="4"/>
  <c r="J101" i="4"/>
  <c r="K101" i="4"/>
  <c r="L101" i="4"/>
  <c r="N101" i="4"/>
  <c r="P101" i="4"/>
  <c r="T101" i="4"/>
  <c r="U101" i="4"/>
  <c r="V106" i="4"/>
  <c r="W107" i="4"/>
  <c r="C108" i="4"/>
  <c r="D108" i="4"/>
  <c r="V116" i="4"/>
  <c r="W116" i="4"/>
  <c r="W105" i="4" s="1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Q2" i="5"/>
  <c r="Q3" i="5"/>
  <c r="Q10" i="5"/>
  <c r="R10" i="5"/>
  <c r="Q11" i="5"/>
  <c r="R11" i="5"/>
  <c r="S11" i="5"/>
  <c r="N12" i="5"/>
  <c r="Q12" i="5" s="1"/>
  <c r="R12" i="5"/>
  <c r="Q13" i="5"/>
  <c r="S13" i="5" s="1"/>
  <c r="R13" i="5"/>
  <c r="M14" i="5"/>
  <c r="Q14" i="5"/>
  <c r="R14" i="5"/>
  <c r="S14" i="5"/>
  <c r="M15" i="5"/>
  <c r="Q15" i="5" s="1"/>
  <c r="S15" i="5" s="1"/>
  <c r="R15" i="5"/>
  <c r="Q16" i="5"/>
  <c r="R16" i="5"/>
  <c r="S16" i="5"/>
  <c r="Q17" i="5"/>
  <c r="R17" i="5"/>
  <c r="S17" i="5"/>
  <c r="Q18" i="5"/>
  <c r="R18" i="5"/>
  <c r="S18" i="5"/>
  <c r="G19" i="5"/>
  <c r="Q19" i="5"/>
  <c r="R19" i="5"/>
  <c r="S19" i="5"/>
  <c r="Q20" i="5"/>
  <c r="S20" i="5" s="1"/>
  <c r="R20" i="5"/>
  <c r="Q21" i="5"/>
  <c r="R21" i="5"/>
  <c r="S21" i="5" s="1"/>
  <c r="C22" i="5"/>
  <c r="Q22" i="5"/>
  <c r="R22" i="5"/>
  <c r="S22" i="5" s="1"/>
  <c r="Q23" i="5"/>
  <c r="S23" i="5" s="1"/>
  <c r="R23" i="5"/>
  <c r="G24" i="5"/>
  <c r="Q24" i="5"/>
  <c r="S24" i="5" s="1"/>
  <c r="R24" i="5"/>
  <c r="E25" i="5"/>
  <c r="G25" i="5"/>
  <c r="Q25" i="5" s="1"/>
  <c r="M25" i="5"/>
  <c r="R25" i="5"/>
  <c r="S25" i="5" s="1"/>
  <c r="C26" i="5"/>
  <c r="Q26" i="5" s="1"/>
  <c r="S26" i="5" s="1"/>
  <c r="E26" i="5"/>
  <c r="E28" i="5" s="1"/>
  <c r="H26" i="5"/>
  <c r="R26" i="5"/>
  <c r="K27" i="5"/>
  <c r="Q47" i="5" s="1"/>
  <c r="Q27" i="5"/>
  <c r="C28" i="5"/>
  <c r="D28" i="5"/>
  <c r="F28" i="5"/>
  <c r="H28" i="5"/>
  <c r="I28" i="5"/>
  <c r="J28" i="5"/>
  <c r="K28" i="5"/>
  <c r="L28" i="5"/>
  <c r="L41" i="5" s="1"/>
  <c r="L47" i="5" s="1"/>
  <c r="O28" i="5"/>
  <c r="P28" i="5"/>
  <c r="C32" i="5"/>
  <c r="C38" i="5" s="1"/>
  <c r="D32" i="5"/>
  <c r="I32" i="5"/>
  <c r="I38" i="5" s="1"/>
  <c r="R32" i="5"/>
  <c r="G33" i="5"/>
  <c r="Q33" i="5" s="1"/>
  <c r="R33" i="5"/>
  <c r="Q34" i="5"/>
  <c r="R34" i="5"/>
  <c r="S34" i="5" s="1"/>
  <c r="G35" i="5"/>
  <c r="O35" i="5"/>
  <c r="O38" i="5" s="1"/>
  <c r="R35" i="5"/>
  <c r="Q36" i="5"/>
  <c r="R36" i="5"/>
  <c r="S36" i="5"/>
  <c r="Q37" i="5"/>
  <c r="D38" i="5"/>
  <c r="H38" i="5"/>
  <c r="J38" i="5"/>
  <c r="K38" i="5"/>
  <c r="L38" i="5"/>
  <c r="M38" i="5"/>
  <c r="N38" i="5"/>
  <c r="P38" i="5"/>
  <c r="D41" i="5"/>
  <c r="D52" i="5" s="1"/>
  <c r="H41" i="5"/>
  <c r="K41" i="5"/>
  <c r="P41" i="5"/>
  <c r="Q41" i="5"/>
  <c r="Q43" i="5"/>
  <c r="Q45" i="5"/>
  <c r="S45" i="5"/>
  <c r="C48" i="5"/>
  <c r="D48" i="5"/>
  <c r="D49" i="5" s="1"/>
  <c r="E48" i="5"/>
  <c r="F48" i="5"/>
  <c r="C49" i="5"/>
  <c r="I49" i="5"/>
  <c r="J49" i="5"/>
  <c r="K49" i="5"/>
  <c r="R55" i="5"/>
  <c r="D62" i="5"/>
  <c r="D62" i="7" s="1"/>
  <c r="D2" i="7"/>
  <c r="Q2" i="7"/>
  <c r="Q3" i="7"/>
  <c r="N10" i="7"/>
  <c r="P10" i="7"/>
  <c r="R10" i="7"/>
  <c r="Q11" i="7"/>
  <c r="R11" i="7"/>
  <c r="Q12" i="7"/>
  <c r="R12" i="7"/>
  <c r="S12" i="7"/>
  <c r="Q13" i="7"/>
  <c r="R13" i="7"/>
  <c r="S13" i="7"/>
  <c r="Q14" i="7"/>
  <c r="R14" i="7"/>
  <c r="Q15" i="7"/>
  <c r="R15" i="7"/>
  <c r="S15" i="7"/>
  <c r="Q16" i="7"/>
  <c r="R16" i="7"/>
  <c r="S16" i="7"/>
  <c r="Q17" i="7"/>
  <c r="R17" i="7"/>
  <c r="S17" i="7"/>
  <c r="Q18" i="7"/>
  <c r="R18" i="7"/>
  <c r="S18" i="7" s="1"/>
  <c r="Q19" i="7"/>
  <c r="R19" i="7"/>
  <c r="Q20" i="7"/>
  <c r="R20" i="7"/>
  <c r="S20" i="7"/>
  <c r="Q21" i="7"/>
  <c r="R21" i="7"/>
  <c r="S21" i="7" s="1"/>
  <c r="C22" i="7"/>
  <c r="R22" i="7"/>
  <c r="J23" i="7"/>
  <c r="Q23" i="7"/>
  <c r="R23" i="7"/>
  <c r="S23" i="7"/>
  <c r="Q24" i="7"/>
  <c r="R24" i="7"/>
  <c r="S24" i="7" s="1"/>
  <c r="C25" i="7"/>
  <c r="Q25" i="7" s="1"/>
  <c r="E25" i="7"/>
  <c r="P25" i="7"/>
  <c r="R25" i="7"/>
  <c r="S25" i="7"/>
  <c r="E26" i="7"/>
  <c r="H26" i="7"/>
  <c r="I26" i="7"/>
  <c r="J26" i="7"/>
  <c r="J28" i="7" s="1"/>
  <c r="J41" i="7" s="1"/>
  <c r="R26" i="7"/>
  <c r="Q27" i="7"/>
  <c r="D28" i="7"/>
  <c r="E28" i="7"/>
  <c r="F28" i="7"/>
  <c r="G28" i="7"/>
  <c r="H28" i="7"/>
  <c r="I28" i="7"/>
  <c r="I41" i="7" s="1"/>
  <c r="I47" i="7" s="1"/>
  <c r="K28" i="7"/>
  <c r="L28" i="7"/>
  <c r="M28" i="7"/>
  <c r="N28" i="7"/>
  <c r="N41" i="7" s="1"/>
  <c r="N52" i="7" s="1"/>
  <c r="O28" i="7"/>
  <c r="C32" i="7"/>
  <c r="D32" i="7"/>
  <c r="D38" i="7" s="1"/>
  <c r="D41" i="7" s="1"/>
  <c r="R32" i="7"/>
  <c r="Q33" i="7"/>
  <c r="R33" i="7"/>
  <c r="Q34" i="7"/>
  <c r="R34" i="7"/>
  <c r="S34" i="7"/>
  <c r="G35" i="7"/>
  <c r="H35" i="7"/>
  <c r="R35" i="7"/>
  <c r="O36" i="7"/>
  <c r="Q36" i="7"/>
  <c r="R36" i="7"/>
  <c r="S36" i="7"/>
  <c r="Q37" i="7"/>
  <c r="C38" i="7"/>
  <c r="I38" i="7"/>
  <c r="J38" i="7"/>
  <c r="K38" i="7"/>
  <c r="L38" i="7"/>
  <c r="M38" i="7"/>
  <c r="N38" i="7"/>
  <c r="O38" i="7"/>
  <c r="P38" i="7"/>
  <c r="K41" i="7"/>
  <c r="K52" i="7" s="1"/>
  <c r="K55" i="7" s="1"/>
  <c r="L41" i="7"/>
  <c r="M41" i="7"/>
  <c r="M52" i="7" s="1"/>
  <c r="Q45" i="7"/>
  <c r="L47" i="7"/>
  <c r="M47" i="7"/>
  <c r="C48" i="7"/>
  <c r="D48" i="7"/>
  <c r="E48" i="7"/>
  <c r="F48" i="7"/>
  <c r="C49" i="7"/>
  <c r="I49" i="7"/>
  <c r="J49" i="7"/>
  <c r="K49" i="7" s="1"/>
  <c r="I52" i="7"/>
  <c r="I55" i="7" s="1"/>
  <c r="L52" i="7"/>
  <c r="L55" i="7" s="1"/>
  <c r="M55" i="7"/>
  <c r="R55" i="7"/>
  <c r="G12" i="9"/>
  <c r="G14" i="9"/>
  <c r="G17" i="9" s="1"/>
  <c r="G15" i="9"/>
  <c r="G16" i="9"/>
  <c r="D17" i="9"/>
  <c r="D18" i="9" s="1"/>
  <c r="D25" i="9" s="1"/>
  <c r="E17" i="9"/>
  <c r="F17" i="9"/>
  <c r="F18" i="9" s="1"/>
  <c r="F25" i="9" s="1"/>
  <c r="F32" i="9" s="1"/>
  <c r="F39" i="9" s="1"/>
  <c r="F46" i="9" s="1"/>
  <c r="F54" i="9" s="1"/>
  <c r="F61" i="9" s="1"/>
  <c r="E18" i="9"/>
  <c r="G20" i="9"/>
  <c r="G21" i="9"/>
  <c r="G22" i="9"/>
  <c r="G23" i="9"/>
  <c r="D24" i="9"/>
  <c r="E24" i="9"/>
  <c r="F24" i="9"/>
  <c r="E25" i="9"/>
  <c r="G27" i="9"/>
  <c r="G28" i="9"/>
  <c r="G29" i="9"/>
  <c r="G30" i="9"/>
  <c r="D31" i="9"/>
  <c r="E31" i="9"/>
  <c r="F31" i="9"/>
  <c r="G31" i="9"/>
  <c r="D32" i="9"/>
  <c r="G34" i="9"/>
  <c r="G35" i="9"/>
  <c r="G36" i="9"/>
  <c r="G37" i="9"/>
  <c r="D38" i="9"/>
  <c r="E38" i="9"/>
  <c r="F38" i="9"/>
  <c r="G41" i="9"/>
  <c r="G42" i="9"/>
  <c r="G43" i="9"/>
  <c r="G44" i="9"/>
  <c r="D45" i="9"/>
  <c r="E45" i="9"/>
  <c r="F45" i="9"/>
  <c r="G48" i="9"/>
  <c r="G49" i="9"/>
  <c r="G50" i="9"/>
  <c r="G51" i="9"/>
  <c r="D52" i="9"/>
  <c r="E52" i="9"/>
  <c r="F52" i="9"/>
  <c r="F53" i="9" s="1"/>
  <c r="D53" i="9"/>
  <c r="E53" i="9"/>
  <c r="G55" i="9"/>
  <c r="G59" i="9"/>
  <c r="D2" i="8"/>
  <c r="Q2" i="8"/>
  <c r="Q3" i="8"/>
  <c r="C10" i="8"/>
  <c r="E10" i="8"/>
  <c r="F10" i="8"/>
  <c r="N10" i="8"/>
  <c r="P10" i="8"/>
  <c r="Q10" i="8"/>
  <c r="S10" i="8" s="1"/>
  <c r="R10" i="8"/>
  <c r="Q11" i="8"/>
  <c r="R11" i="8"/>
  <c r="C12" i="8"/>
  <c r="Q12" i="8" s="1"/>
  <c r="S12" i="8" s="1"/>
  <c r="F12" i="8"/>
  <c r="G12" i="8"/>
  <c r="G29" i="8" s="1"/>
  <c r="R12" i="8"/>
  <c r="K13" i="8"/>
  <c r="Q13" i="8" s="1"/>
  <c r="R13" i="8"/>
  <c r="Q14" i="8"/>
  <c r="S14" i="8" s="1"/>
  <c r="R14" i="8"/>
  <c r="Q15" i="8"/>
  <c r="R15" i="8"/>
  <c r="Q16" i="8"/>
  <c r="S16" i="8" s="1"/>
  <c r="R16" i="8"/>
  <c r="Q17" i="8"/>
  <c r="S17" i="8" s="1"/>
  <c r="R17" i="8"/>
  <c r="Q18" i="8"/>
  <c r="S18" i="8" s="1"/>
  <c r="R18" i="8"/>
  <c r="Q19" i="8"/>
  <c r="R19" i="8"/>
  <c r="S19" i="8"/>
  <c r="Q20" i="8"/>
  <c r="R20" i="8"/>
  <c r="S20" i="8"/>
  <c r="Q21" i="8"/>
  <c r="R21" i="8"/>
  <c r="S21" i="8" s="1"/>
  <c r="Q22" i="8"/>
  <c r="R22" i="8"/>
  <c r="S22" i="8"/>
  <c r="Q23" i="8"/>
  <c r="R23" i="8"/>
  <c r="S23" i="8" s="1"/>
  <c r="Q24" i="8"/>
  <c r="S24" i="8" s="1"/>
  <c r="R24" i="8"/>
  <c r="I25" i="8"/>
  <c r="J25" i="8"/>
  <c r="Q25" i="8"/>
  <c r="R25" i="8"/>
  <c r="E26" i="8"/>
  <c r="Q26" i="8" s="1"/>
  <c r="G26" i="8"/>
  <c r="M26" i="8"/>
  <c r="R26" i="8"/>
  <c r="I27" i="8"/>
  <c r="L27" i="8"/>
  <c r="M27" i="8"/>
  <c r="R27" i="8"/>
  <c r="Q28" i="8"/>
  <c r="D29" i="8"/>
  <c r="F29" i="8"/>
  <c r="H29" i="8"/>
  <c r="I29" i="8"/>
  <c r="I42" i="8" s="1"/>
  <c r="J29" i="8"/>
  <c r="K29" i="8"/>
  <c r="K42" i="8" s="1"/>
  <c r="L29" i="8"/>
  <c r="N29" i="8"/>
  <c r="O29" i="8"/>
  <c r="P29" i="8"/>
  <c r="P30" i="8" s="1"/>
  <c r="C33" i="8"/>
  <c r="D33" i="8"/>
  <c r="J33" i="8"/>
  <c r="J39" i="8" s="1"/>
  <c r="R33" i="8"/>
  <c r="Q34" i="8"/>
  <c r="R34" i="8"/>
  <c r="S34" i="8"/>
  <c r="Q35" i="8"/>
  <c r="R35" i="8"/>
  <c r="O36" i="8"/>
  <c r="Q36" i="8"/>
  <c r="R36" i="8"/>
  <c r="S36" i="8"/>
  <c r="Q37" i="8"/>
  <c r="S37" i="8" s="1"/>
  <c r="R37" i="8"/>
  <c r="Q38" i="8"/>
  <c r="D39" i="8"/>
  <c r="D42" i="8" s="1"/>
  <c r="H39" i="8"/>
  <c r="I39" i="8"/>
  <c r="K39" i="8"/>
  <c r="L39" i="8"/>
  <c r="M39" i="8"/>
  <c r="N39" i="8"/>
  <c r="O39" i="8"/>
  <c r="P40" i="8" s="1"/>
  <c r="P39" i="8"/>
  <c r="H42" i="8"/>
  <c r="H52" i="8" s="1"/>
  <c r="J42" i="8"/>
  <c r="J52" i="8" s="1"/>
  <c r="L42" i="8"/>
  <c r="L48" i="8" s="1"/>
  <c r="O42" i="8"/>
  <c r="Q46" i="8"/>
  <c r="H48" i="8"/>
  <c r="K48" i="8"/>
  <c r="C49" i="8"/>
  <c r="D49" i="8"/>
  <c r="E49" i="8"/>
  <c r="F49" i="8"/>
  <c r="I50" i="8"/>
  <c r="J50" i="8"/>
  <c r="K50" i="8" s="1"/>
  <c r="K52" i="8"/>
  <c r="K55" i="8" s="1"/>
  <c r="L52" i="8"/>
  <c r="H55" i="8"/>
  <c r="J55" i="8"/>
  <c r="L55" i="8"/>
  <c r="R55" i="8"/>
  <c r="D48" i="8" l="1"/>
  <c r="D52" i="8"/>
  <c r="G53" i="9"/>
  <c r="J47" i="7"/>
  <c r="J52" i="7"/>
  <c r="D47" i="7"/>
  <c r="D52" i="7"/>
  <c r="I48" i="8"/>
  <c r="I52" i="8"/>
  <c r="C39" i="8"/>
  <c r="E41" i="7"/>
  <c r="Q27" i="8"/>
  <c r="S27" i="8" s="1"/>
  <c r="N28" i="5"/>
  <c r="N41" i="5" s="1"/>
  <c r="C29" i="5"/>
  <c r="D29" i="5" s="1"/>
  <c r="E29" i="5" s="1"/>
  <c r="F29" i="5" s="1"/>
  <c r="G29" i="5" s="1"/>
  <c r="H29" i="5" s="1"/>
  <c r="I29" i="5" s="1"/>
  <c r="J29" i="5" s="1"/>
  <c r="K29" i="5" s="1"/>
  <c r="L29" i="5" s="1"/>
  <c r="C41" i="5"/>
  <c r="S26" i="8"/>
  <c r="K47" i="5"/>
  <c r="K52" i="5"/>
  <c r="C39" i="5"/>
  <c r="D39" i="5" s="1"/>
  <c r="W98" i="4"/>
  <c r="W99" i="4"/>
  <c r="N42" i="8"/>
  <c r="C29" i="8"/>
  <c r="S15" i="8"/>
  <c r="G45" i="9"/>
  <c r="D39" i="9"/>
  <c r="D46" i="9" s="1"/>
  <c r="D54" i="9" s="1"/>
  <c r="D61" i="9" s="1"/>
  <c r="N47" i="7"/>
  <c r="S19" i="7"/>
  <c r="H47" i="5"/>
  <c r="H52" i="5"/>
  <c r="C102" i="4"/>
  <c r="D102" i="4" s="1"/>
  <c r="C111" i="4"/>
  <c r="O48" i="8"/>
  <c r="O52" i="8"/>
  <c r="E49" i="5"/>
  <c r="G33" i="8"/>
  <c r="G39" i="8" s="1"/>
  <c r="E33" i="8"/>
  <c r="E39" i="8" s="1"/>
  <c r="P47" i="5"/>
  <c r="P52" i="5"/>
  <c r="C50" i="8"/>
  <c r="D50" i="8" s="1"/>
  <c r="E50" i="8" s="1"/>
  <c r="F50" i="8" s="1"/>
  <c r="P28" i="7"/>
  <c r="P41" i="7" s="1"/>
  <c r="Q10" i="7"/>
  <c r="S10" i="7" s="1"/>
  <c r="D55" i="5"/>
  <c r="J48" i="8"/>
  <c r="F33" i="8"/>
  <c r="F39" i="8" s="1"/>
  <c r="F42" i="8" s="1"/>
  <c r="G24" i="9"/>
  <c r="C39" i="7"/>
  <c r="Q26" i="7"/>
  <c r="S26" i="7" s="1"/>
  <c r="Q22" i="7"/>
  <c r="S22" i="7" s="1"/>
  <c r="C28" i="7"/>
  <c r="D47" i="5"/>
  <c r="S12" i="5"/>
  <c r="E68" i="4"/>
  <c r="E65" i="4"/>
  <c r="D39" i="7"/>
  <c r="N55" i="7"/>
  <c r="O41" i="7"/>
  <c r="M29" i="8"/>
  <c r="M42" i="8" s="1"/>
  <c r="P42" i="8"/>
  <c r="S35" i="8"/>
  <c r="E32" i="9"/>
  <c r="E39" i="9" s="1"/>
  <c r="E46" i="9" s="1"/>
  <c r="E54" i="9" s="1"/>
  <c r="E61" i="9" s="1"/>
  <c r="K47" i="7"/>
  <c r="Q35" i="7"/>
  <c r="S35" i="7" s="1"/>
  <c r="H38" i="7"/>
  <c r="G32" i="7"/>
  <c r="G38" i="7" s="1"/>
  <c r="L52" i="5"/>
  <c r="D35" i="4"/>
  <c r="D42" i="4" s="1"/>
  <c r="D33" i="4"/>
  <c r="C81" i="4"/>
  <c r="C75" i="4"/>
  <c r="D75" i="4" s="1"/>
  <c r="S25" i="8"/>
  <c r="E32" i="7"/>
  <c r="E38" i="7" s="1"/>
  <c r="D49" i="7"/>
  <c r="E49" i="7" s="1"/>
  <c r="F49" i="7" s="1"/>
  <c r="J41" i="5"/>
  <c r="S13" i="8"/>
  <c r="S11" i="8"/>
  <c r="E29" i="8"/>
  <c r="E42" i="8" s="1"/>
  <c r="G52" i="9"/>
  <c r="G38" i="9"/>
  <c r="S33" i="7"/>
  <c r="Q35" i="5"/>
  <c r="S35" i="5" s="1"/>
  <c r="S10" i="5"/>
  <c r="F41" i="5"/>
  <c r="C109" i="4"/>
  <c r="D109" i="4" s="1"/>
  <c r="Q101" i="4"/>
  <c r="V87" i="4"/>
  <c r="F32" i="7"/>
  <c r="F38" i="7" s="1"/>
  <c r="G28" i="5"/>
  <c r="C35" i="4"/>
  <c r="V25" i="4"/>
  <c r="C26" i="4"/>
  <c r="D26" i="4" s="1"/>
  <c r="G18" i="9"/>
  <c r="S14" i="7"/>
  <c r="F49" i="5"/>
  <c r="O41" i="5"/>
  <c r="V64" i="4"/>
  <c r="V66" i="4" s="1"/>
  <c r="G32" i="5"/>
  <c r="G38" i="5" s="1"/>
  <c r="F32" i="5"/>
  <c r="F38" i="5" s="1"/>
  <c r="I41" i="5"/>
  <c r="M28" i="5"/>
  <c r="M41" i="5" s="1"/>
  <c r="S11" i="7"/>
  <c r="S33" i="5"/>
  <c r="E32" i="5"/>
  <c r="V49" i="4"/>
  <c r="U70" i="4" s="1"/>
  <c r="V70" i="4" s="1"/>
  <c r="F48" i="8" l="1"/>
  <c r="F52" i="8"/>
  <c r="G41" i="7"/>
  <c r="P55" i="5"/>
  <c r="H55" i="5"/>
  <c r="K55" i="5"/>
  <c r="U31" i="4"/>
  <c r="V31" i="4" s="1"/>
  <c r="V27" i="4"/>
  <c r="P52" i="8"/>
  <c r="P48" i="8"/>
  <c r="C41" i="7"/>
  <c r="C29" i="7"/>
  <c r="D29" i="7" s="1"/>
  <c r="E29" i="7" s="1"/>
  <c r="F29" i="7" s="1"/>
  <c r="G29" i="7" s="1"/>
  <c r="H29" i="7" s="1"/>
  <c r="I29" i="7" s="1"/>
  <c r="J29" i="7" s="1"/>
  <c r="K29" i="7" s="1"/>
  <c r="L29" i="7" s="1"/>
  <c r="M29" i="7" s="1"/>
  <c r="N29" i="7" s="1"/>
  <c r="O29" i="7" s="1"/>
  <c r="P29" i="7" s="1"/>
  <c r="Q28" i="7"/>
  <c r="Q30" i="7" s="1"/>
  <c r="N48" i="8"/>
  <c r="N52" i="8"/>
  <c r="C36" i="4"/>
  <c r="D36" i="4" s="1"/>
  <c r="C42" i="4"/>
  <c r="Q32" i="7"/>
  <c r="S32" i="7" s="1"/>
  <c r="E52" i="7"/>
  <c r="E47" i="7"/>
  <c r="D55" i="7"/>
  <c r="G41" i="5"/>
  <c r="F65" i="4"/>
  <c r="S52" i="7"/>
  <c r="E40" i="8"/>
  <c r="E38" i="5"/>
  <c r="Q32" i="5"/>
  <c r="S32" i="5" s="1"/>
  <c r="S52" i="5" s="1"/>
  <c r="O47" i="5"/>
  <c r="O52" i="5"/>
  <c r="E39" i="7"/>
  <c r="F39" i="7" s="1"/>
  <c r="G39" i="7" s="1"/>
  <c r="H39" i="7" s="1"/>
  <c r="I39" i="7" s="1"/>
  <c r="J39" i="7" s="1"/>
  <c r="K39" i="7" s="1"/>
  <c r="L39" i="7" s="1"/>
  <c r="M39" i="7" s="1"/>
  <c r="N39" i="7" s="1"/>
  <c r="O39" i="7" s="1"/>
  <c r="P39" i="7" s="1"/>
  <c r="M52" i="8"/>
  <c r="M48" i="8"/>
  <c r="E71" i="4"/>
  <c r="P47" i="7"/>
  <c r="P52" i="7"/>
  <c r="G42" i="8"/>
  <c r="G40" i="8"/>
  <c r="H40" i="8" s="1"/>
  <c r="I40" i="8" s="1"/>
  <c r="J40" i="8" s="1"/>
  <c r="K40" i="8" s="1"/>
  <c r="L40" i="8" s="1"/>
  <c r="M40" i="8" s="1"/>
  <c r="N40" i="8" s="1"/>
  <c r="O40" i="8" s="1"/>
  <c r="C112" i="4"/>
  <c r="C118" i="4"/>
  <c r="C42" i="5"/>
  <c r="D42" i="5" s="1"/>
  <c r="C47" i="5"/>
  <c r="C52" i="5"/>
  <c r="E29" i="4"/>
  <c r="E26" i="4"/>
  <c r="J47" i="5"/>
  <c r="J52" i="5"/>
  <c r="C42" i="8"/>
  <c r="Q29" i="8"/>
  <c r="Q31" i="8" s="1"/>
  <c r="C30" i="8"/>
  <c r="D30" i="8" s="1"/>
  <c r="E30" i="8" s="1"/>
  <c r="F30" i="8" s="1"/>
  <c r="G30" i="8" s="1"/>
  <c r="H30" i="8" s="1"/>
  <c r="I30" i="8" s="1"/>
  <c r="J30" i="8" s="1"/>
  <c r="K30" i="8" s="1"/>
  <c r="L30" i="8" s="1"/>
  <c r="M30" i="8" s="1"/>
  <c r="N30" i="8" s="1"/>
  <c r="O30" i="8" s="1"/>
  <c r="I55" i="8"/>
  <c r="M52" i="5"/>
  <c r="M47" i="5"/>
  <c r="F41" i="7"/>
  <c r="F52" i="5"/>
  <c r="F47" i="5"/>
  <c r="P43" i="8"/>
  <c r="Q38" i="7"/>
  <c r="J55" i="7"/>
  <c r="I47" i="5"/>
  <c r="I52" i="5"/>
  <c r="O52" i="7"/>
  <c r="O47" i="7"/>
  <c r="F40" i="8"/>
  <c r="V101" i="4"/>
  <c r="V103" i="4" s="1"/>
  <c r="Q28" i="5"/>
  <c r="Q30" i="5" s="1"/>
  <c r="C40" i="8"/>
  <c r="D40" i="8" s="1"/>
  <c r="Q39" i="8"/>
  <c r="D55" i="8"/>
  <c r="O55" i="8"/>
  <c r="H41" i="7"/>
  <c r="E52" i="8"/>
  <c r="E48" i="8"/>
  <c r="E102" i="4"/>
  <c r="E105" i="4"/>
  <c r="M29" i="5"/>
  <c r="N29" i="5" s="1"/>
  <c r="O29" i="5" s="1"/>
  <c r="P29" i="5" s="1"/>
  <c r="G25" i="9"/>
  <c r="G32" i="9" s="1"/>
  <c r="G39" i="9" s="1"/>
  <c r="G46" i="9" s="1"/>
  <c r="G54" i="9" s="1"/>
  <c r="G61" i="9" s="1"/>
  <c r="L55" i="5"/>
  <c r="N52" i="5"/>
  <c r="N47" i="5"/>
  <c r="Q33" i="8"/>
  <c r="S33" i="8" s="1"/>
  <c r="S52" i="8" s="1"/>
  <c r="F26" i="4" l="1"/>
  <c r="G65" i="4"/>
  <c r="O55" i="5"/>
  <c r="N55" i="5"/>
  <c r="P55" i="7"/>
  <c r="N55" i="8"/>
  <c r="G47" i="7"/>
  <c r="G52" i="7"/>
  <c r="F102" i="4"/>
  <c r="O55" i="7"/>
  <c r="F55" i="5"/>
  <c r="I55" i="5"/>
  <c r="E72" i="4"/>
  <c r="F68" i="4" s="1"/>
  <c r="E74" i="4"/>
  <c r="E39" i="5"/>
  <c r="F39" i="5" s="1"/>
  <c r="G39" i="5" s="1"/>
  <c r="H39" i="5" s="1"/>
  <c r="I39" i="5" s="1"/>
  <c r="J39" i="5" s="1"/>
  <c r="K39" i="5" s="1"/>
  <c r="L39" i="5" s="1"/>
  <c r="M39" i="5" s="1"/>
  <c r="N39" i="5" s="1"/>
  <c r="O39" i="5" s="1"/>
  <c r="P39" i="5" s="1"/>
  <c r="Q38" i="5"/>
  <c r="E41" i="5"/>
  <c r="E55" i="8"/>
  <c r="C48" i="8"/>
  <c r="Q48" i="8" s="1"/>
  <c r="C52" i="8"/>
  <c r="Q42" i="8"/>
  <c r="Q44" i="8" s="1"/>
  <c r="C43" i="8"/>
  <c r="D43" i="8" s="1"/>
  <c r="E43" i="8" s="1"/>
  <c r="F43" i="8" s="1"/>
  <c r="G43" i="8" s="1"/>
  <c r="E55" i="7"/>
  <c r="F55" i="8"/>
  <c r="G48" i="8"/>
  <c r="G52" i="8"/>
  <c r="G47" i="5"/>
  <c r="G52" i="5"/>
  <c r="U107" i="4"/>
  <c r="V107" i="4" s="1"/>
  <c r="C55" i="5"/>
  <c r="C53" i="5"/>
  <c r="D53" i="5" s="1"/>
  <c r="F52" i="7"/>
  <c r="F47" i="7"/>
  <c r="J55" i="5"/>
  <c r="Q41" i="7"/>
  <c r="Q43" i="7" s="1"/>
  <c r="C47" i="7"/>
  <c r="C52" i="7"/>
  <c r="C42" i="7"/>
  <c r="D42" i="7" s="1"/>
  <c r="E42" i="7" s="1"/>
  <c r="F42" i="7" s="1"/>
  <c r="G42" i="7" s="1"/>
  <c r="P55" i="8"/>
  <c r="E32" i="4"/>
  <c r="E108" i="4"/>
  <c r="H52" i="7"/>
  <c r="H47" i="7"/>
  <c r="M55" i="5"/>
  <c r="D112" i="4"/>
  <c r="C120" i="4"/>
  <c r="C122" i="4" s="1"/>
  <c r="M55" i="8"/>
  <c r="G102" i="4" l="1"/>
  <c r="E109" i="4"/>
  <c r="F105" i="4" s="1"/>
  <c r="E111" i="4"/>
  <c r="D120" i="4"/>
  <c r="D122" i="4" s="1"/>
  <c r="E112" i="4"/>
  <c r="H65" i="4"/>
  <c r="H55" i="7"/>
  <c r="G55" i="8"/>
  <c r="E52" i="5"/>
  <c r="E47" i="5"/>
  <c r="G55" i="5"/>
  <c r="G49" i="8"/>
  <c r="G50" i="8" s="1"/>
  <c r="H43" i="8"/>
  <c r="I43" i="8" s="1"/>
  <c r="J43" i="8" s="1"/>
  <c r="K43" i="8" s="1"/>
  <c r="L43" i="8" s="1"/>
  <c r="M43" i="8" s="1"/>
  <c r="N43" i="8" s="1"/>
  <c r="O43" i="8" s="1"/>
  <c r="G26" i="4"/>
  <c r="H42" i="7"/>
  <c r="I42" i="7" s="1"/>
  <c r="J42" i="7" s="1"/>
  <c r="K42" i="7" s="1"/>
  <c r="L42" i="7" s="1"/>
  <c r="M42" i="7" s="1"/>
  <c r="N42" i="7" s="1"/>
  <c r="O42" i="7" s="1"/>
  <c r="P42" i="7" s="1"/>
  <c r="G48" i="7"/>
  <c r="G49" i="7" s="1"/>
  <c r="C55" i="8"/>
  <c r="C53" i="8"/>
  <c r="D53" i="8" s="1"/>
  <c r="E53" i="8" s="1"/>
  <c r="F53" i="8" s="1"/>
  <c r="G53" i="8" s="1"/>
  <c r="H53" i="8" s="1"/>
  <c r="I53" i="8" s="1"/>
  <c r="J53" i="8" s="1"/>
  <c r="K53" i="8" s="1"/>
  <c r="L53" i="8" s="1"/>
  <c r="M53" i="8" s="1"/>
  <c r="N53" i="8" s="1"/>
  <c r="O53" i="8" s="1"/>
  <c r="P53" i="8" s="1"/>
  <c r="Q52" i="8"/>
  <c r="Q55" i="8" s="1"/>
  <c r="S55" i="8" s="1"/>
  <c r="C55" i="7"/>
  <c r="Q52" i="7"/>
  <c r="Q55" i="7" s="1"/>
  <c r="S55" i="7" s="1"/>
  <c r="C53" i="7"/>
  <c r="D53" i="7" s="1"/>
  <c r="E53" i="7" s="1"/>
  <c r="F53" i="7"/>
  <c r="F55" i="7"/>
  <c r="F71" i="4"/>
  <c r="Q47" i="7"/>
  <c r="G53" i="7"/>
  <c r="H53" i="7" s="1"/>
  <c r="I53" i="7" s="1"/>
  <c r="J53" i="7" s="1"/>
  <c r="K53" i="7" s="1"/>
  <c r="L53" i="7" s="1"/>
  <c r="M53" i="7" s="1"/>
  <c r="N53" i="7" s="1"/>
  <c r="O53" i="7" s="1"/>
  <c r="P53" i="7" s="1"/>
  <c r="G55" i="7"/>
  <c r="E35" i="4"/>
  <c r="E33" i="4"/>
  <c r="F29" i="4" s="1"/>
  <c r="E42" i="5"/>
  <c r="F42" i="5" s="1"/>
  <c r="G42" i="5" s="1"/>
  <c r="E81" i="4"/>
  <c r="E75" i="4"/>
  <c r="H42" i="5" l="1"/>
  <c r="I42" i="5" s="1"/>
  <c r="J42" i="5" s="1"/>
  <c r="K42" i="5" s="1"/>
  <c r="L42" i="5" s="1"/>
  <c r="M42" i="5" s="1"/>
  <c r="N42" i="5" s="1"/>
  <c r="O42" i="5" s="1"/>
  <c r="P42" i="5" s="1"/>
  <c r="G48" i="5"/>
  <c r="G49" i="5" s="1"/>
  <c r="F72" i="4"/>
  <c r="G68" i="4" s="1"/>
  <c r="F74" i="4"/>
  <c r="F32" i="4"/>
  <c r="E53" i="5"/>
  <c r="F53" i="5" s="1"/>
  <c r="G53" i="5" s="1"/>
  <c r="H53" i="5" s="1"/>
  <c r="I53" i="5" s="1"/>
  <c r="J53" i="5" s="1"/>
  <c r="K53" i="5" s="1"/>
  <c r="L53" i="5" s="1"/>
  <c r="M53" i="5" s="1"/>
  <c r="N53" i="5" s="1"/>
  <c r="O53" i="5" s="1"/>
  <c r="P53" i="5" s="1"/>
  <c r="E55" i="5"/>
  <c r="Q52" i="5"/>
  <c r="Q55" i="5" s="1"/>
  <c r="S55" i="5" s="1"/>
  <c r="E42" i="4"/>
  <c r="E36" i="4"/>
  <c r="H26" i="4"/>
  <c r="E118" i="4"/>
  <c r="H102" i="4"/>
  <c r="F75" i="4"/>
  <c r="F108" i="4"/>
  <c r="I65" i="4"/>
  <c r="J65" i="4" l="1"/>
  <c r="I26" i="4"/>
  <c r="F33" i="4"/>
  <c r="G29" i="4" s="1"/>
  <c r="F35" i="4"/>
  <c r="F109" i="4"/>
  <c r="G105" i="4" s="1"/>
  <c r="F111" i="4"/>
  <c r="E120" i="4"/>
  <c r="E122" i="4" s="1"/>
  <c r="I102" i="4"/>
  <c r="F81" i="4"/>
  <c r="G71" i="4"/>
  <c r="J102" i="4" l="1"/>
  <c r="G108" i="4"/>
  <c r="F42" i="4"/>
  <c r="G32" i="4"/>
  <c r="G72" i="4"/>
  <c r="H68" i="4" s="1"/>
  <c r="G74" i="4"/>
  <c r="F36" i="4"/>
  <c r="J26" i="4"/>
  <c r="F118" i="4"/>
  <c r="F112" i="4"/>
  <c r="K65" i="4"/>
  <c r="G33" i="4" l="1"/>
  <c r="H29" i="4" s="1"/>
  <c r="G35" i="4"/>
  <c r="K26" i="4"/>
  <c r="L65" i="4"/>
  <c r="G36" i="4"/>
  <c r="G109" i="4"/>
  <c r="H105" i="4" s="1"/>
  <c r="G111" i="4"/>
  <c r="G112" i="4" s="1"/>
  <c r="G81" i="4"/>
  <c r="G75" i="4"/>
  <c r="F120" i="4"/>
  <c r="F122" i="4" s="1"/>
  <c r="H71" i="4"/>
  <c r="K102" i="4"/>
  <c r="G120" i="4" l="1"/>
  <c r="G122" i="4" s="1"/>
  <c r="L26" i="4"/>
  <c r="L102" i="4"/>
  <c r="H72" i="4"/>
  <c r="I68" i="4" s="1"/>
  <c r="H74" i="4"/>
  <c r="H75" i="4" s="1"/>
  <c r="H108" i="4"/>
  <c r="G42" i="4"/>
  <c r="G118" i="4"/>
  <c r="M65" i="4"/>
  <c r="H32" i="4"/>
  <c r="M102" i="4" l="1"/>
  <c r="H81" i="4"/>
  <c r="I71" i="4"/>
  <c r="H35" i="4"/>
  <c r="H33" i="4"/>
  <c r="I29" i="4" s="1"/>
  <c r="N65" i="4"/>
  <c r="M26" i="4"/>
  <c r="H109" i="4"/>
  <c r="I105" i="4" s="1"/>
  <c r="H111" i="4"/>
  <c r="H42" i="4" l="1"/>
  <c r="H36" i="4"/>
  <c r="H118" i="4"/>
  <c r="H112" i="4"/>
  <c r="I108" i="4"/>
  <c r="I72" i="4"/>
  <c r="J68" i="4" s="1"/>
  <c r="J71" i="4" s="1"/>
  <c r="I74" i="4"/>
  <c r="N26" i="4"/>
  <c r="O65" i="4"/>
  <c r="N102" i="4"/>
  <c r="I32" i="4"/>
  <c r="O102" i="4" l="1"/>
  <c r="P65" i="4"/>
  <c r="O26" i="4"/>
  <c r="I109" i="4"/>
  <c r="J105" i="4" s="1"/>
  <c r="J108" i="4" s="1"/>
  <c r="I111" i="4"/>
  <c r="I118" i="4" s="1"/>
  <c r="I112" i="4"/>
  <c r="H120" i="4"/>
  <c r="H122" i="4" s="1"/>
  <c r="I33" i="4"/>
  <c r="J29" i="4" s="1"/>
  <c r="J32" i="4" s="1"/>
  <c r="I35" i="4"/>
  <c r="I42" i="4" s="1"/>
  <c r="I81" i="4"/>
  <c r="I75" i="4"/>
  <c r="I36" i="4"/>
  <c r="J74" i="4"/>
  <c r="J81" i="4" s="1"/>
  <c r="J72" i="4"/>
  <c r="K68" i="4" s="1"/>
  <c r="K71" i="4" s="1"/>
  <c r="K74" i="4" l="1"/>
  <c r="K81" i="4" s="1"/>
  <c r="K72" i="4"/>
  <c r="L68" i="4" s="1"/>
  <c r="L71" i="4" s="1"/>
  <c r="J36" i="4"/>
  <c r="J75" i="4"/>
  <c r="Q65" i="4"/>
  <c r="J109" i="4"/>
  <c r="K105" i="4" s="1"/>
  <c r="K108" i="4" s="1"/>
  <c r="J111" i="4"/>
  <c r="J118" i="4" s="1"/>
  <c r="P26" i="4"/>
  <c r="J33" i="4"/>
  <c r="K29" i="4" s="1"/>
  <c r="K32" i="4" s="1"/>
  <c r="J35" i="4"/>
  <c r="J42" i="4" s="1"/>
  <c r="P102" i="4"/>
  <c r="I120" i="4"/>
  <c r="I122" i="4" s="1"/>
  <c r="J112" i="4"/>
  <c r="K112" i="4" l="1"/>
  <c r="J120" i="4"/>
  <c r="J122" i="4" s="1"/>
  <c r="K109" i="4"/>
  <c r="L105" i="4" s="1"/>
  <c r="L108" i="4" s="1"/>
  <c r="K111" i="4"/>
  <c r="K118" i="4" s="1"/>
  <c r="Q102" i="4"/>
  <c r="R65" i="4"/>
  <c r="K75" i="4"/>
  <c r="L75" i="4" s="1"/>
  <c r="K36" i="4"/>
  <c r="L72" i="4"/>
  <c r="M68" i="4" s="1"/>
  <c r="M71" i="4" s="1"/>
  <c r="L74" i="4"/>
  <c r="L81" i="4" s="1"/>
  <c r="K33" i="4"/>
  <c r="L29" i="4" s="1"/>
  <c r="L32" i="4" s="1"/>
  <c r="K35" i="4"/>
  <c r="K42" i="4" s="1"/>
  <c r="Q26" i="4"/>
  <c r="L36" i="4" l="1"/>
  <c r="R26" i="4"/>
  <c r="R102" i="4"/>
  <c r="S65" i="4"/>
  <c r="L33" i="4"/>
  <c r="M29" i="4" s="1"/>
  <c r="M32" i="4" s="1"/>
  <c r="L35" i="4"/>
  <c r="L42" i="4" s="1"/>
  <c r="M72" i="4"/>
  <c r="N68" i="4" s="1"/>
  <c r="N71" i="4" s="1"/>
  <c r="M74" i="4"/>
  <c r="M81" i="4" s="1"/>
  <c r="L109" i="4"/>
  <c r="M105" i="4" s="1"/>
  <c r="M108" i="4" s="1"/>
  <c r="L111" i="4"/>
  <c r="L118" i="4" s="1"/>
  <c r="L112" i="4"/>
  <c r="K120" i="4"/>
  <c r="K122" i="4" s="1"/>
  <c r="M35" i="4" l="1"/>
  <c r="M42" i="4" s="1"/>
  <c r="M33" i="4"/>
  <c r="N29" i="4" s="1"/>
  <c r="N32" i="4" s="1"/>
  <c r="L120" i="4"/>
  <c r="L122" i="4" s="1"/>
  <c r="T65" i="4"/>
  <c r="M109" i="4"/>
  <c r="N105" i="4" s="1"/>
  <c r="N108" i="4" s="1"/>
  <c r="M111" i="4"/>
  <c r="M118" i="4" s="1"/>
  <c r="M36" i="4"/>
  <c r="S102" i="4"/>
  <c r="S26" i="4"/>
  <c r="N74" i="4"/>
  <c r="N81" i="4" s="1"/>
  <c r="N72" i="4"/>
  <c r="O68" i="4" s="1"/>
  <c r="O71" i="4" s="1"/>
  <c r="M75" i="4"/>
  <c r="N75" i="4" s="1"/>
  <c r="O72" i="4" l="1"/>
  <c r="P68" i="4" s="1"/>
  <c r="P71" i="4" s="1"/>
  <c r="O74" i="4"/>
  <c r="O81" i="4" s="1"/>
  <c r="T26" i="4"/>
  <c r="N109" i="4"/>
  <c r="O105" i="4" s="1"/>
  <c r="O108" i="4" s="1"/>
  <c r="N111" i="4"/>
  <c r="N118" i="4" s="1"/>
  <c r="U65" i="4"/>
  <c r="M112" i="4"/>
  <c r="T102" i="4"/>
  <c r="N33" i="4"/>
  <c r="O29" i="4" s="1"/>
  <c r="O32" i="4" s="1"/>
  <c r="N35" i="4"/>
  <c r="N42" i="4" s="1"/>
  <c r="O75" i="4"/>
  <c r="N36" i="4"/>
  <c r="O33" i="4" l="1"/>
  <c r="P29" i="4" s="1"/>
  <c r="P32" i="4" s="1"/>
  <c r="O35" i="4"/>
  <c r="O42" i="4" s="1"/>
  <c r="U26" i="4"/>
  <c r="O109" i="4"/>
  <c r="P105" i="4" s="1"/>
  <c r="P108" i="4" s="1"/>
  <c r="O111" i="4"/>
  <c r="O118" i="4" s="1"/>
  <c r="U102" i="4"/>
  <c r="M120" i="4"/>
  <c r="M122" i="4" s="1"/>
  <c r="N112" i="4"/>
  <c r="P72" i="4"/>
  <c r="Q68" i="4" s="1"/>
  <c r="Q71" i="4" s="1"/>
  <c r="P74" i="4"/>
  <c r="P81" i="4" s="1"/>
  <c r="P111" i="4" l="1"/>
  <c r="P118" i="4" s="1"/>
  <c r="P109" i="4"/>
  <c r="Q105" i="4" s="1"/>
  <c r="Q108" i="4" s="1"/>
  <c r="P75" i="4"/>
  <c r="Q75" i="4" s="1"/>
  <c r="P35" i="4"/>
  <c r="P42" i="4" s="1"/>
  <c r="P33" i="4"/>
  <c r="Q29" i="4" s="1"/>
  <c r="Q32" i="4" s="1"/>
  <c r="Q72" i="4"/>
  <c r="R68" i="4" s="1"/>
  <c r="R71" i="4" s="1"/>
  <c r="Q74" i="4"/>
  <c r="Q81" i="4" s="1"/>
  <c r="N120" i="4"/>
  <c r="N122" i="4" s="1"/>
  <c r="O112" i="4"/>
  <c r="O36" i="4"/>
  <c r="Q33" i="4" l="1"/>
  <c r="R29" i="4" s="1"/>
  <c r="R32" i="4" s="1"/>
  <c r="Q35" i="4"/>
  <c r="Q42" i="4" s="1"/>
  <c r="R72" i="4"/>
  <c r="S68" i="4" s="1"/>
  <c r="S71" i="4" s="1"/>
  <c r="R74" i="4"/>
  <c r="R81" i="4" s="1"/>
  <c r="R75" i="4"/>
  <c r="P36" i="4"/>
  <c r="Q36" i="4" s="1"/>
  <c r="Q109" i="4"/>
  <c r="R105" i="4" s="1"/>
  <c r="R108" i="4" s="1"/>
  <c r="Q111" i="4"/>
  <c r="Q118" i="4" s="1"/>
  <c r="O120" i="4"/>
  <c r="O122" i="4" s="1"/>
  <c r="P112" i="4"/>
  <c r="R109" i="4" l="1"/>
  <c r="S105" i="4" s="1"/>
  <c r="S108" i="4" s="1"/>
  <c r="R111" i="4"/>
  <c r="R118" i="4" s="1"/>
  <c r="R36" i="4"/>
  <c r="S74" i="4"/>
  <c r="S81" i="4" s="1"/>
  <c r="S72" i="4"/>
  <c r="T68" i="4" s="1"/>
  <c r="T71" i="4" s="1"/>
  <c r="P120" i="4"/>
  <c r="P122" i="4" s="1"/>
  <c r="Q112" i="4"/>
  <c r="R33" i="4"/>
  <c r="S29" i="4" s="1"/>
  <c r="S32" i="4" s="1"/>
  <c r="R35" i="4"/>
  <c r="R42" i="4" s="1"/>
  <c r="Q120" i="4" l="1"/>
  <c r="Q122" i="4" s="1"/>
  <c r="R112" i="4"/>
  <c r="T72" i="4"/>
  <c r="U68" i="4" s="1"/>
  <c r="T74" i="4"/>
  <c r="T81" i="4" s="1"/>
  <c r="S75" i="4"/>
  <c r="T75" i="4" s="1"/>
  <c r="S35" i="4"/>
  <c r="S42" i="4" s="1"/>
  <c r="S33" i="4"/>
  <c r="T29" i="4" s="1"/>
  <c r="T32" i="4" s="1"/>
  <c r="S109" i="4"/>
  <c r="T105" i="4" s="1"/>
  <c r="T108" i="4" s="1"/>
  <c r="S111" i="4"/>
  <c r="S118" i="4" s="1"/>
  <c r="T33" i="4" l="1"/>
  <c r="U29" i="4" s="1"/>
  <c r="T35" i="4"/>
  <c r="T42" i="4" s="1"/>
  <c r="S36" i="4"/>
  <c r="T36" i="4" s="1"/>
  <c r="U71" i="4"/>
  <c r="V68" i="4"/>
  <c r="S112" i="4"/>
  <c r="R120" i="4"/>
  <c r="R122" i="4" s="1"/>
  <c r="T109" i="4"/>
  <c r="U105" i="4" s="1"/>
  <c r="T111" i="4"/>
  <c r="T118" i="4" s="1"/>
  <c r="U32" i="4" l="1"/>
  <c r="V29" i="4"/>
  <c r="T112" i="4"/>
  <c r="S120" i="4"/>
  <c r="S122" i="4" s="1"/>
  <c r="U72" i="4"/>
  <c r="U74" i="4"/>
  <c r="V71" i="4"/>
  <c r="U108" i="4"/>
  <c r="V105" i="4"/>
  <c r="T120" i="4" l="1"/>
  <c r="T122" i="4" s="1"/>
  <c r="U109" i="4"/>
  <c r="U111" i="4"/>
  <c r="V108" i="4"/>
  <c r="U81" i="4"/>
  <c r="V81" i="4" s="1"/>
  <c r="V74" i="4"/>
  <c r="V76" i="4" s="1"/>
  <c r="U75" i="4"/>
  <c r="U33" i="4"/>
  <c r="U35" i="4"/>
  <c r="V32" i="4"/>
  <c r="U118" i="4" l="1"/>
  <c r="V118" i="4" s="1"/>
  <c r="V111" i="4"/>
  <c r="V113" i="4" s="1"/>
  <c r="U42" i="4"/>
  <c r="V42" i="4" s="1"/>
  <c r="V35" i="4"/>
  <c r="V37" i="4" s="1"/>
  <c r="U36" i="4"/>
  <c r="U112" i="4"/>
  <c r="U120" i="4" s="1"/>
  <c r="U122" i="4" s="1"/>
</calcChain>
</file>

<file path=xl/sharedStrings.xml><?xml version="1.0" encoding="utf-8"?>
<sst xmlns="http://schemas.openxmlformats.org/spreadsheetml/2006/main" count="409" uniqueCount="128">
  <si>
    <t>Enron Capital &amp; Trade Services</t>
  </si>
  <si>
    <t>Business Analysis &amp; Reporting</t>
  </si>
  <si>
    <t>Power Plants - 2000</t>
  </si>
  <si>
    <t>1999</t>
  </si>
  <si>
    <t>2000</t>
  </si>
  <si>
    <t>Total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</si>
  <si>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</si>
  <si>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</si>
  <si>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</si>
  <si>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</si>
  <si>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</si>
  <si>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</si>
  <si>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</si>
  <si>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</si>
  <si>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</si>
  <si>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</si>
  <si>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</si>
  <si>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</si>
  <si>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GE 7EA's (8ea)</t>
  </si>
  <si>
    <t>ABB</t>
  </si>
  <si>
    <t>EECC</t>
  </si>
  <si>
    <t>NEPCO</t>
  </si>
  <si>
    <t>PARTS</t>
  </si>
  <si>
    <t>LAND</t>
  </si>
  <si>
    <t>ENVIR PERMITTING</t>
  </si>
  <si>
    <t>GAS INTERCONNECT</t>
  </si>
  <si>
    <t>ELECT INTERCONNECT</t>
  </si>
  <si>
    <t>START UP FUEL</t>
  </si>
  <si>
    <t>SALES TAX</t>
  </si>
  <si>
    <t>INSURANCE</t>
  </si>
  <si>
    <t>SALARIES</t>
  </si>
  <si>
    <t>FINANCING FEE</t>
  </si>
  <si>
    <t>DEVELOPMENT</t>
  </si>
  <si>
    <t>LEGAL</t>
  </si>
  <si>
    <t>CALVERT CITY, KY</t>
  </si>
  <si>
    <t>WH501FD (2 ea)</t>
  </si>
  <si>
    <t>WH 501F (1 ea)</t>
  </si>
  <si>
    <t>WHEATLAND, INDIANA</t>
  </si>
  <si>
    <t>WH 501D5A (4)</t>
  </si>
  <si>
    <t>DEBT RESERVE</t>
  </si>
  <si>
    <t>CONTINGENCY (5%)</t>
  </si>
  <si>
    <t>WATER LINE</t>
  </si>
  <si>
    <t>EI (Mobilization of O&amp;M)</t>
  </si>
  <si>
    <t xml:space="preserve"> Wilton Center IL</t>
  </si>
  <si>
    <t>IDC</t>
  </si>
  <si>
    <t>Cumulative Total</t>
  </si>
  <si>
    <t>Total Wilton Center</t>
  </si>
  <si>
    <t>RESALE AND HANDLING FEE</t>
  </si>
  <si>
    <t>RESALE HANDLING FEE</t>
  </si>
  <si>
    <t>Total Calvert City</t>
  </si>
  <si>
    <t>Mike Miller</t>
  </si>
  <si>
    <t>Kevin Presto</t>
  </si>
  <si>
    <t>Scott Healy</t>
  </si>
  <si>
    <t>Chris Meyer</t>
  </si>
  <si>
    <t>Rodney Malcolm</t>
  </si>
  <si>
    <t>Ben Jacoby</t>
  </si>
  <si>
    <t>Patrick Maloy</t>
  </si>
  <si>
    <t>Steve Dowd</t>
  </si>
  <si>
    <t>Person Responsible</t>
  </si>
  <si>
    <t>Last updated:  February 23, 1999</t>
  </si>
  <si>
    <t>( Dev Owner:  Scott Healy)</t>
  </si>
  <si>
    <t>( Dev Owner:  Ben Jacoby)</t>
  </si>
  <si>
    <t>( Dev Owner:  Steve Dowd)</t>
  </si>
  <si>
    <t>Total Plant</t>
  </si>
  <si>
    <t>$$/Kw</t>
  </si>
  <si>
    <t>Subtotal</t>
  </si>
  <si>
    <t>MW</t>
  </si>
  <si>
    <t>Cumulative Total Plant</t>
  </si>
  <si>
    <t>Cumulative subtotal</t>
  </si>
  <si>
    <t>Total Current month less IDC</t>
  </si>
  <si>
    <t>Cumulative total w/o Debt reserve</t>
  </si>
  <si>
    <t>Cumulative total with Debt reserve</t>
  </si>
  <si>
    <t>IDC 6.5% - Swap</t>
  </si>
  <si>
    <t>Total Project Cost (with Debt Reserve)</t>
  </si>
  <si>
    <t>Total Project Cost (w/o Debt Reserve)</t>
  </si>
  <si>
    <t>Commitment Fee</t>
  </si>
  <si>
    <t>Power Plants - 1999</t>
  </si>
  <si>
    <t>Brownsville, TN</t>
  </si>
  <si>
    <t>( Dev Owner:  Clay Spears)</t>
  </si>
  <si>
    <t>WH 5D's (4ea)</t>
  </si>
  <si>
    <t>CONTINGENCY</t>
  </si>
  <si>
    <t>OTHER</t>
  </si>
  <si>
    <t>Monthly Draw, including accr int and comm fee</t>
  </si>
  <si>
    <t>Cumulative Outstanding Balance</t>
  </si>
  <si>
    <t>Total Cumul Project Cost (w/o Debt Reserve)</t>
  </si>
  <si>
    <t>Total Capital</t>
  </si>
  <si>
    <t>IDC 5.75%  (Actuals through April)</t>
  </si>
  <si>
    <t>Caledonia, MS</t>
  </si>
  <si>
    <t>GE 7EA's (6ea)</t>
  </si>
  <si>
    <t>Blue</t>
  </si>
  <si>
    <t>Actuals</t>
  </si>
  <si>
    <t>New Albany, MS</t>
  </si>
  <si>
    <t>SPARE PARTS</t>
  </si>
  <si>
    <t>IDC Credit on Unused Cash</t>
  </si>
  <si>
    <t>Swap Gain/Loss</t>
  </si>
  <si>
    <t>Power Plants</t>
  </si>
  <si>
    <t>Outstanding Balance Summary</t>
  </si>
  <si>
    <t>Date of</t>
  </si>
  <si>
    <t>Interest</t>
  </si>
  <si>
    <t>Description</t>
  </si>
  <si>
    <t>Funding</t>
  </si>
  <si>
    <t>Rate</t>
  </si>
  <si>
    <t>Brownsville</t>
  </si>
  <si>
    <t>Caledonia</t>
  </si>
  <si>
    <t>New Albany</t>
  </si>
  <si>
    <t>(30day LIBOR</t>
  </si>
  <si>
    <t>+ 75 bps)</t>
  </si>
  <si>
    <t>Initial Funding</t>
  </si>
  <si>
    <t>First Draw</t>
  </si>
  <si>
    <t>Transaction Expenses</t>
  </si>
  <si>
    <t>CM Activity</t>
  </si>
  <si>
    <t>Cumulative O/S balance</t>
  </si>
  <si>
    <t>Second Draw</t>
  </si>
  <si>
    <t>Third Draw</t>
  </si>
  <si>
    <t>Fourth Draw</t>
  </si>
  <si>
    <t>Fifth Draw</t>
  </si>
  <si>
    <t>Total Commitment</t>
  </si>
  <si>
    <t>Remaining balance</t>
  </si>
  <si>
    <t>SWAP</t>
  </si>
  <si>
    <t>Swap</t>
  </si>
  <si>
    <t>Sixth Draw</t>
  </si>
  <si>
    <t>Breakage Costs</t>
  </si>
  <si>
    <t>Payback West LB</t>
  </si>
  <si>
    <t>+ 15 Bps Com Fee (thru 5/21/99 only)</t>
  </si>
  <si>
    <t>Input from WestLB statements for each month's actuals (1/99 - 5/99)</t>
  </si>
  <si>
    <t>Capital</t>
  </si>
  <si>
    <t>January 2000</t>
  </si>
  <si>
    <t>Last updated:  Actuals through January 7,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</si>
</sst>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/d/yy\ h:mm\ AM/PM"/>
    <numFmt numFmtId="166" formatCode="0_);\(0\)"/>
    <numFmt numFmtId="170" formatCode="_(&quot;$&quot;* #,##0_);_(&quot;$&quot;* \(#,##0\);_(&quot;$&quot;* &quot;-&quot;??_);_(@_)"/>
    <numFmt numFmtId="177" formatCode="0.00000%"/>
  </numFmts>
  <fonts count="1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b/>
      <u val="singleAccounting"/>
      <sz val="11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5" fontId="4" fillId="0" borderId="0" xfId="1" applyNumberFormat="1" applyFont="1" applyAlignment="1">
      <alignment horizontal="right"/>
    </xf>
    <xf numFmtId="164" fontId="5" fillId="0" borderId="0" xfId="1" applyNumberFormat="1" applyFont="1" applyFill="1"/>
    <xf numFmtId="164" fontId="5" fillId="0" borderId="0" xfId="1" applyNumberFormat="1" applyFont="1" applyFill="1" applyAlignment="1">
      <alignment horizontal="left"/>
    </xf>
    <xf numFmtId="164" fontId="5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164" fontId="6" fillId="0" borderId="0" xfId="1" applyNumberFormat="1" applyFont="1" applyFill="1"/>
    <xf numFmtId="164" fontId="5" fillId="0" borderId="0" xfId="1" applyNumberFormat="1" applyFont="1" applyFill="1" applyBorder="1"/>
    <xf numFmtId="164" fontId="5" fillId="0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/>
    <xf numFmtId="10" fontId="5" fillId="0" borderId="0" xfId="3" applyNumberFormat="1" applyFont="1" applyFill="1"/>
    <xf numFmtId="164" fontId="5" fillId="0" borderId="2" xfId="1" applyNumberFormat="1" applyFont="1" applyFill="1" applyBorder="1"/>
    <xf numFmtId="164" fontId="5" fillId="0" borderId="3" xfId="1" applyNumberFormat="1" applyFont="1" applyFill="1" applyBorder="1" applyAlignment="1">
      <alignment horizontal="center"/>
    </xf>
    <xf numFmtId="164" fontId="6" fillId="0" borderId="3" xfId="1" applyNumberFormat="1" applyFont="1" applyFill="1" applyBorder="1" applyAlignment="1">
      <alignment horizontal="left"/>
    </xf>
    <xf numFmtId="43" fontId="5" fillId="0" borderId="1" xfId="1" applyNumberFormat="1" applyFont="1" applyFill="1" applyBorder="1"/>
    <xf numFmtId="164" fontId="1" fillId="0" borderId="0" xfId="1" applyNumberFormat="1" applyFont="1" applyFill="1"/>
    <xf numFmtId="164" fontId="1" fillId="0" borderId="0" xfId="1" applyNumberFormat="1" applyFill="1"/>
    <xf numFmtId="164" fontId="1" fillId="0" borderId="3" xfId="1" applyNumberFormat="1" applyFill="1" applyBorder="1"/>
    <xf numFmtId="164" fontId="1" fillId="0" borderId="0" xfId="1" applyNumberFormat="1" applyFill="1" applyBorder="1"/>
    <xf numFmtId="164" fontId="5" fillId="0" borderId="4" xfId="1" applyNumberFormat="1" applyFont="1" applyFill="1" applyBorder="1"/>
    <xf numFmtId="164" fontId="5" fillId="0" borderId="3" xfId="1" applyNumberFormat="1" applyFont="1" applyFill="1" applyBorder="1"/>
    <xf numFmtId="164" fontId="5" fillId="0" borderId="5" xfId="1" applyNumberFormat="1" applyFont="1" applyFill="1" applyBorder="1"/>
    <xf numFmtId="165" fontId="7" fillId="0" borderId="0" xfId="1" applyNumberFormat="1" applyFont="1"/>
    <xf numFmtId="164" fontId="7" fillId="0" borderId="0" xfId="1" applyNumberFormat="1" applyFont="1" applyAlignment="1">
      <alignment horizontal="right"/>
    </xf>
    <xf numFmtId="164" fontId="8" fillId="0" borderId="0" xfId="1" applyNumberFormat="1" applyFont="1" applyFill="1"/>
    <xf numFmtId="164" fontId="9" fillId="0" borderId="0" xfId="1" applyNumberFormat="1" applyFont="1" applyFill="1"/>
    <xf numFmtId="164" fontId="6" fillId="0" borderId="0" xfId="1" applyNumberFormat="1" applyFont="1" applyFill="1" applyBorder="1"/>
    <xf numFmtId="164" fontId="5" fillId="0" borderId="6" xfId="1" applyNumberFormat="1" applyFont="1" applyFill="1" applyBorder="1"/>
    <xf numFmtId="164" fontId="5" fillId="0" borderId="7" xfId="1" applyNumberFormat="1" applyFont="1" applyFill="1" applyBorder="1"/>
    <xf numFmtId="164" fontId="5" fillId="0" borderId="8" xfId="1" quotePrefix="1" applyNumberFormat="1" applyFont="1" applyFill="1" applyBorder="1" applyAlignment="1">
      <alignment horizontal="center"/>
    </xf>
    <xf numFmtId="164" fontId="5" fillId="0" borderId="9" xfId="1" applyNumberFormat="1" applyFont="1" applyFill="1" applyBorder="1"/>
    <xf numFmtId="164" fontId="6" fillId="0" borderId="0" xfId="1" quotePrefix="1" applyNumberFormat="1" applyFont="1" applyFill="1"/>
    <xf numFmtId="164" fontId="10" fillId="0" borderId="0" xfId="1" applyNumberFormat="1" applyFont="1" applyFill="1" applyAlignment="1">
      <alignment horizontal="center"/>
    </xf>
    <xf numFmtId="10" fontId="11" fillId="0" borderId="0" xfId="3" applyNumberFormat="1" applyFont="1" applyFill="1"/>
    <xf numFmtId="164" fontId="11" fillId="0" borderId="0" xfId="1" applyNumberFormat="1" applyFont="1" applyFill="1"/>
    <xf numFmtId="164" fontId="11" fillId="2" borderId="0" xfId="1" applyNumberFormat="1" applyFont="1" applyFill="1"/>
    <xf numFmtId="164" fontId="0" fillId="0" borderId="0" xfId="0" applyNumberFormat="1"/>
    <xf numFmtId="0" fontId="0" fillId="0" borderId="1" xfId="0" applyBorder="1"/>
    <xf numFmtId="164" fontId="12" fillId="0" borderId="0" xfId="1" applyNumberFormat="1" applyFont="1" applyFill="1"/>
    <xf numFmtId="164" fontId="11" fillId="0" borderId="4" xfId="1" applyNumberFormat="1" applyFont="1" applyFill="1" applyBorder="1"/>
    <xf numFmtId="164" fontId="12" fillId="0" borderId="0" xfId="1" applyNumberFormat="1" applyFont="1" applyFill="1" applyBorder="1"/>
    <xf numFmtId="164" fontId="11" fillId="0" borderId="0" xfId="1" applyNumberFormat="1" applyFont="1" applyFill="1" applyBorder="1"/>
    <xf numFmtId="164" fontId="11" fillId="0" borderId="6" xfId="1" applyNumberFormat="1" applyFont="1" applyFill="1" applyBorder="1"/>
    <xf numFmtId="164" fontId="11" fillId="0" borderId="9" xfId="1" applyNumberFormat="1" applyFont="1" applyFill="1" applyBorder="1"/>
    <xf numFmtId="10" fontId="11" fillId="2" borderId="0" xfId="3" applyNumberFormat="1" applyFont="1" applyFill="1"/>
    <xf numFmtId="177" fontId="1" fillId="0" borderId="0" xfId="3" applyNumberFormat="1"/>
    <xf numFmtId="43" fontId="1" fillId="0" borderId="0" xfId="1"/>
    <xf numFmtId="0" fontId="5" fillId="0" borderId="0" xfId="0" applyFont="1" applyAlignment="1">
      <alignment horizontal="center"/>
    </xf>
    <xf numFmtId="43" fontId="5" fillId="0" borderId="0" xfId="1" applyFont="1" applyAlignment="1">
      <alignment horizontal="center"/>
    </xf>
    <xf numFmtId="177" fontId="5" fillId="0" borderId="0" xfId="3" applyNumberFormat="1" applyFont="1" applyAlignment="1">
      <alignment horizontal="center"/>
    </xf>
    <xf numFmtId="0" fontId="13" fillId="0" borderId="0" xfId="0" applyFont="1" applyAlignment="1">
      <alignment horizontal="center"/>
    </xf>
    <xf numFmtId="177" fontId="13" fillId="0" borderId="0" xfId="3" applyNumberFormat="1" applyFont="1" applyAlignment="1">
      <alignment horizontal="center"/>
    </xf>
    <xf numFmtId="43" fontId="13" fillId="0" borderId="0" xfId="1" applyFont="1" applyAlignment="1">
      <alignment horizontal="center"/>
    </xf>
    <xf numFmtId="177" fontId="1" fillId="0" borderId="0" xfId="3" applyNumberFormat="1" applyFont="1" applyAlignment="1">
      <alignment horizontal="center"/>
    </xf>
    <xf numFmtId="177" fontId="1" fillId="0" borderId="0" xfId="3" quotePrefix="1" applyNumberFormat="1" applyFont="1" applyAlignment="1">
      <alignment horizontal="center"/>
    </xf>
    <xf numFmtId="177" fontId="1" fillId="0" borderId="0" xfId="3" quotePrefix="1" applyNumberFormat="1" applyFont="1"/>
    <xf numFmtId="14" fontId="0" fillId="0" borderId="0" xfId="0" applyNumberFormat="1"/>
    <xf numFmtId="43" fontId="1" fillId="0" borderId="4" xfId="1" applyBorder="1"/>
    <xf numFmtId="44" fontId="1" fillId="0" borderId="0" xfId="2"/>
    <xf numFmtId="44" fontId="1" fillId="0" borderId="10" xfId="2" applyBorder="1"/>
    <xf numFmtId="164" fontId="11" fillId="0" borderId="0" xfId="1" applyNumberFormat="1" applyFont="1" applyFill="1" applyAlignment="1">
      <alignment horizontal="center"/>
    </xf>
    <xf numFmtId="0" fontId="14" fillId="0" borderId="0" xfId="0" applyFont="1"/>
    <xf numFmtId="14" fontId="14" fillId="0" borderId="0" xfId="0" applyNumberFormat="1" applyFont="1"/>
    <xf numFmtId="177" fontId="14" fillId="0" borderId="0" xfId="3" applyNumberFormat="1" applyFont="1"/>
    <xf numFmtId="164" fontId="5" fillId="0" borderId="0" xfId="1" applyNumberFormat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center"/>
    </xf>
    <xf numFmtId="166" fontId="5" fillId="0" borderId="0" xfId="1" applyNumberFormat="1" applyFont="1" applyFill="1" applyBorder="1" applyAlignment="1">
      <alignment horizontal="center"/>
    </xf>
    <xf numFmtId="164" fontId="5" fillId="0" borderId="0" xfId="1" quotePrefix="1" applyNumberFormat="1" applyFont="1" applyFill="1" applyBorder="1" applyAlignment="1">
      <alignment horizontal="center"/>
    </xf>
    <xf numFmtId="164" fontId="10" fillId="0" borderId="0" xfId="1" applyNumberFormat="1" applyFont="1" applyFill="1" applyBorder="1" applyAlignment="1">
      <alignment horizontal="center"/>
    </xf>
    <xf numFmtId="164" fontId="1" fillId="0" borderId="0" xfId="1" applyNumberFormat="1" applyFont="1" applyFill="1" applyBorder="1"/>
    <xf numFmtId="0" fontId="0" fillId="0" borderId="0" xfId="0" applyBorder="1"/>
    <xf numFmtId="170" fontId="5" fillId="0" borderId="0" xfId="2" applyNumberFormat="1" applyFont="1" applyFill="1" applyBorder="1"/>
    <xf numFmtId="10" fontId="15" fillId="0" borderId="0" xfId="3" applyNumberFormat="1" applyFont="1" applyFill="1"/>
    <xf numFmtId="164" fontId="5" fillId="0" borderId="0" xfId="1" quotePrefix="1" applyNumberFormat="1" applyFont="1" applyFill="1" applyAlignment="1">
      <alignment horizontal="center"/>
    </xf>
    <xf numFmtId="164" fontId="5" fillId="0" borderId="8" xfId="1" quotePrefix="1" applyNumberFormat="1" applyFont="1" applyFill="1" applyBorder="1" applyAlignment="1">
      <alignment horizontal="center"/>
    </xf>
    <xf numFmtId="164" fontId="5" fillId="0" borderId="0" xfId="1" quotePrefix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Engysvc/PowerPlants/TVA%20Plants/TVA%20Weekly%20Summary/TVA%20Wkly%20Anal%20-%200111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Brownsville"/>
      <sheetName val="Caledonia"/>
      <sheetName val="NewAlbany"/>
      <sheetName val="Parts_Refurb $s"/>
    </sheetNames>
    <sheetDataSet>
      <sheetData sheetId="0"/>
      <sheetData sheetId="1"/>
      <sheetData sheetId="2"/>
      <sheetData sheetId="3"/>
      <sheetData sheetId="4"/>
      <sheetData sheetId="5">
        <row r="18">
          <cell r="BE18">
            <v>72614405.800000012</v>
          </cell>
        </row>
        <row r="31">
          <cell r="BE31">
            <v>8885247.6400000006</v>
          </cell>
        </row>
        <row r="41">
          <cell r="BE41">
            <v>734722.72</v>
          </cell>
        </row>
        <row r="106">
          <cell r="BE106">
            <v>32943417.699999999</v>
          </cell>
        </row>
        <row r="113">
          <cell r="BE113">
            <v>698289.4</v>
          </cell>
        </row>
        <row r="115">
          <cell r="BE115">
            <v>1317746.81</v>
          </cell>
        </row>
        <row r="120">
          <cell r="BE120">
            <v>461440.33</v>
          </cell>
        </row>
        <row r="130">
          <cell r="BE130">
            <v>865369.27999999991</v>
          </cell>
        </row>
        <row r="132">
          <cell r="BE132">
            <v>0</v>
          </cell>
        </row>
        <row r="139">
          <cell r="BE139">
            <v>1972489.0119999999</v>
          </cell>
        </row>
        <row r="141">
          <cell r="BE141">
            <v>225949</v>
          </cell>
        </row>
        <row r="143">
          <cell r="BE143">
            <v>164348</v>
          </cell>
        </row>
        <row r="145">
          <cell r="BE145">
            <v>35060.42</v>
          </cell>
        </row>
        <row r="147">
          <cell r="BE147">
            <v>4408047</v>
          </cell>
        </row>
        <row r="148">
          <cell r="BE148">
            <v>-123964</v>
          </cell>
        </row>
        <row r="149">
          <cell r="BE149">
            <v>23205.300000000003</v>
          </cell>
        </row>
        <row r="150">
          <cell r="BE150">
            <v>-15667.939999999999</v>
          </cell>
        </row>
        <row r="159">
          <cell r="BE159">
            <v>1062103.7233333334</v>
          </cell>
        </row>
        <row r="161">
          <cell r="BE161">
            <v>69937</v>
          </cell>
        </row>
        <row r="179">
          <cell r="BE179">
            <v>555315.14000000013</v>
          </cell>
        </row>
        <row r="193">
          <cell r="BE193">
            <v>1018625.21</v>
          </cell>
        </row>
        <row r="195">
          <cell r="BE195">
            <v>228051.11</v>
          </cell>
        </row>
        <row r="198">
          <cell r="BE198">
            <v>128144138.65533334</v>
          </cell>
        </row>
      </sheetData>
      <sheetData sheetId="6">
        <row r="21">
          <cell r="BE21">
            <v>101629107.92</v>
          </cell>
        </row>
        <row r="34">
          <cell r="BE34">
            <v>10286721</v>
          </cell>
        </row>
        <row r="44">
          <cell r="BE44">
            <v>785954.21</v>
          </cell>
        </row>
        <row r="117">
          <cell r="BE117">
            <v>29262011.149999999</v>
          </cell>
        </row>
        <row r="123">
          <cell r="BE123">
            <v>568579.43999999994</v>
          </cell>
        </row>
        <row r="125">
          <cell r="BE125">
            <v>787800</v>
          </cell>
        </row>
        <row r="136">
          <cell r="BE136">
            <v>557693.32999999996</v>
          </cell>
        </row>
        <row r="138">
          <cell r="BE138">
            <v>237352.65</v>
          </cell>
        </row>
        <row r="141">
          <cell r="BE141">
            <v>981000</v>
          </cell>
        </row>
        <row r="148">
          <cell r="BE148">
            <v>3507819.8760000002</v>
          </cell>
        </row>
        <row r="150">
          <cell r="BE150">
            <v>99999.999999999942</v>
          </cell>
        </row>
        <row r="152">
          <cell r="BE152">
            <v>224923</v>
          </cell>
        </row>
        <row r="154">
          <cell r="BE154">
            <v>53203.58</v>
          </cell>
        </row>
        <row r="156">
          <cell r="BE156">
            <v>3172038.28</v>
          </cell>
        </row>
        <row r="157">
          <cell r="BE157">
            <v>-426988</v>
          </cell>
        </row>
        <row r="158">
          <cell r="BE158">
            <v>40258</v>
          </cell>
        </row>
        <row r="159">
          <cell r="BE159">
            <v>-10399.469999999999</v>
          </cell>
        </row>
        <row r="169">
          <cell r="BE169">
            <v>1243352.7133333331</v>
          </cell>
        </row>
        <row r="171">
          <cell r="BE171">
            <v>94021</v>
          </cell>
        </row>
        <row r="184">
          <cell r="BE184">
            <v>741635.96</v>
          </cell>
        </row>
        <row r="193">
          <cell r="BE193">
            <v>833590.25</v>
          </cell>
        </row>
        <row r="195">
          <cell r="BE195">
            <v>136036.07</v>
          </cell>
        </row>
        <row r="199">
          <cell r="BE199">
            <v>154805710.9593333</v>
          </cell>
        </row>
      </sheetData>
      <sheetData sheetId="7">
        <row r="25">
          <cell r="BE25">
            <v>82754588.730000004</v>
          </cell>
        </row>
        <row r="27">
          <cell r="BE27">
            <v>7891256.5300000003</v>
          </cell>
        </row>
        <row r="41">
          <cell r="BE41">
            <v>11336875.91</v>
          </cell>
        </row>
        <row r="51">
          <cell r="BE51">
            <v>1199679</v>
          </cell>
        </row>
        <row r="141">
          <cell r="BE141">
            <v>33531645.170000002</v>
          </cell>
        </row>
        <row r="147">
          <cell r="BE147">
            <v>786608.59</v>
          </cell>
        </row>
        <row r="149">
          <cell r="BE149">
            <v>813050</v>
          </cell>
        </row>
        <row r="153">
          <cell r="BE153">
            <v>172609.34</v>
          </cell>
        </row>
        <row r="157">
          <cell r="BE157">
            <v>354903.46</v>
          </cell>
        </row>
        <row r="159">
          <cell r="BE159">
            <v>0</v>
          </cell>
        </row>
        <row r="166">
          <cell r="BE166">
            <v>2150806.6639999999</v>
          </cell>
        </row>
        <row r="168">
          <cell r="BE168">
            <v>100000</v>
          </cell>
        </row>
        <row r="170">
          <cell r="BE170">
            <v>326527</v>
          </cell>
        </row>
        <row r="172">
          <cell r="BE172">
            <v>63623.9</v>
          </cell>
        </row>
        <row r="174">
          <cell r="BE174">
            <v>4163904.83</v>
          </cell>
        </row>
        <row r="175">
          <cell r="BE175">
            <v>-159283</v>
          </cell>
        </row>
        <row r="176">
          <cell r="BE176">
            <v>24072.18</v>
          </cell>
        </row>
        <row r="177">
          <cell r="BE177">
            <v>-15668</v>
          </cell>
        </row>
        <row r="189">
          <cell r="BE189">
            <v>1112102.7033333334</v>
          </cell>
        </row>
        <row r="191">
          <cell r="BE191">
            <v>62709.15</v>
          </cell>
        </row>
        <row r="205">
          <cell r="BE205">
            <v>638181.84999999986</v>
          </cell>
        </row>
        <row r="215">
          <cell r="BE215">
            <v>791174.84</v>
          </cell>
        </row>
        <row r="217">
          <cell r="BE217">
            <v>375015.74</v>
          </cell>
        </row>
        <row r="221">
          <cell r="BE221">
            <v>148474384.58733332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2"/>
  <sheetViews>
    <sheetView zoomScale="75" workbookViewId="0">
      <pane xSplit="2" ySplit="6" topLeftCell="C7" activePane="bottomRight" state="frozen"/>
      <selection activeCell="C7" sqref="C7"/>
      <selection pane="topRight" activeCell="C7" sqref="C7"/>
      <selection pane="bottomLeft" activeCell="C7" sqref="C7"/>
      <selection pane="bottomRight" activeCell="Q10" sqref="Q10"/>
    </sheetView>
  </sheetViews>
  <sheetFormatPr defaultRowHeight="12.75" x14ac:dyDescent="0.2"/>
  <cols>
    <col min="1" max="1" width="32.5703125" style="18" customWidth="1"/>
    <col min="2" max="2" width="1.7109375" style="18" customWidth="1"/>
    <col min="3" max="3" width="13.85546875" style="4" customWidth="1"/>
    <col min="4" max="4" width="14" style="18" customWidth="1"/>
    <col min="5" max="5" width="13.85546875" style="18" customWidth="1"/>
    <col min="6" max="6" width="12.85546875" style="18" customWidth="1"/>
    <col min="7" max="10" width="13.5703125" style="18" customWidth="1"/>
    <col min="11" max="11" width="14.28515625" style="18" bestFit="1" customWidth="1"/>
    <col min="12" max="12" width="13.5703125" style="18" customWidth="1"/>
    <col min="13" max="13" width="15.42578125" style="18" customWidth="1"/>
    <col min="14" max="14" width="14.28515625" style="18" bestFit="1" customWidth="1"/>
    <col min="15" max="16" width="13.85546875" style="18" customWidth="1"/>
    <col min="17" max="17" width="13.5703125" style="18" customWidth="1"/>
    <col min="18" max="18" width="14.5703125" style="18" customWidth="1"/>
    <col min="19" max="19" width="13.7109375" style="18" customWidth="1"/>
    <col min="20" max="20" width="14.28515625" style="18" bestFit="1" customWidth="1"/>
    <col min="21" max="21" width="14.5703125" style="18" bestFit="1" customWidth="1"/>
    <col min="22" max="22" width="18.5703125" style="4" customWidth="1"/>
    <col min="23" max="23" width="32.7109375" style="18" customWidth="1"/>
    <col min="24" max="16384" width="9.140625" style="18"/>
  </cols>
  <sheetData>
    <row r="1" spans="1:23" s="2" customFormat="1" ht="15.75" x14ac:dyDescent="0.25">
      <c r="A1" s="1" t="s">
        <v>0</v>
      </c>
    </row>
    <row r="2" spans="1:23" s="2" customFormat="1" ht="15.75" x14ac:dyDescent="0.25">
      <c r="A2" s="1" t="s">
        <v>1</v>
      </c>
      <c r="D2" s="1" t="s">
        <v>59</v>
      </c>
      <c r="V2" s="25" t="str">
        <f ca="1">CELL("filename")</f>
        <v>C:\Users\Felienne\Enron\EnronSpreadsheets\[benjamin_rogers__1154__TVADraw011100.xls]Brownsville</v>
      </c>
    </row>
    <row r="3" spans="1:23" s="2" customFormat="1" ht="15.75" x14ac:dyDescent="0.25">
      <c r="A3" s="1" t="s">
        <v>2</v>
      </c>
      <c r="F3" s="3"/>
      <c r="V3" s="24">
        <f ca="1">NOW()</f>
        <v>41885.555205208337</v>
      </c>
    </row>
    <row r="4" spans="1:23" x14ac:dyDescent="0.2">
      <c r="C4" s="12"/>
    </row>
    <row r="5" spans="1:23" s="6" customFormat="1" x14ac:dyDescent="0.2">
      <c r="A5" s="5"/>
      <c r="C5" s="7">
        <v>1998</v>
      </c>
      <c r="D5" s="76" t="s">
        <v>3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 t="s">
        <v>4</v>
      </c>
      <c r="Q5" s="76"/>
      <c r="R5" s="76"/>
      <c r="S5" s="76"/>
      <c r="T5" s="76"/>
      <c r="U5" s="76"/>
      <c r="V5" s="76"/>
    </row>
    <row r="6" spans="1:23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14" t="s">
        <v>5</v>
      </c>
      <c r="W6" s="14" t="s">
        <v>58</v>
      </c>
    </row>
    <row r="7" spans="1:23" s="6" customFormat="1" x14ac:dyDescent="0.2">
      <c r="A7" s="5" t="s">
        <v>43</v>
      </c>
      <c r="V7" s="10"/>
      <c r="W7"/>
    </row>
    <row r="8" spans="1:23" s="6" customFormat="1" x14ac:dyDescent="0.2">
      <c r="A8" s="5" t="s">
        <v>60</v>
      </c>
      <c r="V8" s="10"/>
      <c r="W8"/>
    </row>
    <row r="9" spans="1:23" x14ac:dyDescent="0.2">
      <c r="A9" s="17" t="s">
        <v>18</v>
      </c>
      <c r="C9" s="4">
        <v>6800000</v>
      </c>
      <c r="D9" s="8">
        <v>0</v>
      </c>
      <c r="E9" s="8">
        <v>32884800</v>
      </c>
      <c r="F9" s="8">
        <f>6825139*2</f>
        <v>13650278</v>
      </c>
      <c r="G9" s="8">
        <v>6825139</v>
      </c>
      <c r="H9" s="8">
        <v>6825139</v>
      </c>
      <c r="I9" s="8">
        <v>6825139</v>
      </c>
      <c r="J9" s="8">
        <v>6825139</v>
      </c>
      <c r="K9" s="8">
        <v>6825139</v>
      </c>
      <c r="L9" s="8">
        <v>6825139</v>
      </c>
      <c r="M9" s="8">
        <v>8531424</v>
      </c>
      <c r="N9" s="8">
        <v>12790310</v>
      </c>
      <c r="O9" s="8">
        <f>12803961+4066034</f>
        <v>16869995</v>
      </c>
      <c r="P9" s="18">
        <v>0</v>
      </c>
      <c r="U9" s="18">
        <v>6825139</v>
      </c>
      <c r="V9" s="11">
        <f t="shared" ref="V9:V25" si="0">SUM(C9:U9)</f>
        <v>139302780</v>
      </c>
      <c r="W9" s="19" t="s">
        <v>50</v>
      </c>
    </row>
    <row r="10" spans="1:23" x14ac:dyDescent="0.2">
      <c r="A10" s="17" t="s">
        <v>19</v>
      </c>
      <c r="C10" s="4">
        <v>0</v>
      </c>
      <c r="G10" s="18">
        <v>670000</v>
      </c>
      <c r="I10" s="18">
        <v>5360000</v>
      </c>
      <c r="J10" s="18">
        <v>2680000</v>
      </c>
      <c r="K10" s="18">
        <v>670000</v>
      </c>
      <c r="L10" s="18">
        <v>670000</v>
      </c>
      <c r="M10" s="18">
        <v>670000</v>
      </c>
      <c r="N10" s="18">
        <v>670000</v>
      </c>
      <c r="O10" s="18">
        <v>670000</v>
      </c>
      <c r="P10" s="18">
        <v>670000</v>
      </c>
      <c r="Q10" s="18">
        <v>670000</v>
      </c>
      <c r="V10" s="11">
        <f t="shared" si="0"/>
        <v>13400000</v>
      </c>
      <c r="W10" s="19" t="str">
        <f>W9</f>
        <v>Mike Miller</v>
      </c>
    </row>
    <row r="11" spans="1:23" x14ac:dyDescent="0.2">
      <c r="A11" s="17" t="s">
        <v>20</v>
      </c>
      <c r="C11" s="4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1">
        <f t="shared" si="0"/>
        <v>0</v>
      </c>
      <c r="W11" s="19" t="str">
        <f>W10</f>
        <v>Mike Miller</v>
      </c>
    </row>
    <row r="12" spans="1:23" x14ac:dyDescent="0.2">
      <c r="A12" s="17" t="s">
        <v>21</v>
      </c>
      <c r="C12" s="4">
        <v>0</v>
      </c>
      <c r="K12" s="18">
        <v>1642664</v>
      </c>
      <c r="L12" s="18">
        <v>1558726</v>
      </c>
      <c r="M12" s="18">
        <v>1558726</v>
      </c>
      <c r="N12" s="18">
        <v>1558996</v>
      </c>
      <c r="O12" s="18">
        <v>2620773</v>
      </c>
      <c r="P12" s="18">
        <v>4676732</v>
      </c>
      <c r="Q12" s="18">
        <v>4676732</v>
      </c>
      <c r="R12" s="18">
        <v>4676732</v>
      </c>
      <c r="S12" s="18">
        <v>4676732</v>
      </c>
      <c r="T12" s="18">
        <v>3176732</v>
      </c>
      <c r="U12" s="18">
        <v>3176455</v>
      </c>
      <c r="V12" s="11">
        <f t="shared" si="0"/>
        <v>34000000</v>
      </c>
      <c r="W12" s="19" t="str">
        <f>W11</f>
        <v>Mike Miller</v>
      </c>
    </row>
    <row r="13" spans="1:23" x14ac:dyDescent="0.2">
      <c r="A13" s="17" t="s">
        <v>42</v>
      </c>
      <c r="C13" s="4">
        <v>0</v>
      </c>
      <c r="P13" s="18">
        <v>125000</v>
      </c>
      <c r="Q13" s="18">
        <v>125000</v>
      </c>
      <c r="R13" s="18">
        <v>125000</v>
      </c>
      <c r="S13" s="18">
        <v>125000</v>
      </c>
      <c r="T13" s="18">
        <v>125000</v>
      </c>
      <c r="U13" s="18">
        <v>125000</v>
      </c>
      <c r="V13" s="11">
        <f t="shared" si="0"/>
        <v>750000</v>
      </c>
      <c r="W13" s="19" t="s">
        <v>51</v>
      </c>
    </row>
    <row r="14" spans="1:23" x14ac:dyDescent="0.2">
      <c r="A14" s="17" t="s">
        <v>22</v>
      </c>
      <c r="C14" s="4">
        <v>0</v>
      </c>
      <c r="S14" s="18">
        <v>500000</v>
      </c>
      <c r="T14" s="18">
        <v>500000</v>
      </c>
      <c r="U14" s="18">
        <v>204000</v>
      </c>
      <c r="V14" s="11">
        <f t="shared" si="0"/>
        <v>1204000</v>
      </c>
      <c r="W14" s="19" t="str">
        <f>W12</f>
        <v>Mike Miller</v>
      </c>
    </row>
    <row r="15" spans="1:23" x14ac:dyDescent="0.2">
      <c r="A15" s="17" t="s">
        <v>23</v>
      </c>
      <c r="C15" s="4">
        <v>0</v>
      </c>
      <c r="G15" s="18">
        <v>1668400</v>
      </c>
      <c r="H15" s="18">
        <v>0</v>
      </c>
      <c r="L15" s="18">
        <v>350000</v>
      </c>
      <c r="V15" s="11">
        <f t="shared" si="0"/>
        <v>2018400</v>
      </c>
      <c r="W15" s="19" t="s">
        <v>52</v>
      </c>
    </row>
    <row r="16" spans="1:23" x14ac:dyDescent="0.2">
      <c r="A16" s="17" t="s">
        <v>24</v>
      </c>
      <c r="C16" s="4">
        <v>0</v>
      </c>
      <c r="F16" s="18">
        <v>100000</v>
      </c>
      <c r="G16" s="18">
        <v>100000</v>
      </c>
      <c r="H16" s="18">
        <v>100000</v>
      </c>
      <c r="I16" s="17">
        <v>100000</v>
      </c>
      <c r="J16" s="17"/>
      <c r="K16" s="17"/>
      <c r="L16" s="17"/>
      <c r="V16" s="11">
        <f t="shared" si="0"/>
        <v>400000</v>
      </c>
      <c r="W16" s="19" t="str">
        <f>W15</f>
        <v>Scott Healy</v>
      </c>
    </row>
    <row r="17" spans="1:23" x14ac:dyDescent="0.2">
      <c r="A17" s="17" t="s">
        <v>25</v>
      </c>
      <c r="C17" s="4">
        <v>0</v>
      </c>
      <c r="P17" s="18">
        <v>1750000</v>
      </c>
      <c r="Q17" s="18">
        <v>500000</v>
      </c>
      <c r="R17" s="18">
        <v>500000</v>
      </c>
      <c r="S17" s="18">
        <v>500000</v>
      </c>
      <c r="T17" s="18">
        <v>250000</v>
      </c>
      <c r="V17" s="11">
        <f t="shared" si="0"/>
        <v>3500000</v>
      </c>
      <c r="W17" s="19" t="s">
        <v>53</v>
      </c>
    </row>
    <row r="18" spans="1:23" x14ac:dyDescent="0.2">
      <c r="A18" s="17" t="s">
        <v>26</v>
      </c>
      <c r="C18" s="4">
        <v>0</v>
      </c>
      <c r="F18" s="18">
        <v>100000</v>
      </c>
      <c r="G18" s="18">
        <v>100000</v>
      </c>
      <c r="O18" s="18">
        <v>1000000</v>
      </c>
      <c r="P18" s="18">
        <v>850000</v>
      </c>
      <c r="Q18" s="18">
        <v>750000</v>
      </c>
      <c r="R18" s="18">
        <v>600000</v>
      </c>
      <c r="V18" s="11">
        <f t="shared" si="0"/>
        <v>3400000</v>
      </c>
      <c r="W18" s="19" t="str">
        <f>W16</f>
        <v>Scott Healy</v>
      </c>
    </row>
    <row r="19" spans="1:23" x14ac:dyDescent="0.2">
      <c r="A19" s="17" t="s">
        <v>27</v>
      </c>
      <c r="C19" s="4">
        <v>0</v>
      </c>
      <c r="S19" s="18">
        <v>500000</v>
      </c>
      <c r="T19" s="18">
        <v>500000</v>
      </c>
      <c r="U19" s="18">
        <v>0</v>
      </c>
      <c r="V19" s="11">
        <f t="shared" si="0"/>
        <v>1000000</v>
      </c>
      <c r="W19" s="19" t="str">
        <f>W13</f>
        <v>Kevin Presto</v>
      </c>
    </row>
    <row r="20" spans="1:23" x14ac:dyDescent="0.2">
      <c r="A20" s="17" t="s">
        <v>28</v>
      </c>
      <c r="C20" s="4">
        <v>0</v>
      </c>
      <c r="P20" s="18">
        <v>0</v>
      </c>
      <c r="Q20" s="18">
        <v>0</v>
      </c>
      <c r="R20" s="18">
        <v>4500000</v>
      </c>
      <c r="S20" s="18">
        <v>1500000</v>
      </c>
      <c r="T20" s="18">
        <v>1500000</v>
      </c>
      <c r="U20" s="18">
        <v>1500000</v>
      </c>
      <c r="V20" s="11">
        <f t="shared" si="0"/>
        <v>9000000</v>
      </c>
      <c r="W20" s="19" t="str">
        <f>W18</f>
        <v>Scott Healy</v>
      </c>
    </row>
    <row r="21" spans="1:23" x14ac:dyDescent="0.2">
      <c r="A21" s="17" t="s">
        <v>29</v>
      </c>
      <c r="C21" s="4">
        <v>0</v>
      </c>
      <c r="L21" s="18">
        <v>150000</v>
      </c>
      <c r="V21" s="11">
        <f t="shared" si="0"/>
        <v>150000</v>
      </c>
      <c r="W21" s="19" t="str">
        <f>W20</f>
        <v>Scott Healy</v>
      </c>
    </row>
    <row r="22" spans="1:23" x14ac:dyDescent="0.2">
      <c r="A22" s="17" t="s">
        <v>30</v>
      </c>
      <c r="C22" s="4">
        <v>0</v>
      </c>
      <c r="D22" s="18">
        <v>11111.111111111111</v>
      </c>
      <c r="E22" s="18">
        <v>11111.111111111111</v>
      </c>
      <c r="F22" s="18">
        <v>11111.111111111111</v>
      </c>
      <c r="G22" s="18">
        <v>11111.111111111111</v>
      </c>
      <c r="H22" s="18">
        <v>11111.111111111111</v>
      </c>
      <c r="I22" s="18">
        <v>11111.111111111111</v>
      </c>
      <c r="J22" s="18">
        <v>11111.111111111111</v>
      </c>
      <c r="K22" s="18">
        <v>11111.111111111111</v>
      </c>
      <c r="L22" s="18">
        <v>11111.111111111111</v>
      </c>
      <c r="M22" s="18">
        <v>11111.111111111111</v>
      </c>
      <c r="N22" s="18">
        <v>11111.111111111111</v>
      </c>
      <c r="O22" s="18">
        <v>11111.111111111111</v>
      </c>
      <c r="P22" s="18">
        <v>11111.111111111111</v>
      </c>
      <c r="Q22" s="18">
        <v>11111.111111111111</v>
      </c>
      <c r="R22" s="18">
        <v>11111.111111111111</v>
      </c>
      <c r="S22" s="18">
        <v>11111.111111111111</v>
      </c>
      <c r="T22" s="18">
        <v>11111.111111111111</v>
      </c>
      <c r="U22" s="18">
        <v>11111.111111111111</v>
      </c>
      <c r="V22" s="11">
        <f t="shared" si="0"/>
        <v>200000.00000000009</v>
      </c>
      <c r="W22" s="19" t="str">
        <f>W21</f>
        <v>Scott Healy</v>
      </c>
    </row>
    <row r="23" spans="1:23" x14ac:dyDescent="0.2">
      <c r="A23" s="17" t="s">
        <v>32</v>
      </c>
      <c r="C23" s="4">
        <v>0</v>
      </c>
      <c r="D23" s="18">
        <v>15000</v>
      </c>
      <c r="E23" s="18">
        <v>15000</v>
      </c>
      <c r="F23" s="18">
        <v>15000</v>
      </c>
      <c r="G23" s="18">
        <v>15000</v>
      </c>
      <c r="H23" s="18">
        <v>15000</v>
      </c>
      <c r="I23" s="18">
        <v>15000</v>
      </c>
      <c r="J23" s="18">
        <v>15000</v>
      </c>
      <c r="K23" s="18">
        <v>15000</v>
      </c>
      <c r="L23" s="18">
        <v>15000</v>
      </c>
      <c r="M23" s="18">
        <v>15000</v>
      </c>
      <c r="N23" s="18">
        <v>15000</v>
      </c>
      <c r="O23" s="18">
        <v>15000</v>
      </c>
      <c r="P23" s="18">
        <v>15000</v>
      </c>
      <c r="Q23" s="18">
        <v>15000</v>
      </c>
      <c r="R23" s="18">
        <v>15000</v>
      </c>
      <c r="S23" s="18">
        <v>15000</v>
      </c>
      <c r="T23" s="18">
        <v>15000</v>
      </c>
      <c r="U23" s="18">
        <v>45000</v>
      </c>
      <c r="V23" s="11">
        <f t="shared" si="0"/>
        <v>300000</v>
      </c>
      <c r="W23" s="19" t="str">
        <f>W22</f>
        <v>Scott Healy</v>
      </c>
    </row>
    <row r="24" spans="1:23" x14ac:dyDescent="0.2">
      <c r="A24" s="17" t="s">
        <v>33</v>
      </c>
      <c r="C24" s="4">
        <v>0</v>
      </c>
      <c r="I24" s="18">
        <v>12500</v>
      </c>
      <c r="J24" s="18">
        <v>5000</v>
      </c>
      <c r="K24" s="18">
        <v>5000</v>
      </c>
      <c r="L24" s="18">
        <v>5000</v>
      </c>
      <c r="M24" s="18">
        <v>5000</v>
      </c>
      <c r="N24" s="18">
        <v>5000</v>
      </c>
      <c r="O24" s="18">
        <v>162500</v>
      </c>
      <c r="P24" s="18">
        <v>5000</v>
      </c>
      <c r="Q24" s="18">
        <v>5000</v>
      </c>
      <c r="R24" s="18">
        <v>5000</v>
      </c>
      <c r="S24" s="18">
        <v>5000</v>
      </c>
      <c r="T24" s="18">
        <v>5000</v>
      </c>
      <c r="U24" s="18">
        <v>175000</v>
      </c>
      <c r="V24" s="11">
        <f t="shared" si="0"/>
        <v>400000</v>
      </c>
      <c r="W24" s="19" t="str">
        <f>W23</f>
        <v>Scott Healy</v>
      </c>
    </row>
    <row r="25" spans="1:23" x14ac:dyDescent="0.2">
      <c r="A25" s="17" t="s">
        <v>63</v>
      </c>
      <c r="C25" s="21">
        <f t="shared" ref="C25:U25" si="1">SUM(C9:C24)</f>
        <v>6800000</v>
      </c>
      <c r="D25" s="21">
        <f t="shared" si="1"/>
        <v>26111.111111111109</v>
      </c>
      <c r="E25" s="21">
        <f t="shared" si="1"/>
        <v>32910911.111111112</v>
      </c>
      <c r="F25" s="21">
        <f t="shared" si="1"/>
        <v>13876389.111111112</v>
      </c>
      <c r="G25" s="21">
        <f t="shared" si="1"/>
        <v>9389650.1111111119</v>
      </c>
      <c r="H25" s="21">
        <f t="shared" si="1"/>
        <v>6951250.111111111</v>
      </c>
      <c r="I25" s="21">
        <f t="shared" si="1"/>
        <v>12323750.111111112</v>
      </c>
      <c r="J25" s="21">
        <f t="shared" si="1"/>
        <v>9536250.1111111119</v>
      </c>
      <c r="K25" s="21">
        <f t="shared" si="1"/>
        <v>9168914.1111111119</v>
      </c>
      <c r="L25" s="21">
        <f t="shared" si="1"/>
        <v>9584976.1111111119</v>
      </c>
      <c r="M25" s="21">
        <f t="shared" si="1"/>
        <v>10791261.111111112</v>
      </c>
      <c r="N25" s="21">
        <f t="shared" si="1"/>
        <v>15050417.111111112</v>
      </c>
      <c r="O25" s="21">
        <f t="shared" si="1"/>
        <v>21349379.111111112</v>
      </c>
      <c r="P25" s="21">
        <f t="shared" si="1"/>
        <v>8102843.111111111</v>
      </c>
      <c r="Q25" s="21">
        <f t="shared" si="1"/>
        <v>6752843.111111111</v>
      </c>
      <c r="R25" s="21">
        <f t="shared" si="1"/>
        <v>10432843.111111112</v>
      </c>
      <c r="S25" s="21">
        <f t="shared" si="1"/>
        <v>7832843.111111111</v>
      </c>
      <c r="T25" s="21">
        <f t="shared" si="1"/>
        <v>6082843.111111111</v>
      </c>
      <c r="U25" s="21">
        <f t="shared" si="1"/>
        <v>12061705.111111112</v>
      </c>
      <c r="V25" s="22">
        <f t="shared" si="0"/>
        <v>209025179.99999991</v>
      </c>
    </row>
    <row r="26" spans="1:23" x14ac:dyDescent="0.2">
      <c r="A26" s="17" t="s">
        <v>67</v>
      </c>
      <c r="C26" s="21">
        <f>+C25</f>
        <v>6800000</v>
      </c>
      <c r="D26" s="21">
        <f t="shared" ref="D26:U26" si="2">+C26+D25</f>
        <v>6826111.111111111</v>
      </c>
      <c r="E26" s="21">
        <f t="shared" si="2"/>
        <v>39737022.222222224</v>
      </c>
      <c r="F26" s="21">
        <f t="shared" si="2"/>
        <v>53613411.333333336</v>
      </c>
      <c r="G26" s="21">
        <f t="shared" si="2"/>
        <v>63003061.444444448</v>
      </c>
      <c r="H26" s="21">
        <f t="shared" si="2"/>
        <v>69954311.555555552</v>
      </c>
      <c r="I26" s="21">
        <f t="shared" si="2"/>
        <v>82278061.666666657</v>
      </c>
      <c r="J26" s="21">
        <f t="shared" si="2"/>
        <v>91814311.777777761</v>
      </c>
      <c r="K26" s="21">
        <f t="shared" si="2"/>
        <v>100983225.88888887</v>
      </c>
      <c r="L26" s="21">
        <f t="shared" si="2"/>
        <v>110568201.99999997</v>
      </c>
      <c r="M26" s="21">
        <f t="shared" si="2"/>
        <v>121359463.11111107</v>
      </c>
      <c r="N26" s="21">
        <f t="shared" si="2"/>
        <v>136409880.22222218</v>
      </c>
      <c r="O26" s="21">
        <f t="shared" si="2"/>
        <v>157759259.33333328</v>
      </c>
      <c r="P26" s="21">
        <f t="shared" si="2"/>
        <v>165862102.44444439</v>
      </c>
      <c r="Q26" s="21">
        <f t="shared" si="2"/>
        <v>172614945.55555549</v>
      </c>
      <c r="R26" s="21">
        <f t="shared" si="2"/>
        <v>183047788.6666666</v>
      </c>
      <c r="S26" s="21">
        <f t="shared" si="2"/>
        <v>190880631.7777777</v>
      </c>
      <c r="T26" s="21">
        <f t="shared" si="2"/>
        <v>196963474.88888881</v>
      </c>
      <c r="U26" s="21">
        <f t="shared" si="2"/>
        <v>209025179.99999991</v>
      </c>
      <c r="V26" s="13"/>
    </row>
    <row r="27" spans="1:23" x14ac:dyDescent="0.2">
      <c r="A27" s="17" t="s">
        <v>64</v>
      </c>
      <c r="V27" s="16">
        <f>+V25/C39/1000</f>
        <v>348.37529999999987</v>
      </c>
      <c r="W27" s="20"/>
    </row>
    <row r="28" spans="1:23" x14ac:dyDescent="0.2">
      <c r="V28" s="11"/>
    </row>
    <row r="29" spans="1:23" x14ac:dyDescent="0.2">
      <c r="A29" s="17" t="s">
        <v>44</v>
      </c>
      <c r="C29" s="9">
        <v>187366</v>
      </c>
      <c r="D29" s="20">
        <v>42500</v>
      </c>
      <c r="E29" s="20">
        <f t="shared" ref="E29:U29" si="3">(+D26+D33)*$C38/12</f>
        <v>38219.876018518517</v>
      </c>
      <c r="F29" s="20">
        <f t="shared" si="3"/>
        <v>216694.33553213734</v>
      </c>
      <c r="G29" s="20">
        <f t="shared" si="3"/>
        <v>293031.87086812162</v>
      </c>
      <c r="H29" s="20">
        <f t="shared" si="3"/>
        <v>345479.73160384246</v>
      </c>
      <c r="I29" s="20">
        <f t="shared" si="3"/>
        <v>385003.68491854845</v>
      </c>
      <c r="J29" s="20">
        <f t="shared" si="3"/>
        <v>453842.76798037573</v>
      </c>
      <c r="K29" s="20">
        <f t="shared" si="3"/>
        <v>507955.7710754546</v>
      </c>
      <c r="L29" s="20">
        <f t="shared" si="3"/>
        <v>560372.14960396511</v>
      </c>
      <c r="M29" s="20">
        <f t="shared" si="3"/>
        <v>623451.11934950517</v>
      </c>
      <c r="N29" s="20">
        <f t="shared" si="3"/>
        <v>685280.81059783336</v>
      </c>
      <c r="O29" s="20">
        <f t="shared" si="3"/>
        <v>770515.84100709017</v>
      </c>
      <c r="P29" s="20">
        <f t="shared" si="3"/>
        <v>890331.93866439711</v>
      </c>
      <c r="Q29" s="20">
        <f t="shared" si="3"/>
        <v>939044.9701840143</v>
      </c>
      <c r="R29" s="20">
        <f t="shared" si="3"/>
        <v>980709.36395769625</v>
      </c>
      <c r="S29" s="20">
        <f t="shared" si="3"/>
        <v>1042532.7731976523</v>
      </c>
      <c r="T29" s="20">
        <f t="shared" si="3"/>
        <v>1090607.7259043248</v>
      </c>
      <c r="U29" s="20">
        <f t="shared" si="3"/>
        <v>1129463.9179381581</v>
      </c>
      <c r="V29" s="11">
        <f>SUM(C29:U29)</f>
        <v>11182404.648401637</v>
      </c>
      <c r="W29" s="19" t="str">
        <f>W40</f>
        <v>Rodney Malcolm</v>
      </c>
    </row>
    <row r="30" spans="1:23" x14ac:dyDescent="0.2">
      <c r="A30" s="17" t="s">
        <v>31</v>
      </c>
      <c r="C30" s="4">
        <v>0</v>
      </c>
      <c r="L30" s="18">
        <v>1500000</v>
      </c>
      <c r="V30" s="11">
        <f>SUM(C30:U30)</f>
        <v>1500000</v>
      </c>
      <c r="W30" s="19" t="s">
        <v>54</v>
      </c>
    </row>
    <row r="31" spans="1:23" x14ac:dyDescent="0.2">
      <c r="A31" s="17" t="s">
        <v>40</v>
      </c>
      <c r="C31" s="9">
        <v>0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>
        <f>+V12*0.05+V25*0.03</f>
        <v>7970755.3999999966</v>
      </c>
      <c r="V31" s="11">
        <f>SUM(C31:U31)</f>
        <v>7970755.3999999966</v>
      </c>
      <c r="W31" s="19" t="str">
        <f>W14</f>
        <v>Mike Miller</v>
      </c>
    </row>
    <row r="32" spans="1:23" x14ac:dyDescent="0.2">
      <c r="A32" s="17" t="s">
        <v>65</v>
      </c>
      <c r="C32" s="21">
        <f t="shared" ref="C32:U32" si="4">SUM(C29:C31)</f>
        <v>187366</v>
      </c>
      <c r="D32" s="21">
        <f t="shared" si="4"/>
        <v>42500</v>
      </c>
      <c r="E32" s="21">
        <f t="shared" si="4"/>
        <v>38219.876018518517</v>
      </c>
      <c r="F32" s="21">
        <f t="shared" si="4"/>
        <v>216694.33553213734</v>
      </c>
      <c r="G32" s="21">
        <f t="shared" si="4"/>
        <v>293031.87086812162</v>
      </c>
      <c r="H32" s="21">
        <f t="shared" si="4"/>
        <v>345479.73160384246</v>
      </c>
      <c r="I32" s="21">
        <f t="shared" si="4"/>
        <v>385003.68491854845</v>
      </c>
      <c r="J32" s="21">
        <f t="shared" si="4"/>
        <v>453842.76798037573</v>
      </c>
      <c r="K32" s="21">
        <f t="shared" si="4"/>
        <v>507955.7710754546</v>
      </c>
      <c r="L32" s="21">
        <f t="shared" si="4"/>
        <v>2060372.1496039652</v>
      </c>
      <c r="M32" s="21">
        <f t="shared" si="4"/>
        <v>623451.11934950517</v>
      </c>
      <c r="N32" s="21">
        <f t="shared" si="4"/>
        <v>685280.81059783336</v>
      </c>
      <c r="O32" s="21">
        <f t="shared" si="4"/>
        <v>770515.84100709017</v>
      </c>
      <c r="P32" s="21">
        <f t="shared" si="4"/>
        <v>890331.93866439711</v>
      </c>
      <c r="Q32" s="21">
        <f t="shared" si="4"/>
        <v>939044.9701840143</v>
      </c>
      <c r="R32" s="21">
        <f t="shared" si="4"/>
        <v>980709.36395769625</v>
      </c>
      <c r="S32" s="21">
        <f t="shared" si="4"/>
        <v>1042532.7731976523</v>
      </c>
      <c r="T32" s="21">
        <f t="shared" si="4"/>
        <v>1090607.7259043248</v>
      </c>
      <c r="U32" s="21">
        <f t="shared" si="4"/>
        <v>9100219.3179381546</v>
      </c>
      <c r="V32" s="22">
        <f>SUM(C32:U32)</f>
        <v>20653160.048401631</v>
      </c>
      <c r="W32" s="20"/>
    </row>
    <row r="33" spans="1:23" x14ac:dyDescent="0.2">
      <c r="A33" s="17" t="s">
        <v>68</v>
      </c>
      <c r="C33" s="21">
        <f>+C32</f>
        <v>187366</v>
      </c>
      <c r="D33" s="21">
        <f t="shared" ref="D33:U33" si="5">+D32+C33</f>
        <v>229866</v>
      </c>
      <c r="E33" s="21">
        <f t="shared" si="5"/>
        <v>268085.87601851852</v>
      </c>
      <c r="F33" s="21">
        <f t="shared" si="5"/>
        <v>484780.21155065589</v>
      </c>
      <c r="G33" s="21">
        <f t="shared" si="5"/>
        <v>777812.08241877751</v>
      </c>
      <c r="H33" s="21">
        <f t="shared" si="5"/>
        <v>1123291.81402262</v>
      </c>
      <c r="I33" s="21">
        <f t="shared" si="5"/>
        <v>1508295.4989411684</v>
      </c>
      <c r="J33" s="21">
        <f t="shared" si="5"/>
        <v>1962138.2669215442</v>
      </c>
      <c r="K33" s="21">
        <f t="shared" si="5"/>
        <v>2470094.037996999</v>
      </c>
      <c r="L33" s="21">
        <f t="shared" si="5"/>
        <v>4530466.1876009647</v>
      </c>
      <c r="M33" s="21">
        <f t="shared" si="5"/>
        <v>5153917.3069504695</v>
      </c>
      <c r="N33" s="21">
        <f t="shared" si="5"/>
        <v>5839198.1175483027</v>
      </c>
      <c r="O33" s="21">
        <f t="shared" si="5"/>
        <v>6609713.9585553929</v>
      </c>
      <c r="P33" s="21">
        <f t="shared" si="5"/>
        <v>7500045.8972197901</v>
      </c>
      <c r="Q33" s="21">
        <f t="shared" si="5"/>
        <v>8439090.8674038053</v>
      </c>
      <c r="R33" s="21">
        <f t="shared" si="5"/>
        <v>9419800.2313615009</v>
      </c>
      <c r="S33" s="21">
        <f t="shared" si="5"/>
        <v>10462333.004559154</v>
      </c>
      <c r="T33" s="21">
        <f t="shared" si="5"/>
        <v>11552940.730463479</v>
      </c>
      <c r="U33" s="21">
        <f t="shared" si="5"/>
        <v>20653160.048401631</v>
      </c>
      <c r="V33" s="11"/>
      <c r="W33" s="20"/>
    </row>
    <row r="34" spans="1:23" x14ac:dyDescent="0.2">
      <c r="A34" s="17"/>
      <c r="C34" s="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11"/>
      <c r="W34" s="20"/>
    </row>
    <row r="35" spans="1:23" s="4" customFormat="1" x14ac:dyDescent="0.2">
      <c r="A35" s="4" t="s">
        <v>46</v>
      </c>
      <c r="C35" s="4">
        <f t="shared" ref="C35:U35" si="6">+C25+C32</f>
        <v>6987366</v>
      </c>
      <c r="D35" s="4">
        <f t="shared" si="6"/>
        <v>68611.111111111109</v>
      </c>
      <c r="E35" s="4">
        <f t="shared" si="6"/>
        <v>32949130.987129629</v>
      </c>
      <c r="F35" s="4">
        <f t="shared" si="6"/>
        <v>14093083.44664325</v>
      </c>
      <c r="G35" s="4">
        <f t="shared" si="6"/>
        <v>9682681.9819792341</v>
      </c>
      <c r="H35" s="4">
        <f t="shared" si="6"/>
        <v>7296729.8427149532</v>
      </c>
      <c r="I35" s="4">
        <f t="shared" si="6"/>
        <v>12708753.796029661</v>
      </c>
      <c r="J35" s="4">
        <f t="shared" si="6"/>
        <v>9990092.8790914882</v>
      </c>
      <c r="K35" s="4">
        <f t="shared" si="6"/>
        <v>9676869.8821865674</v>
      </c>
      <c r="L35" s="4">
        <f t="shared" si="6"/>
        <v>11645348.260715077</v>
      </c>
      <c r="M35" s="4">
        <f t="shared" si="6"/>
        <v>11414712.230460618</v>
      </c>
      <c r="N35" s="4">
        <f t="shared" si="6"/>
        <v>15735697.921708945</v>
      </c>
      <c r="O35" s="4">
        <f t="shared" si="6"/>
        <v>22119894.952118203</v>
      </c>
      <c r="P35" s="4">
        <f t="shared" si="6"/>
        <v>8993175.0497755073</v>
      </c>
      <c r="Q35" s="4">
        <f t="shared" si="6"/>
        <v>7691888.0812951252</v>
      </c>
      <c r="R35" s="4">
        <f t="shared" si="6"/>
        <v>11413552.475068808</v>
      </c>
      <c r="S35" s="4">
        <f t="shared" si="6"/>
        <v>8875375.8843087628</v>
      </c>
      <c r="T35" s="4">
        <f t="shared" si="6"/>
        <v>7173450.837015436</v>
      </c>
      <c r="U35" s="4">
        <f t="shared" si="6"/>
        <v>21161924.429049268</v>
      </c>
      <c r="V35" s="11">
        <f>SUM(C35:U35)</f>
        <v>229678340.04840165</v>
      </c>
    </row>
    <row r="36" spans="1:23" s="4" customFormat="1" x14ac:dyDescent="0.2">
      <c r="A36" s="4" t="s">
        <v>45</v>
      </c>
      <c r="C36" s="4">
        <f>C35</f>
        <v>6987366</v>
      </c>
      <c r="D36" s="4">
        <f t="shared" ref="D36:U36" si="7">C36+D35</f>
        <v>7055977.111111111</v>
      </c>
      <c r="E36" s="4">
        <f t="shared" si="7"/>
        <v>40005108.098240741</v>
      </c>
      <c r="F36" s="4">
        <f t="shared" si="7"/>
        <v>54098191.544883989</v>
      </c>
      <c r="G36" s="4">
        <f t="shared" si="7"/>
        <v>63780873.526863225</v>
      </c>
      <c r="H36" s="4">
        <f t="shared" si="7"/>
        <v>71077603.369578183</v>
      </c>
      <c r="I36" s="4">
        <f t="shared" si="7"/>
        <v>83786357.16560784</v>
      </c>
      <c r="J36" s="4">
        <f t="shared" si="7"/>
        <v>93776450.044699326</v>
      </c>
      <c r="K36" s="4">
        <f t="shared" si="7"/>
        <v>103453319.92688589</v>
      </c>
      <c r="L36" s="4">
        <f t="shared" si="7"/>
        <v>115098668.18760097</v>
      </c>
      <c r="M36" s="4">
        <f t="shared" si="7"/>
        <v>126513380.41806158</v>
      </c>
      <c r="N36" s="4">
        <f t="shared" si="7"/>
        <v>142249078.33977053</v>
      </c>
      <c r="O36" s="4">
        <f t="shared" si="7"/>
        <v>164368973.29188871</v>
      </c>
      <c r="P36" s="4">
        <f t="shared" si="7"/>
        <v>173362148.34166422</v>
      </c>
      <c r="Q36" s="4">
        <f t="shared" si="7"/>
        <v>181054036.42295936</v>
      </c>
      <c r="R36" s="4">
        <f t="shared" si="7"/>
        <v>192467588.89802817</v>
      </c>
      <c r="S36" s="4">
        <f t="shared" si="7"/>
        <v>201342964.78233692</v>
      </c>
      <c r="T36" s="4">
        <f t="shared" si="7"/>
        <v>208516415.61935237</v>
      </c>
      <c r="U36" s="4">
        <f t="shared" si="7"/>
        <v>229678340.04840165</v>
      </c>
      <c r="V36" s="11"/>
    </row>
    <row r="37" spans="1:23" s="4" customFormat="1" x14ac:dyDescent="0.2">
      <c r="A37" s="17" t="s">
        <v>64</v>
      </c>
      <c r="V37" s="16">
        <f>+V35/C39/1000</f>
        <v>382.79723341400273</v>
      </c>
    </row>
    <row r="38" spans="1:23" s="4" customFormat="1" x14ac:dyDescent="0.2">
      <c r="A38" s="8" t="s">
        <v>72</v>
      </c>
      <c r="C38" s="12">
        <v>6.5000000000000002E-2</v>
      </c>
      <c r="V38" s="11"/>
    </row>
    <row r="39" spans="1:23" s="4" customFormat="1" x14ac:dyDescent="0.2">
      <c r="A39" s="8"/>
      <c r="C39" s="4">
        <v>600</v>
      </c>
      <c r="D39" s="4" t="s">
        <v>66</v>
      </c>
      <c r="V39" s="11"/>
    </row>
    <row r="40" spans="1:23" x14ac:dyDescent="0.2">
      <c r="A40" s="17" t="s">
        <v>39</v>
      </c>
      <c r="C40" s="4">
        <v>0</v>
      </c>
      <c r="U40" s="18">
        <v>7340000</v>
      </c>
      <c r="V40" s="23">
        <f>SUM(C40:U40)</f>
        <v>7340000</v>
      </c>
      <c r="W40" s="19" t="str">
        <f>W30</f>
        <v>Rodney Malcolm</v>
      </c>
    </row>
    <row r="41" spans="1:23" s="4" customFormat="1" x14ac:dyDescent="0.2">
      <c r="A41" s="8"/>
      <c r="C41" s="12"/>
      <c r="V41" s="11"/>
    </row>
    <row r="42" spans="1:23" x14ac:dyDescent="0.2">
      <c r="A42" s="17" t="s">
        <v>69</v>
      </c>
      <c r="C42" s="4">
        <f t="shared" ref="C42:U42" si="8">+C35-C29</f>
        <v>6800000</v>
      </c>
      <c r="D42" s="4">
        <f t="shared" si="8"/>
        <v>26111.111111111109</v>
      </c>
      <c r="E42" s="4">
        <f t="shared" si="8"/>
        <v>32910911.111111112</v>
      </c>
      <c r="F42" s="4">
        <f t="shared" si="8"/>
        <v>13876389.111111112</v>
      </c>
      <c r="G42" s="4">
        <f t="shared" si="8"/>
        <v>9389650.1111111119</v>
      </c>
      <c r="H42" s="4">
        <f t="shared" si="8"/>
        <v>6951250.111111111</v>
      </c>
      <c r="I42" s="4">
        <f t="shared" si="8"/>
        <v>12323750.111111112</v>
      </c>
      <c r="J42" s="4">
        <f t="shared" si="8"/>
        <v>9536250.1111111119</v>
      </c>
      <c r="K42" s="4">
        <f t="shared" si="8"/>
        <v>9168914.1111111119</v>
      </c>
      <c r="L42" s="4">
        <f t="shared" si="8"/>
        <v>11084976.111111112</v>
      </c>
      <c r="M42" s="4">
        <f t="shared" si="8"/>
        <v>10791261.111111112</v>
      </c>
      <c r="N42" s="4">
        <f t="shared" si="8"/>
        <v>15050417.111111112</v>
      </c>
      <c r="O42" s="4">
        <f t="shared" si="8"/>
        <v>21349379.111111112</v>
      </c>
      <c r="P42" s="4">
        <f t="shared" si="8"/>
        <v>8102843.1111111101</v>
      </c>
      <c r="Q42" s="4">
        <f t="shared" si="8"/>
        <v>6752843.111111111</v>
      </c>
      <c r="R42" s="4">
        <f t="shared" si="8"/>
        <v>10432843.111111112</v>
      </c>
      <c r="S42" s="4">
        <f t="shared" si="8"/>
        <v>7832843.1111111101</v>
      </c>
      <c r="T42" s="4">
        <f t="shared" si="8"/>
        <v>6082843.111111111</v>
      </c>
      <c r="U42" s="4">
        <f t="shared" si="8"/>
        <v>20032460.51111111</v>
      </c>
      <c r="V42" s="11">
        <f>SUM(C42:U42)</f>
        <v>218495935.39999992</v>
      </c>
    </row>
    <row r="43" spans="1:23" x14ac:dyDescent="0.2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1"/>
    </row>
    <row r="44" spans="1:23" x14ac:dyDescent="0.2">
      <c r="A44" s="5" t="s">
        <v>34</v>
      </c>
      <c r="V44" s="11"/>
    </row>
    <row r="45" spans="1:23" x14ac:dyDescent="0.2">
      <c r="A45" s="5" t="s">
        <v>61</v>
      </c>
      <c r="V45" s="11"/>
    </row>
    <row r="46" spans="1:23" x14ac:dyDescent="0.2">
      <c r="A46" s="17" t="s">
        <v>35</v>
      </c>
      <c r="C46" s="4">
        <v>11990800</v>
      </c>
      <c r="D46" s="18">
        <v>29977000</v>
      </c>
      <c r="E46" s="18">
        <v>2997700</v>
      </c>
      <c r="F46" s="18">
        <v>2997700</v>
      </c>
      <c r="G46" s="18">
        <v>2997700</v>
      </c>
      <c r="H46" s="18">
        <v>2997700</v>
      </c>
      <c r="Q46" s="18">
        <v>2997700</v>
      </c>
      <c r="U46" s="18">
        <v>4531100</v>
      </c>
      <c r="V46" s="11">
        <f t="shared" ref="V46:V64" si="9">SUM(C46:U46)</f>
        <v>61487400</v>
      </c>
      <c r="W46" s="15" t="s">
        <v>50</v>
      </c>
    </row>
    <row r="47" spans="1:23" x14ac:dyDescent="0.2">
      <c r="A47" s="17" t="s">
        <v>36</v>
      </c>
      <c r="C47" s="4">
        <v>17151750</v>
      </c>
      <c r="D47" s="17">
        <v>0</v>
      </c>
      <c r="E47" s="18">
        <v>12474000</v>
      </c>
      <c r="U47" s="18">
        <v>1559250</v>
      </c>
      <c r="V47" s="11">
        <f t="shared" si="9"/>
        <v>31185000</v>
      </c>
      <c r="W47" s="15" t="s">
        <v>50</v>
      </c>
    </row>
    <row r="48" spans="1:23" x14ac:dyDescent="0.2">
      <c r="A48" s="17" t="s">
        <v>19</v>
      </c>
      <c r="C48" s="4">
        <v>0</v>
      </c>
      <c r="G48" s="18">
        <v>440000</v>
      </c>
      <c r="I48" s="18">
        <v>3520000</v>
      </c>
      <c r="J48" s="18">
        <v>1760000</v>
      </c>
      <c r="K48" s="18">
        <v>440000</v>
      </c>
      <c r="L48" s="18">
        <v>440000</v>
      </c>
      <c r="M48" s="18">
        <v>440000</v>
      </c>
      <c r="N48" s="18">
        <v>440000</v>
      </c>
      <c r="O48" s="18">
        <v>440000</v>
      </c>
      <c r="P48" s="18">
        <v>440000</v>
      </c>
      <c r="Q48" s="18">
        <v>440000</v>
      </c>
      <c r="V48" s="11">
        <f t="shared" si="9"/>
        <v>8800000</v>
      </c>
      <c r="W48" s="15" t="s">
        <v>50</v>
      </c>
    </row>
    <row r="49" spans="1:23" x14ac:dyDescent="0.2">
      <c r="A49" s="17" t="s">
        <v>21</v>
      </c>
      <c r="C49" s="4">
        <v>0</v>
      </c>
      <c r="K49" s="18">
        <v>600000</v>
      </c>
      <c r="L49" s="18">
        <v>1000000</v>
      </c>
      <c r="M49" s="18">
        <v>1000000</v>
      </c>
      <c r="N49" s="18">
        <v>1000000</v>
      </c>
      <c r="O49" s="18">
        <v>1500000</v>
      </c>
      <c r="P49" s="18">
        <f>1986667+880000+1340000</f>
        <v>4206667</v>
      </c>
      <c r="Q49" s="18">
        <f>2986666.66666667+880000</f>
        <v>3866666.6666666698</v>
      </c>
      <c r="R49" s="18">
        <f>2986666.66666667+880000</f>
        <v>3866666.6666666698</v>
      </c>
      <c r="S49" s="18">
        <v>2986666.6666666665</v>
      </c>
      <c r="T49" s="18">
        <v>2986666.6666666665</v>
      </c>
      <c r="U49" s="18">
        <v>2986666.6666666665</v>
      </c>
      <c r="V49" s="11">
        <f t="shared" si="9"/>
        <v>26000000.333333343</v>
      </c>
      <c r="W49" s="15" t="s">
        <v>50</v>
      </c>
    </row>
    <row r="50" spans="1:23" x14ac:dyDescent="0.2">
      <c r="A50" s="17" t="s">
        <v>42</v>
      </c>
      <c r="C50" s="4">
        <v>0</v>
      </c>
      <c r="P50" s="18">
        <v>150000</v>
      </c>
      <c r="Q50" s="18">
        <v>150000</v>
      </c>
      <c r="R50" s="18">
        <v>150000</v>
      </c>
      <c r="S50" s="18">
        <v>150000</v>
      </c>
      <c r="T50" s="18">
        <v>150000</v>
      </c>
      <c r="V50" s="11">
        <f t="shared" si="9"/>
        <v>750000</v>
      </c>
      <c r="W50" s="15" t="s">
        <v>51</v>
      </c>
    </row>
    <row r="51" spans="1:23" x14ac:dyDescent="0.2">
      <c r="A51" s="17" t="s">
        <v>22</v>
      </c>
      <c r="C51" s="4">
        <v>0</v>
      </c>
      <c r="S51" s="18">
        <v>500000</v>
      </c>
      <c r="T51" s="18">
        <v>500000</v>
      </c>
      <c r="V51" s="11">
        <f t="shared" si="9"/>
        <v>1000000</v>
      </c>
      <c r="W51" s="15" t="s">
        <v>50</v>
      </c>
    </row>
    <row r="52" spans="1:23" x14ac:dyDescent="0.2">
      <c r="A52" s="17" t="s">
        <v>23</v>
      </c>
      <c r="C52" s="4">
        <v>0</v>
      </c>
      <c r="E52" s="17"/>
      <c r="F52" s="17"/>
      <c r="I52" s="17"/>
      <c r="J52" s="17"/>
      <c r="K52" s="17">
        <v>250000</v>
      </c>
      <c r="V52" s="11">
        <f t="shared" si="9"/>
        <v>250000</v>
      </c>
      <c r="W52" s="15" t="s">
        <v>55</v>
      </c>
    </row>
    <row r="53" spans="1:23" x14ac:dyDescent="0.2">
      <c r="A53" s="17" t="s">
        <v>24</v>
      </c>
      <c r="C53" s="4">
        <v>0</v>
      </c>
      <c r="F53" s="18">
        <v>100000</v>
      </c>
      <c r="G53" s="18">
        <v>100000</v>
      </c>
      <c r="H53" s="18">
        <v>150000</v>
      </c>
      <c r="I53" s="17">
        <v>150000</v>
      </c>
      <c r="J53" s="17"/>
      <c r="K53" s="17"/>
      <c r="L53" s="17"/>
      <c r="V53" s="11">
        <f t="shared" si="9"/>
        <v>500000</v>
      </c>
      <c r="W53" s="15" t="str">
        <f>W52</f>
        <v>Ben Jacoby</v>
      </c>
    </row>
    <row r="54" spans="1:23" x14ac:dyDescent="0.2">
      <c r="A54" s="17" t="s">
        <v>41</v>
      </c>
      <c r="C54" s="4">
        <v>0</v>
      </c>
      <c r="H54" s="18">
        <v>200000</v>
      </c>
      <c r="I54" s="17">
        <v>200000</v>
      </c>
      <c r="J54" s="17"/>
      <c r="K54" s="17"/>
      <c r="L54" s="17"/>
      <c r="V54" s="11">
        <f t="shared" si="9"/>
        <v>400000</v>
      </c>
      <c r="W54" s="15" t="str">
        <f>W53</f>
        <v>Ben Jacoby</v>
      </c>
    </row>
    <row r="55" spans="1:23" x14ac:dyDescent="0.2">
      <c r="A55" s="17" t="s">
        <v>25</v>
      </c>
      <c r="C55" s="4">
        <v>0</v>
      </c>
      <c r="O55" s="18">
        <v>375000</v>
      </c>
      <c r="P55" s="18">
        <v>125000</v>
      </c>
      <c r="Q55" s="18">
        <v>125000</v>
      </c>
      <c r="R55" s="18">
        <v>125000</v>
      </c>
      <c r="S55" s="18">
        <v>250000</v>
      </c>
      <c r="V55" s="11">
        <f t="shared" si="9"/>
        <v>1000000</v>
      </c>
      <c r="W55" s="15" t="s">
        <v>53</v>
      </c>
    </row>
    <row r="56" spans="1:23" x14ac:dyDescent="0.2">
      <c r="A56" s="17" t="s">
        <v>26</v>
      </c>
      <c r="C56" s="4">
        <v>0</v>
      </c>
      <c r="O56" s="18">
        <v>200000</v>
      </c>
      <c r="P56" s="18">
        <v>600000</v>
      </c>
      <c r="Q56" s="18">
        <v>600000</v>
      </c>
      <c r="R56" s="18">
        <v>600000</v>
      </c>
      <c r="V56" s="11">
        <f t="shared" si="9"/>
        <v>2000000</v>
      </c>
      <c r="W56" s="15" t="str">
        <f>W52</f>
        <v>Ben Jacoby</v>
      </c>
    </row>
    <row r="57" spans="1:23" x14ac:dyDescent="0.2">
      <c r="A57" s="17" t="s">
        <v>27</v>
      </c>
      <c r="S57" s="18">
        <v>500000</v>
      </c>
      <c r="T57" s="18">
        <v>500000</v>
      </c>
      <c r="V57" s="11">
        <f t="shared" si="9"/>
        <v>1000000</v>
      </c>
      <c r="W57" s="15" t="str">
        <f>W50</f>
        <v>Kevin Presto</v>
      </c>
    </row>
    <row r="58" spans="1:23" x14ac:dyDescent="0.2">
      <c r="A58" s="17" t="s">
        <v>47</v>
      </c>
      <c r="U58" s="18">
        <v>256000</v>
      </c>
      <c r="V58" s="11">
        <f t="shared" si="9"/>
        <v>256000</v>
      </c>
      <c r="W58" s="15" t="s">
        <v>56</v>
      </c>
    </row>
    <row r="59" spans="1:23" x14ac:dyDescent="0.2">
      <c r="A59" s="17" t="s">
        <v>28</v>
      </c>
      <c r="C59" s="4">
        <v>0</v>
      </c>
      <c r="O59" s="18">
        <v>20000</v>
      </c>
      <c r="R59" s="18">
        <v>30000</v>
      </c>
      <c r="V59" s="11">
        <f t="shared" si="9"/>
        <v>50000</v>
      </c>
      <c r="W59" s="15" t="str">
        <f>W56</f>
        <v>Ben Jacoby</v>
      </c>
    </row>
    <row r="60" spans="1:23" x14ac:dyDescent="0.2">
      <c r="A60" s="17" t="s">
        <v>29</v>
      </c>
      <c r="C60" s="4">
        <v>0</v>
      </c>
      <c r="L60" s="18">
        <v>200000</v>
      </c>
      <c r="V60" s="11">
        <f t="shared" si="9"/>
        <v>200000</v>
      </c>
      <c r="W60" s="15" t="str">
        <f>W59</f>
        <v>Ben Jacoby</v>
      </c>
    </row>
    <row r="61" spans="1:23" x14ac:dyDescent="0.2">
      <c r="A61" s="17" t="s">
        <v>30</v>
      </c>
      <c r="C61" s="4">
        <v>0</v>
      </c>
      <c r="D61" s="18">
        <v>11111.111111111111</v>
      </c>
      <c r="E61" s="18">
        <v>11111.111111111111</v>
      </c>
      <c r="F61" s="18">
        <v>11111.111111111111</v>
      </c>
      <c r="G61" s="18">
        <v>11111.111111111111</v>
      </c>
      <c r="H61" s="18">
        <v>11111.111111111111</v>
      </c>
      <c r="I61" s="18">
        <v>11111.111111111111</v>
      </c>
      <c r="J61" s="18">
        <v>11111.111111111111</v>
      </c>
      <c r="K61" s="18">
        <v>11111.111111111111</v>
      </c>
      <c r="L61" s="18">
        <v>11111.111111111111</v>
      </c>
      <c r="M61" s="18">
        <v>11111.111111111111</v>
      </c>
      <c r="N61" s="18">
        <v>11111.111111111111</v>
      </c>
      <c r="O61" s="18">
        <v>11111.111111111111</v>
      </c>
      <c r="P61" s="18">
        <v>11111.111111111111</v>
      </c>
      <c r="Q61" s="18">
        <v>11111.111111111111</v>
      </c>
      <c r="R61" s="18">
        <v>11111.111111111111</v>
      </c>
      <c r="S61" s="18">
        <v>11111.111111111111</v>
      </c>
      <c r="T61" s="18">
        <v>11111.111111111111</v>
      </c>
      <c r="U61" s="18">
        <v>11111.111111111111</v>
      </c>
      <c r="V61" s="11">
        <f t="shared" si="9"/>
        <v>200000.00000000009</v>
      </c>
      <c r="W61" s="15" t="str">
        <f>W60</f>
        <v>Ben Jacoby</v>
      </c>
    </row>
    <row r="62" spans="1:23" x14ac:dyDescent="0.2">
      <c r="A62" s="17" t="s">
        <v>32</v>
      </c>
      <c r="C62" s="4">
        <v>0</v>
      </c>
      <c r="E62" s="18">
        <v>28571.428571428572</v>
      </c>
      <c r="F62" s="18">
        <v>28571.428571428572</v>
      </c>
      <c r="G62" s="18">
        <v>28571.428571428572</v>
      </c>
      <c r="H62" s="18">
        <v>28571.428571428572</v>
      </c>
      <c r="I62" s="18">
        <v>28571.428571428572</v>
      </c>
      <c r="J62" s="18">
        <v>28571.428571428572</v>
      </c>
      <c r="K62" s="18">
        <v>28571.428571428572</v>
      </c>
      <c r="L62" s="18">
        <v>28571.428571428572</v>
      </c>
      <c r="M62" s="18">
        <v>28571.428571428572</v>
      </c>
      <c r="N62" s="18">
        <v>28571.428571428572</v>
      </c>
      <c r="O62" s="18">
        <v>28571.428571428572</v>
      </c>
      <c r="P62" s="18">
        <v>28571.428571428572</v>
      </c>
      <c r="Q62" s="18">
        <v>28571.428571428572</v>
      </c>
      <c r="R62" s="18">
        <v>28571.428571428572</v>
      </c>
      <c r="V62" s="11">
        <f t="shared" si="9"/>
        <v>400000.00000000006</v>
      </c>
      <c r="W62" s="15" t="str">
        <f>W60</f>
        <v>Ben Jacoby</v>
      </c>
    </row>
    <row r="63" spans="1:23" x14ac:dyDescent="0.2">
      <c r="A63" s="17" t="s">
        <v>33</v>
      </c>
      <c r="C63" s="4">
        <v>0</v>
      </c>
      <c r="I63" s="18">
        <v>25000</v>
      </c>
      <c r="J63" s="18">
        <v>10000</v>
      </c>
      <c r="K63" s="18">
        <v>10000</v>
      </c>
      <c r="L63" s="18">
        <v>10000</v>
      </c>
      <c r="M63" s="18">
        <v>10000</v>
      </c>
      <c r="N63" s="18">
        <v>10000</v>
      </c>
      <c r="O63" s="18">
        <v>325000</v>
      </c>
      <c r="P63" s="18">
        <v>10000</v>
      </c>
      <c r="Q63" s="18">
        <v>10000</v>
      </c>
      <c r="R63" s="18">
        <v>10000</v>
      </c>
      <c r="S63" s="18">
        <v>10000</v>
      </c>
      <c r="T63" s="18">
        <v>10000</v>
      </c>
      <c r="U63" s="18">
        <v>50000</v>
      </c>
      <c r="V63" s="11">
        <f t="shared" si="9"/>
        <v>500000</v>
      </c>
      <c r="W63" s="15" t="str">
        <f>W62</f>
        <v>Ben Jacoby</v>
      </c>
    </row>
    <row r="64" spans="1:23" x14ac:dyDescent="0.2">
      <c r="A64" s="17" t="s">
        <v>63</v>
      </c>
      <c r="C64" s="21">
        <f t="shared" ref="C64:U64" si="10">SUM(C46:C63)</f>
        <v>29142550</v>
      </c>
      <c r="D64" s="21">
        <f t="shared" si="10"/>
        <v>29988111.111111112</v>
      </c>
      <c r="E64" s="21">
        <f t="shared" si="10"/>
        <v>15511382.539682541</v>
      </c>
      <c r="F64" s="21">
        <f t="shared" si="10"/>
        <v>3137382.5396825396</v>
      </c>
      <c r="G64" s="21">
        <f t="shared" si="10"/>
        <v>3577382.5396825396</v>
      </c>
      <c r="H64" s="21">
        <f t="shared" si="10"/>
        <v>3387382.5396825396</v>
      </c>
      <c r="I64" s="21">
        <f t="shared" si="10"/>
        <v>3934682.5396825396</v>
      </c>
      <c r="J64" s="21">
        <f t="shared" si="10"/>
        <v>1809682.5396825396</v>
      </c>
      <c r="K64" s="21">
        <f t="shared" si="10"/>
        <v>1339682.5396825396</v>
      </c>
      <c r="L64" s="21">
        <f t="shared" si="10"/>
        <v>1689682.5396825396</v>
      </c>
      <c r="M64" s="21">
        <f t="shared" si="10"/>
        <v>1489682.5396825396</v>
      </c>
      <c r="N64" s="21">
        <f t="shared" si="10"/>
        <v>1489682.5396825396</v>
      </c>
      <c r="O64" s="21">
        <f t="shared" si="10"/>
        <v>2899682.5396825396</v>
      </c>
      <c r="P64" s="21">
        <f t="shared" si="10"/>
        <v>5571349.5396825392</v>
      </c>
      <c r="Q64" s="21">
        <f t="shared" si="10"/>
        <v>8229049.206349209</v>
      </c>
      <c r="R64" s="21">
        <f t="shared" si="10"/>
        <v>4821349.206349209</v>
      </c>
      <c r="S64" s="21">
        <f t="shared" si="10"/>
        <v>4407777.7777777771</v>
      </c>
      <c r="T64" s="21">
        <f t="shared" si="10"/>
        <v>4157777.7777777775</v>
      </c>
      <c r="U64" s="21">
        <f t="shared" si="10"/>
        <v>9394127.777777778</v>
      </c>
      <c r="V64" s="22">
        <f t="shared" si="9"/>
        <v>135978400.33333331</v>
      </c>
    </row>
    <row r="65" spans="1:23" x14ac:dyDescent="0.2">
      <c r="A65" s="17" t="s">
        <v>67</v>
      </c>
      <c r="C65" s="21">
        <f>+C64</f>
        <v>29142550</v>
      </c>
      <c r="D65" s="21">
        <f t="shared" ref="D65:U65" si="11">+C65+D64</f>
        <v>59130661.111111112</v>
      </c>
      <c r="E65" s="21">
        <f t="shared" si="11"/>
        <v>74642043.650793657</v>
      </c>
      <c r="F65" s="21">
        <f t="shared" si="11"/>
        <v>77779426.190476194</v>
      </c>
      <c r="G65" s="21">
        <f t="shared" si="11"/>
        <v>81356808.730158731</v>
      </c>
      <c r="H65" s="21">
        <f t="shared" si="11"/>
        <v>84744191.269841269</v>
      </c>
      <c r="I65" s="21">
        <f t="shared" si="11"/>
        <v>88678873.809523806</v>
      </c>
      <c r="J65" s="21">
        <f t="shared" si="11"/>
        <v>90488556.349206343</v>
      </c>
      <c r="K65" s="21">
        <f t="shared" si="11"/>
        <v>91828238.888888881</v>
      </c>
      <c r="L65" s="21">
        <f t="shared" si="11"/>
        <v>93517921.428571418</v>
      </c>
      <c r="M65" s="21">
        <f t="shared" si="11"/>
        <v>95007603.968253955</v>
      </c>
      <c r="N65" s="21">
        <f t="shared" si="11"/>
        <v>96497286.507936493</v>
      </c>
      <c r="O65" s="21">
        <f t="shared" si="11"/>
        <v>99396969.04761903</v>
      </c>
      <c r="P65" s="21">
        <f t="shared" si="11"/>
        <v>104968318.58730157</v>
      </c>
      <c r="Q65" s="21">
        <f t="shared" si="11"/>
        <v>113197367.79365078</v>
      </c>
      <c r="R65" s="21">
        <f t="shared" si="11"/>
        <v>118018716.99999999</v>
      </c>
      <c r="S65" s="21">
        <f t="shared" si="11"/>
        <v>122426494.77777776</v>
      </c>
      <c r="T65" s="21">
        <f t="shared" si="11"/>
        <v>126584272.55555554</v>
      </c>
      <c r="U65" s="21">
        <f t="shared" si="11"/>
        <v>135978400.33333331</v>
      </c>
      <c r="V65" s="11"/>
    </row>
    <row r="66" spans="1:23" x14ac:dyDescent="0.2">
      <c r="A66" s="17" t="s">
        <v>64</v>
      </c>
      <c r="V66" s="16">
        <f>+V64/C78/1000</f>
        <v>283.28833402777769</v>
      </c>
      <c r="W66" s="20"/>
    </row>
    <row r="67" spans="1:23" x14ac:dyDescent="0.2">
      <c r="V67" s="11"/>
    </row>
    <row r="68" spans="1:23" x14ac:dyDescent="0.2">
      <c r="A68" s="17" t="s">
        <v>44</v>
      </c>
      <c r="C68" s="9">
        <v>184443</v>
      </c>
      <c r="D68" s="20">
        <v>182141</v>
      </c>
      <c r="E68" s="20">
        <f t="shared" ref="E68:U68" si="12">(+D65+D72)*$C77/12</f>
        <v>322276.74435185187</v>
      </c>
      <c r="F68" s="20">
        <f t="shared" si="12"/>
        <v>408042.39880703815</v>
      </c>
      <c r="G68" s="20">
        <f t="shared" si="12"/>
        <v>427246.78389052331</v>
      </c>
      <c r="H68" s="20">
        <f t="shared" si="12"/>
        <v>448938.52605987742</v>
      </c>
      <c r="I68" s="20">
        <f t="shared" si="12"/>
        <v>469718.59849931556</v>
      </c>
      <c r="J68" s="20">
        <f t="shared" si="12"/>
        <v>493575.77133113396</v>
      </c>
      <c r="K68" s="20">
        <f t="shared" si="12"/>
        <v>506051.75384912459</v>
      </c>
      <c r="L68" s="20">
        <f t="shared" si="12"/>
        <v>516049.48127242108</v>
      </c>
      <c r="M68" s="20">
        <f t="shared" si="12"/>
        <v>536122.19638592715</v>
      </c>
      <c r="N68" s="20">
        <f t="shared" si="12"/>
        <v>547095.30537296471</v>
      </c>
      <c r="O68" s="20">
        <f t="shared" si="12"/>
        <v>558127.85203368193</v>
      </c>
      <c r="P68" s="20">
        <f t="shared" si="12"/>
        <v>576857.65832214488</v>
      </c>
      <c r="Q68" s="20">
        <f t="shared" si="12"/>
        <v>610160.44731133687</v>
      </c>
      <c r="R68" s="20">
        <f t="shared" si="12"/>
        <v>658039.49960199825</v>
      </c>
      <c r="S68" s="20">
        <f t="shared" si="12"/>
        <v>687719.52175923379</v>
      </c>
      <c r="T68" s="20">
        <f t="shared" si="12"/>
        <v>715320.13213172602</v>
      </c>
      <c r="U68" s="20">
        <f t="shared" si="12"/>
        <v>741716.0791437357</v>
      </c>
      <c r="V68" s="11">
        <f>SUM(C68:U68)</f>
        <v>9589642.7501240373</v>
      </c>
      <c r="W68" s="19" t="str">
        <f>W79</f>
        <v>Rodney Malcolm</v>
      </c>
    </row>
    <row r="69" spans="1:23" x14ac:dyDescent="0.2">
      <c r="A69" s="17" t="s">
        <v>31</v>
      </c>
      <c r="C69" s="4">
        <v>0</v>
      </c>
      <c r="L69" s="18">
        <v>1500000</v>
      </c>
      <c r="V69" s="11">
        <f>SUM(C69:U69)</f>
        <v>1500000</v>
      </c>
      <c r="W69" s="19" t="s">
        <v>54</v>
      </c>
    </row>
    <row r="70" spans="1:23" x14ac:dyDescent="0.2">
      <c r="A70" s="17" t="s">
        <v>40</v>
      </c>
      <c r="C70" s="9">
        <v>0</v>
      </c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>
        <f>+V49*0.05+V64*0.03</f>
        <v>5379352.0266666664</v>
      </c>
      <c r="V70" s="11">
        <f>SUM(C70:U70)</f>
        <v>5379352.0266666664</v>
      </c>
      <c r="W70" s="19" t="str">
        <f>W53</f>
        <v>Ben Jacoby</v>
      </c>
    </row>
    <row r="71" spans="1:23" x14ac:dyDescent="0.2">
      <c r="A71" s="17" t="s">
        <v>65</v>
      </c>
      <c r="C71" s="21">
        <f t="shared" ref="C71:U71" si="13">SUM(C68:C70)</f>
        <v>184443</v>
      </c>
      <c r="D71" s="21">
        <f t="shared" si="13"/>
        <v>182141</v>
      </c>
      <c r="E71" s="21">
        <f t="shared" si="13"/>
        <v>322276.74435185187</v>
      </c>
      <c r="F71" s="21">
        <f t="shared" si="13"/>
        <v>408042.39880703815</v>
      </c>
      <c r="G71" s="21">
        <f t="shared" si="13"/>
        <v>427246.78389052331</v>
      </c>
      <c r="H71" s="21">
        <f t="shared" si="13"/>
        <v>448938.52605987742</v>
      </c>
      <c r="I71" s="21">
        <f t="shared" si="13"/>
        <v>469718.59849931556</v>
      </c>
      <c r="J71" s="21">
        <f t="shared" si="13"/>
        <v>493575.77133113396</v>
      </c>
      <c r="K71" s="21">
        <f t="shared" si="13"/>
        <v>506051.75384912459</v>
      </c>
      <c r="L71" s="21">
        <f t="shared" si="13"/>
        <v>2016049.4812724211</v>
      </c>
      <c r="M71" s="21">
        <f t="shared" si="13"/>
        <v>536122.19638592715</v>
      </c>
      <c r="N71" s="21">
        <f t="shared" si="13"/>
        <v>547095.30537296471</v>
      </c>
      <c r="O71" s="21">
        <f t="shared" si="13"/>
        <v>558127.85203368193</v>
      </c>
      <c r="P71" s="21">
        <f t="shared" si="13"/>
        <v>576857.65832214488</v>
      </c>
      <c r="Q71" s="21">
        <f t="shared" si="13"/>
        <v>610160.44731133687</v>
      </c>
      <c r="R71" s="21">
        <f t="shared" si="13"/>
        <v>658039.49960199825</v>
      </c>
      <c r="S71" s="21">
        <f t="shared" si="13"/>
        <v>687719.52175923379</v>
      </c>
      <c r="T71" s="21">
        <f t="shared" si="13"/>
        <v>715320.13213172602</v>
      </c>
      <c r="U71" s="21">
        <f t="shared" si="13"/>
        <v>6121068.105810402</v>
      </c>
      <c r="V71" s="22">
        <f>SUM(C71:U71)</f>
        <v>16468994.776790703</v>
      </c>
      <c r="W71" s="20"/>
    </row>
    <row r="72" spans="1:23" x14ac:dyDescent="0.2">
      <c r="A72" s="17" t="s">
        <v>68</v>
      </c>
      <c r="C72" s="21">
        <f>+C71</f>
        <v>184443</v>
      </c>
      <c r="D72" s="21">
        <f t="shared" ref="D72:U72" si="14">+D71+C72</f>
        <v>366584</v>
      </c>
      <c r="E72" s="21">
        <f t="shared" si="14"/>
        <v>688860.74435185187</v>
      </c>
      <c r="F72" s="21">
        <f t="shared" si="14"/>
        <v>1096903.1431588901</v>
      </c>
      <c r="G72" s="21">
        <f t="shared" si="14"/>
        <v>1524149.9270494133</v>
      </c>
      <c r="H72" s="21">
        <f t="shared" si="14"/>
        <v>1973088.4531092907</v>
      </c>
      <c r="I72" s="21">
        <f t="shared" si="14"/>
        <v>2442807.0516086062</v>
      </c>
      <c r="J72" s="21">
        <f t="shared" si="14"/>
        <v>2936382.82293974</v>
      </c>
      <c r="K72" s="21">
        <f t="shared" si="14"/>
        <v>3442434.5767888646</v>
      </c>
      <c r="L72" s="21">
        <f t="shared" si="14"/>
        <v>5458484.0580612859</v>
      </c>
      <c r="M72" s="21">
        <f t="shared" si="14"/>
        <v>5994606.2544472134</v>
      </c>
      <c r="N72" s="21">
        <f t="shared" si="14"/>
        <v>6541701.559820178</v>
      </c>
      <c r="O72" s="21">
        <f t="shared" si="14"/>
        <v>7099829.4118538601</v>
      </c>
      <c r="P72" s="21">
        <f t="shared" si="14"/>
        <v>7676687.0701760054</v>
      </c>
      <c r="Q72" s="21">
        <f t="shared" si="14"/>
        <v>8286847.5174873425</v>
      </c>
      <c r="R72" s="21">
        <f t="shared" si="14"/>
        <v>8944887.0170893408</v>
      </c>
      <c r="S72" s="21">
        <f t="shared" si="14"/>
        <v>9632606.5388485752</v>
      </c>
      <c r="T72" s="21">
        <f t="shared" si="14"/>
        <v>10347926.670980301</v>
      </c>
      <c r="U72" s="21">
        <f t="shared" si="14"/>
        <v>16468994.776790703</v>
      </c>
      <c r="V72" s="11"/>
      <c r="W72" s="20"/>
    </row>
    <row r="73" spans="1:23" x14ac:dyDescent="0.2">
      <c r="A73" s="17"/>
      <c r="C73" s="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11"/>
      <c r="W73" s="20"/>
    </row>
    <row r="74" spans="1:23" s="4" customFormat="1" x14ac:dyDescent="0.2">
      <c r="A74" s="4" t="s">
        <v>49</v>
      </c>
      <c r="C74" s="4">
        <f t="shared" ref="C74:U74" si="15">+C64+C71</f>
        <v>29326993</v>
      </c>
      <c r="D74" s="4">
        <f t="shared" si="15"/>
        <v>30170252.111111112</v>
      </c>
      <c r="E74" s="4">
        <f t="shared" si="15"/>
        <v>15833659.284034394</v>
      </c>
      <c r="F74" s="4">
        <f t="shared" si="15"/>
        <v>3545424.9384895777</v>
      </c>
      <c r="G74" s="4">
        <f t="shared" si="15"/>
        <v>4004629.3235730631</v>
      </c>
      <c r="H74" s="4">
        <f t="shared" si="15"/>
        <v>3836321.0657424172</v>
      </c>
      <c r="I74" s="4">
        <f t="shared" si="15"/>
        <v>4404401.138181855</v>
      </c>
      <c r="J74" s="4">
        <f t="shared" si="15"/>
        <v>2303258.3110136734</v>
      </c>
      <c r="K74" s="4">
        <f t="shared" si="15"/>
        <v>1845734.2935316642</v>
      </c>
      <c r="L74" s="4">
        <f t="shared" si="15"/>
        <v>3705732.020954961</v>
      </c>
      <c r="M74" s="4">
        <f t="shared" si="15"/>
        <v>2025804.7360684667</v>
      </c>
      <c r="N74" s="4">
        <f t="shared" si="15"/>
        <v>2036777.8450555042</v>
      </c>
      <c r="O74" s="4">
        <f t="shared" si="15"/>
        <v>3457810.3917162213</v>
      </c>
      <c r="P74" s="4">
        <f t="shared" si="15"/>
        <v>6148207.1980046844</v>
      </c>
      <c r="Q74" s="4">
        <f t="shared" si="15"/>
        <v>8839209.6536605451</v>
      </c>
      <c r="R74" s="4">
        <f t="shared" si="15"/>
        <v>5479388.7059512073</v>
      </c>
      <c r="S74" s="4">
        <f t="shared" si="15"/>
        <v>5095497.2995370105</v>
      </c>
      <c r="T74" s="4">
        <f t="shared" si="15"/>
        <v>4873097.9099095035</v>
      </c>
      <c r="U74" s="4">
        <f t="shared" si="15"/>
        <v>15515195.88358818</v>
      </c>
      <c r="V74" s="11">
        <f>SUM(C74:U74)</f>
        <v>152447395.11012405</v>
      </c>
    </row>
    <row r="75" spans="1:23" s="4" customFormat="1" x14ac:dyDescent="0.2">
      <c r="A75" s="4" t="s">
        <v>45</v>
      </c>
      <c r="C75" s="4">
        <f>C74</f>
        <v>29326993</v>
      </c>
      <c r="D75" s="4">
        <f t="shared" ref="D75:U75" si="16">C75+D74</f>
        <v>59497245.111111112</v>
      </c>
      <c r="E75" s="4">
        <f t="shared" si="16"/>
        <v>75330904.395145506</v>
      </c>
      <c r="F75" s="4">
        <f t="shared" si="16"/>
        <v>78876329.333635077</v>
      </c>
      <c r="G75" s="4">
        <f t="shared" si="16"/>
        <v>82880958.657208145</v>
      </c>
      <c r="H75" s="4">
        <f t="shared" si="16"/>
        <v>86717279.722950563</v>
      </c>
      <c r="I75" s="4">
        <f t="shared" si="16"/>
        <v>91121680.861132413</v>
      </c>
      <c r="J75" s="4">
        <f t="shared" si="16"/>
        <v>93424939.172146082</v>
      </c>
      <c r="K75" s="4">
        <f t="shared" si="16"/>
        <v>95270673.465677753</v>
      </c>
      <c r="L75" s="4">
        <f t="shared" si="16"/>
        <v>98976405.48663272</v>
      </c>
      <c r="M75" s="4">
        <f t="shared" si="16"/>
        <v>101002210.22270119</v>
      </c>
      <c r="N75" s="4">
        <f t="shared" si="16"/>
        <v>103038988.0677567</v>
      </c>
      <c r="O75" s="4">
        <f t="shared" si="16"/>
        <v>106496798.45947292</v>
      </c>
      <c r="P75" s="4">
        <f t="shared" si="16"/>
        <v>112645005.6574776</v>
      </c>
      <c r="Q75" s="4">
        <f t="shared" si="16"/>
        <v>121484215.31113815</v>
      </c>
      <c r="R75" s="4">
        <f t="shared" si="16"/>
        <v>126963604.01708937</v>
      </c>
      <c r="S75" s="4">
        <f t="shared" si="16"/>
        <v>132059101.31662637</v>
      </c>
      <c r="T75" s="4">
        <f t="shared" si="16"/>
        <v>136932199.22653589</v>
      </c>
      <c r="U75" s="4">
        <f t="shared" si="16"/>
        <v>152447395.11012405</v>
      </c>
      <c r="V75" s="11"/>
    </row>
    <row r="76" spans="1:23" s="4" customFormat="1" x14ac:dyDescent="0.2">
      <c r="V76" s="16">
        <f>+V74/C78/1000</f>
        <v>317.59873981275848</v>
      </c>
    </row>
    <row r="77" spans="1:23" s="4" customFormat="1" x14ac:dyDescent="0.2">
      <c r="A77" s="8" t="s">
        <v>72</v>
      </c>
      <c r="C77" s="12">
        <v>6.5000000000000002E-2</v>
      </c>
      <c r="V77" s="11"/>
    </row>
    <row r="78" spans="1:23" s="4" customFormat="1" x14ac:dyDescent="0.2">
      <c r="A78" s="17" t="s">
        <v>64</v>
      </c>
      <c r="C78" s="4">
        <v>480</v>
      </c>
      <c r="D78" s="4" t="s">
        <v>66</v>
      </c>
      <c r="V78" s="11"/>
    </row>
    <row r="79" spans="1:23" x14ac:dyDescent="0.2">
      <c r="A79" s="17" t="s">
        <v>39</v>
      </c>
      <c r="C79" s="4">
        <v>0</v>
      </c>
      <c r="U79" s="18">
        <v>6338000</v>
      </c>
      <c r="V79" s="23">
        <f>SUM(C79:U79)</f>
        <v>6338000</v>
      </c>
      <c r="W79" s="19" t="str">
        <f>W69</f>
        <v>Rodney Malcolm</v>
      </c>
    </row>
    <row r="80" spans="1:23" s="4" customFormat="1" x14ac:dyDescent="0.2">
      <c r="A80" s="8"/>
      <c r="C80" s="12"/>
      <c r="V80" s="11"/>
    </row>
    <row r="81" spans="1:23" x14ac:dyDescent="0.2">
      <c r="A81" s="17" t="s">
        <v>69</v>
      </c>
      <c r="C81" s="4">
        <f t="shared" ref="C81:U81" si="17">+C74-C68</f>
        <v>29142550</v>
      </c>
      <c r="D81" s="4">
        <f t="shared" si="17"/>
        <v>29988111.111111112</v>
      </c>
      <c r="E81" s="4">
        <f t="shared" si="17"/>
        <v>15511382.539682541</v>
      </c>
      <c r="F81" s="4">
        <f t="shared" si="17"/>
        <v>3137382.5396825396</v>
      </c>
      <c r="G81" s="4">
        <f t="shared" si="17"/>
        <v>3577382.5396825396</v>
      </c>
      <c r="H81" s="4">
        <f t="shared" si="17"/>
        <v>3387382.5396825396</v>
      </c>
      <c r="I81" s="4">
        <f t="shared" si="17"/>
        <v>3934682.5396825392</v>
      </c>
      <c r="J81" s="4">
        <f t="shared" si="17"/>
        <v>1809682.5396825394</v>
      </c>
      <c r="K81" s="4">
        <f t="shared" si="17"/>
        <v>1339682.5396825396</v>
      </c>
      <c r="L81" s="4">
        <f t="shared" si="17"/>
        <v>3189682.5396825401</v>
      </c>
      <c r="M81" s="4">
        <f t="shared" si="17"/>
        <v>1489682.5396825396</v>
      </c>
      <c r="N81" s="4">
        <f t="shared" si="17"/>
        <v>1489682.5396825396</v>
      </c>
      <c r="O81" s="4">
        <f t="shared" si="17"/>
        <v>2899682.5396825392</v>
      </c>
      <c r="P81" s="4">
        <f t="shared" si="17"/>
        <v>5571349.5396825392</v>
      </c>
      <c r="Q81" s="4">
        <f t="shared" si="17"/>
        <v>8229049.206349208</v>
      </c>
      <c r="R81" s="4">
        <f t="shared" si="17"/>
        <v>4821349.206349209</v>
      </c>
      <c r="S81" s="4">
        <f t="shared" si="17"/>
        <v>4407777.7777777771</v>
      </c>
      <c r="T81" s="4">
        <f t="shared" si="17"/>
        <v>4157777.7777777775</v>
      </c>
      <c r="U81" s="4">
        <f t="shared" si="17"/>
        <v>14773479.804444443</v>
      </c>
      <c r="V81" s="11">
        <f>SUM(C81:U81)</f>
        <v>142857752.35999998</v>
      </c>
    </row>
    <row r="82" spans="1:23" x14ac:dyDescent="0.2">
      <c r="V82" s="11"/>
    </row>
    <row r="83" spans="1:23" x14ac:dyDescent="0.2">
      <c r="A83" s="4" t="s">
        <v>37</v>
      </c>
      <c r="V83" s="11"/>
    </row>
    <row r="84" spans="1:23" x14ac:dyDescent="0.2">
      <c r="A84" s="5" t="s">
        <v>62</v>
      </c>
      <c r="V84" s="11"/>
    </row>
    <row r="85" spans="1:23" x14ac:dyDescent="0.2">
      <c r="A85" s="17" t="s">
        <v>38</v>
      </c>
      <c r="C85" s="4">
        <v>16673404</v>
      </c>
      <c r="D85" s="18">
        <v>40778500</v>
      </c>
      <c r="E85" s="18">
        <v>4077852</v>
      </c>
      <c r="F85" s="18">
        <v>4077852</v>
      </c>
      <c r="G85" s="18">
        <v>4077852</v>
      </c>
      <c r="H85" s="18">
        <v>4077852</v>
      </c>
      <c r="I85" s="18">
        <v>4077852</v>
      </c>
      <c r="U85" s="18">
        <v>4077852</v>
      </c>
      <c r="V85" s="11">
        <f t="shared" ref="V85:V101" si="18">SUM(C85:U85)</f>
        <v>81919016</v>
      </c>
      <c r="W85" s="15" t="s">
        <v>50</v>
      </c>
    </row>
    <row r="86" spans="1:23" x14ac:dyDescent="0.2">
      <c r="A86" s="17" t="s">
        <v>19</v>
      </c>
      <c r="C86" s="4">
        <v>0</v>
      </c>
      <c r="H86" s="18">
        <v>440000</v>
      </c>
      <c r="I86" s="18">
        <v>3520000</v>
      </c>
      <c r="J86" s="18">
        <v>1760000</v>
      </c>
      <c r="K86" s="18">
        <v>440000</v>
      </c>
      <c r="L86" s="18">
        <v>440000</v>
      </c>
      <c r="M86" s="18">
        <v>440000</v>
      </c>
      <c r="N86" s="18">
        <v>440000</v>
      </c>
      <c r="O86" s="18">
        <v>440000</v>
      </c>
      <c r="P86" s="18">
        <v>440000</v>
      </c>
      <c r="Q86" s="18">
        <v>440000</v>
      </c>
      <c r="V86" s="11">
        <f t="shared" si="18"/>
        <v>8800000</v>
      </c>
      <c r="W86" s="15" t="s">
        <v>50</v>
      </c>
    </row>
    <row r="87" spans="1:23" x14ac:dyDescent="0.2">
      <c r="A87" s="17" t="s">
        <v>21</v>
      </c>
      <c r="C87" s="4">
        <v>0</v>
      </c>
      <c r="K87" s="18">
        <v>1600000</v>
      </c>
      <c r="L87" s="18">
        <f>2880000-1440000</f>
        <v>1440000</v>
      </c>
      <c r="M87" s="18">
        <f>2880000-1440000</f>
        <v>1440000</v>
      </c>
      <c r="N87" s="18">
        <f>2880000-1440000</f>
        <v>1440000</v>
      </c>
      <c r="O87" s="18">
        <f>3840000-1440000</f>
        <v>2400000</v>
      </c>
      <c r="P87" s="18">
        <f>2986666.66666667+1440000</f>
        <v>4426666.6666666698</v>
      </c>
      <c r="Q87" s="18">
        <f>2986666.66666667+1440000</f>
        <v>4426666.6666666698</v>
      </c>
      <c r="R87" s="18">
        <f>2986666.66666667+1440000</f>
        <v>4426666.6666666698</v>
      </c>
      <c r="S87" s="18">
        <f>2986666.66666667+1440000</f>
        <v>4426666.6666666698</v>
      </c>
      <c r="T87" s="18">
        <v>2986666.6666666665</v>
      </c>
      <c r="U87" s="18">
        <v>2986666.6666666665</v>
      </c>
      <c r="V87" s="11">
        <f t="shared" si="18"/>
        <v>32000000.000000015</v>
      </c>
      <c r="W87" s="15" t="s">
        <v>50</v>
      </c>
    </row>
    <row r="88" spans="1:23" x14ac:dyDescent="0.2">
      <c r="A88" s="17" t="s">
        <v>42</v>
      </c>
      <c r="C88" s="4">
        <v>0</v>
      </c>
      <c r="P88" s="18">
        <v>125000</v>
      </c>
      <c r="Q88" s="18">
        <v>125000</v>
      </c>
      <c r="R88" s="18">
        <v>125000</v>
      </c>
      <c r="S88" s="18">
        <v>125000</v>
      </c>
      <c r="T88" s="18">
        <v>125000</v>
      </c>
      <c r="U88" s="18">
        <v>125000</v>
      </c>
      <c r="V88" s="11">
        <f t="shared" si="18"/>
        <v>750000</v>
      </c>
      <c r="W88" s="15" t="s">
        <v>51</v>
      </c>
    </row>
    <row r="89" spans="1:23" x14ac:dyDescent="0.2">
      <c r="A89" s="17" t="s">
        <v>22</v>
      </c>
      <c r="C89" s="4">
        <v>0</v>
      </c>
      <c r="S89" s="18">
        <v>500000</v>
      </c>
      <c r="T89" s="18">
        <v>500000</v>
      </c>
      <c r="V89" s="11">
        <f t="shared" si="18"/>
        <v>1000000</v>
      </c>
      <c r="W89" s="15" t="str">
        <f>W87</f>
        <v>Mike Miller</v>
      </c>
    </row>
    <row r="90" spans="1:23" x14ac:dyDescent="0.2">
      <c r="A90" s="17" t="s">
        <v>23</v>
      </c>
      <c r="C90" s="4">
        <v>0</v>
      </c>
      <c r="K90" s="18">
        <v>770000</v>
      </c>
      <c r="V90" s="11">
        <f t="shared" si="18"/>
        <v>770000</v>
      </c>
      <c r="W90" s="15" t="s">
        <v>57</v>
      </c>
    </row>
    <row r="91" spans="1:23" x14ac:dyDescent="0.2">
      <c r="A91" s="17" t="s">
        <v>24</v>
      </c>
      <c r="C91" s="4">
        <v>0</v>
      </c>
      <c r="F91" s="18">
        <v>112500</v>
      </c>
      <c r="G91" s="18">
        <v>112500</v>
      </c>
      <c r="H91" s="18">
        <v>112500</v>
      </c>
      <c r="I91" s="17">
        <v>112500</v>
      </c>
      <c r="J91" s="17"/>
      <c r="K91" s="17"/>
      <c r="L91" s="17"/>
      <c r="V91" s="11">
        <f t="shared" si="18"/>
        <v>450000</v>
      </c>
      <c r="W91" s="15" t="str">
        <f>W90</f>
        <v>Steve Dowd</v>
      </c>
    </row>
    <row r="92" spans="1:23" x14ac:dyDescent="0.2">
      <c r="A92" s="17" t="s">
        <v>25</v>
      </c>
      <c r="C92" s="4">
        <v>0</v>
      </c>
      <c r="Q92" s="18">
        <v>500000</v>
      </c>
      <c r="R92" s="18">
        <v>166666.66666666666</v>
      </c>
      <c r="S92" s="18">
        <v>166666.66666666666</v>
      </c>
      <c r="T92" s="18">
        <v>166666.66666666666</v>
      </c>
      <c r="V92" s="11">
        <f t="shared" si="18"/>
        <v>999999.99999999988</v>
      </c>
      <c r="W92" s="15" t="s">
        <v>53</v>
      </c>
    </row>
    <row r="93" spans="1:23" x14ac:dyDescent="0.2">
      <c r="A93" s="17" t="s">
        <v>26</v>
      </c>
      <c r="C93" s="4">
        <v>0</v>
      </c>
      <c r="P93" s="18">
        <v>1000000</v>
      </c>
      <c r="Q93" s="18">
        <v>500000</v>
      </c>
      <c r="R93" s="18">
        <v>500000</v>
      </c>
      <c r="V93" s="11">
        <f t="shared" si="18"/>
        <v>2000000</v>
      </c>
      <c r="W93" s="15" t="str">
        <f>W91</f>
        <v>Steve Dowd</v>
      </c>
    </row>
    <row r="94" spans="1:23" x14ac:dyDescent="0.2">
      <c r="A94" s="17" t="s">
        <v>27</v>
      </c>
      <c r="C94" s="4">
        <v>0</v>
      </c>
      <c r="S94" s="18">
        <v>500000</v>
      </c>
      <c r="T94" s="18">
        <v>500000</v>
      </c>
      <c r="U94" s="18">
        <v>0</v>
      </c>
      <c r="V94" s="11">
        <f t="shared" si="18"/>
        <v>1000000</v>
      </c>
      <c r="W94" s="15" t="str">
        <f>W88</f>
        <v>Kevin Presto</v>
      </c>
    </row>
    <row r="95" spans="1:23" x14ac:dyDescent="0.2">
      <c r="A95" s="17" t="s">
        <v>48</v>
      </c>
      <c r="U95" s="18">
        <v>236000</v>
      </c>
      <c r="V95" s="11">
        <f t="shared" si="18"/>
        <v>236000</v>
      </c>
      <c r="W95" s="15" t="s">
        <v>56</v>
      </c>
    </row>
    <row r="96" spans="1:23" x14ac:dyDescent="0.2">
      <c r="A96" s="17" t="s">
        <v>28</v>
      </c>
      <c r="C96" s="4">
        <v>0</v>
      </c>
      <c r="P96" s="17"/>
      <c r="Q96" s="17"/>
      <c r="R96" s="17"/>
      <c r="S96" s="17"/>
      <c r="U96" s="18">
        <v>50000</v>
      </c>
      <c r="V96" s="11">
        <f t="shared" si="18"/>
        <v>50000</v>
      </c>
      <c r="W96" s="15" t="str">
        <f>W93</f>
        <v>Steve Dowd</v>
      </c>
    </row>
    <row r="97" spans="1:23" x14ac:dyDescent="0.2">
      <c r="A97" s="17" t="s">
        <v>29</v>
      </c>
      <c r="C97" s="4">
        <v>0</v>
      </c>
      <c r="L97" s="18">
        <v>200000</v>
      </c>
      <c r="V97" s="11">
        <f t="shared" si="18"/>
        <v>200000</v>
      </c>
      <c r="W97" s="15" t="str">
        <f>W96</f>
        <v>Steve Dowd</v>
      </c>
    </row>
    <row r="98" spans="1:23" x14ac:dyDescent="0.2">
      <c r="A98" s="17" t="s">
        <v>30</v>
      </c>
      <c r="C98" s="4">
        <v>0</v>
      </c>
      <c r="D98" s="18">
        <v>11111.111111111111</v>
      </c>
      <c r="E98" s="18">
        <v>11111.111111111111</v>
      </c>
      <c r="F98" s="18">
        <v>11111.111111111111</v>
      </c>
      <c r="G98" s="18">
        <v>11111.111111111111</v>
      </c>
      <c r="H98" s="18">
        <v>11111.111111111111</v>
      </c>
      <c r="I98" s="18">
        <v>11111.111111111111</v>
      </c>
      <c r="J98" s="18">
        <v>11111.111111111111</v>
      </c>
      <c r="K98" s="18">
        <v>11111.111111111111</v>
      </c>
      <c r="L98" s="18">
        <v>11111.111111111111</v>
      </c>
      <c r="M98" s="18">
        <v>11111.111111111111</v>
      </c>
      <c r="N98" s="18">
        <v>11111.111111111111</v>
      </c>
      <c r="O98" s="18">
        <v>11111.111111111111</v>
      </c>
      <c r="P98" s="18">
        <v>11111.111111111111</v>
      </c>
      <c r="Q98" s="18">
        <v>11111.111111111111</v>
      </c>
      <c r="R98" s="18">
        <v>11111.111111111111</v>
      </c>
      <c r="S98" s="18">
        <v>11111.111111111111</v>
      </c>
      <c r="T98" s="18">
        <v>11111.111111111111</v>
      </c>
      <c r="U98" s="18">
        <v>11111.111111111111</v>
      </c>
      <c r="V98" s="11">
        <f t="shared" si="18"/>
        <v>200000.00000000009</v>
      </c>
      <c r="W98" s="15" t="str">
        <f>W97</f>
        <v>Steve Dowd</v>
      </c>
    </row>
    <row r="99" spans="1:23" x14ac:dyDescent="0.2">
      <c r="A99" s="17" t="s">
        <v>32</v>
      </c>
      <c r="C99" s="4">
        <v>0</v>
      </c>
      <c r="E99" s="18">
        <v>28571.428571428572</v>
      </c>
      <c r="F99" s="18">
        <v>28571.428571428572</v>
      </c>
      <c r="G99" s="18">
        <v>28571.428571428572</v>
      </c>
      <c r="H99" s="18">
        <v>28571.428571428572</v>
      </c>
      <c r="I99" s="18">
        <v>28571.428571428572</v>
      </c>
      <c r="J99" s="18">
        <v>28571.428571428572</v>
      </c>
      <c r="K99" s="18">
        <v>28571.428571428572</v>
      </c>
      <c r="L99" s="18">
        <v>28571.428571428572</v>
      </c>
      <c r="M99" s="18">
        <v>28571.428571428572</v>
      </c>
      <c r="N99" s="18">
        <v>28571.428571428572</v>
      </c>
      <c r="O99" s="18">
        <v>28571.428571428572</v>
      </c>
      <c r="P99" s="18">
        <v>28571.428571428572</v>
      </c>
      <c r="Q99" s="18">
        <v>28571.428571428572</v>
      </c>
      <c r="R99" s="18">
        <v>28571.428571428572</v>
      </c>
      <c r="V99" s="11">
        <f t="shared" si="18"/>
        <v>400000.00000000006</v>
      </c>
      <c r="W99" s="15" t="str">
        <f>W97</f>
        <v>Steve Dowd</v>
      </c>
    </row>
    <row r="100" spans="1:23" x14ac:dyDescent="0.2">
      <c r="A100" s="17" t="s">
        <v>33</v>
      </c>
      <c r="C100" s="4">
        <v>0</v>
      </c>
      <c r="N100" s="18">
        <v>10000</v>
      </c>
      <c r="O100" s="18">
        <f>325000-35000</f>
        <v>290000</v>
      </c>
      <c r="P100" s="18">
        <v>10000</v>
      </c>
      <c r="Q100" s="18">
        <v>10000</v>
      </c>
      <c r="R100" s="18">
        <v>10000</v>
      </c>
      <c r="S100" s="18">
        <v>10000</v>
      </c>
      <c r="T100" s="18">
        <v>10000</v>
      </c>
      <c r="U100" s="18">
        <v>50000</v>
      </c>
      <c r="V100" s="11">
        <f t="shared" si="18"/>
        <v>400000</v>
      </c>
      <c r="W100" s="15" t="str">
        <f>W97</f>
        <v>Steve Dowd</v>
      </c>
    </row>
    <row r="101" spans="1:23" x14ac:dyDescent="0.2">
      <c r="A101" s="17" t="s">
        <v>63</v>
      </c>
      <c r="C101" s="21">
        <f t="shared" ref="C101:U101" si="19">SUM(C83:C100)</f>
        <v>16673404</v>
      </c>
      <c r="D101" s="21">
        <f t="shared" si="19"/>
        <v>40789611.111111112</v>
      </c>
      <c r="E101" s="21">
        <f t="shared" si="19"/>
        <v>4117534.5396825396</v>
      </c>
      <c r="F101" s="21">
        <f t="shared" si="19"/>
        <v>4230034.5396825392</v>
      </c>
      <c r="G101" s="21">
        <f t="shared" si="19"/>
        <v>4230034.5396825392</v>
      </c>
      <c r="H101" s="21">
        <f t="shared" si="19"/>
        <v>4670034.5396825392</v>
      </c>
      <c r="I101" s="21">
        <f t="shared" si="19"/>
        <v>7750034.5396825392</v>
      </c>
      <c r="J101" s="21">
        <f t="shared" si="19"/>
        <v>1799682.5396825396</v>
      </c>
      <c r="K101" s="21">
        <f t="shared" si="19"/>
        <v>2849682.5396825396</v>
      </c>
      <c r="L101" s="21">
        <f t="shared" si="19"/>
        <v>2119682.5396825396</v>
      </c>
      <c r="M101" s="21">
        <f t="shared" si="19"/>
        <v>1919682.5396825396</v>
      </c>
      <c r="N101" s="21">
        <f t="shared" si="19"/>
        <v>1929682.5396825396</v>
      </c>
      <c r="O101" s="21">
        <f t="shared" si="19"/>
        <v>3169682.5396825396</v>
      </c>
      <c r="P101" s="21">
        <f t="shared" si="19"/>
        <v>6041349.206349209</v>
      </c>
      <c r="Q101" s="21">
        <f t="shared" si="19"/>
        <v>6041349.206349209</v>
      </c>
      <c r="R101" s="21">
        <f t="shared" si="19"/>
        <v>5268015.8730158759</v>
      </c>
      <c r="S101" s="21">
        <f t="shared" si="19"/>
        <v>5739444.4444444478</v>
      </c>
      <c r="T101" s="21">
        <f t="shared" si="19"/>
        <v>4299444.444444444</v>
      </c>
      <c r="U101" s="21">
        <f t="shared" si="19"/>
        <v>7536629.7777777771</v>
      </c>
      <c r="V101" s="22">
        <f t="shared" si="18"/>
        <v>131175016</v>
      </c>
    </row>
    <row r="102" spans="1:23" x14ac:dyDescent="0.2">
      <c r="A102" s="17" t="s">
        <v>67</v>
      </c>
      <c r="C102" s="21">
        <f>+C101</f>
        <v>16673404</v>
      </c>
      <c r="D102" s="21">
        <f t="shared" ref="D102:U102" si="20">+C102+D101</f>
        <v>57463015.111111112</v>
      </c>
      <c r="E102" s="21">
        <f t="shared" si="20"/>
        <v>61580549.650793649</v>
      </c>
      <c r="F102" s="21">
        <f t="shared" si="20"/>
        <v>65810584.190476187</v>
      </c>
      <c r="G102" s="21">
        <f t="shared" si="20"/>
        <v>70040618.730158731</v>
      </c>
      <c r="H102" s="21">
        <f t="shared" si="20"/>
        <v>74710653.269841269</v>
      </c>
      <c r="I102" s="21">
        <f t="shared" si="20"/>
        <v>82460687.809523806</v>
      </c>
      <c r="J102" s="21">
        <f t="shared" si="20"/>
        <v>84260370.349206343</v>
      </c>
      <c r="K102" s="21">
        <f t="shared" si="20"/>
        <v>87110052.888888881</v>
      </c>
      <c r="L102" s="21">
        <f t="shared" si="20"/>
        <v>89229735.428571418</v>
      </c>
      <c r="M102" s="21">
        <f t="shared" si="20"/>
        <v>91149417.968253955</v>
      </c>
      <c r="N102" s="21">
        <f t="shared" si="20"/>
        <v>93079100.507936493</v>
      </c>
      <c r="O102" s="21">
        <f t="shared" si="20"/>
        <v>96248783.04761903</v>
      </c>
      <c r="P102" s="21">
        <f t="shared" si="20"/>
        <v>102290132.25396824</v>
      </c>
      <c r="Q102" s="21">
        <f t="shared" si="20"/>
        <v>108331481.46031745</v>
      </c>
      <c r="R102" s="21">
        <f t="shared" si="20"/>
        <v>113599497.33333333</v>
      </c>
      <c r="S102" s="21">
        <f t="shared" si="20"/>
        <v>119338941.77777778</v>
      </c>
      <c r="T102" s="21">
        <f t="shared" si="20"/>
        <v>123638386.22222222</v>
      </c>
      <c r="U102" s="21">
        <f t="shared" si="20"/>
        <v>131175016</v>
      </c>
      <c r="V102" s="11"/>
    </row>
    <row r="103" spans="1:23" x14ac:dyDescent="0.2">
      <c r="A103" s="17" t="s">
        <v>64</v>
      </c>
      <c r="V103" s="16">
        <f>+V101/C115/1000</f>
        <v>285.16307826086955</v>
      </c>
      <c r="W103" s="20"/>
    </row>
    <row r="104" spans="1:23" x14ac:dyDescent="0.2">
      <c r="V104" s="11"/>
    </row>
    <row r="105" spans="1:23" x14ac:dyDescent="0.2">
      <c r="A105" s="17" t="s">
        <v>44</v>
      </c>
      <c r="C105" s="9">
        <v>146354</v>
      </c>
      <c r="D105" s="20">
        <v>104209</v>
      </c>
      <c r="E105" s="20">
        <f t="shared" ref="E105:U105" si="21">(+D102+D109)*$C114/12</f>
        <v>312615.21476851852</v>
      </c>
      <c r="F105" s="20">
        <f t="shared" si="21"/>
        <v>336611.85927179508</v>
      </c>
      <c r="G105" s="20">
        <f t="shared" si="21"/>
        <v>361347.86059946445</v>
      </c>
      <c r="H105" s="20">
        <f t="shared" si="21"/>
        <v>386217.84860099194</v>
      </c>
      <c r="I105" s="20">
        <f t="shared" si="21"/>
        <v>413605.88237086101</v>
      </c>
      <c r="J105" s="20">
        <f t="shared" si="21"/>
        <v>457825.60132365028</v>
      </c>
      <c r="K105" s="20">
        <f t="shared" si="21"/>
        <v>470053.77042076713</v>
      </c>
      <c r="L105" s="20">
        <f t="shared" si="21"/>
        <v>488035.67543382669</v>
      </c>
      <c r="M105" s="20">
        <f t="shared" si="21"/>
        <v>510285.81576570706</v>
      </c>
      <c r="N105" s="20">
        <f t="shared" si="21"/>
        <v>523448.14435771835</v>
      </c>
      <c r="O105" s="20">
        <f t="shared" si="21"/>
        <v>536735.93556293636</v>
      </c>
      <c r="P105" s="20">
        <f t="shared" si="21"/>
        <v>556812.36897051602</v>
      </c>
      <c r="Q105" s="20">
        <f t="shared" si="21"/>
        <v>592552.4108368312</v>
      </c>
      <c r="R105" s="20">
        <f t="shared" si="21"/>
        <v>628486.04459658894</v>
      </c>
      <c r="S105" s="20">
        <f t="shared" si="21"/>
        <v>660425.4299836565</v>
      </c>
      <c r="T105" s="20">
        <f t="shared" si="21"/>
        <v>695091.39180347533</v>
      </c>
      <c r="U105" s="20">
        <f t="shared" si="21"/>
        <v>722145.12758315157</v>
      </c>
      <c r="V105" s="11">
        <f>SUM(C105:U105)</f>
        <v>8902859.3822504561</v>
      </c>
      <c r="W105" s="19" t="str">
        <f>W116</f>
        <v>Rodney Malcolm</v>
      </c>
    </row>
    <row r="106" spans="1:23" x14ac:dyDescent="0.2">
      <c r="A106" s="17" t="s">
        <v>31</v>
      </c>
      <c r="C106" s="4">
        <v>0</v>
      </c>
      <c r="L106" s="18">
        <v>1500000</v>
      </c>
      <c r="V106" s="11">
        <f>SUM(C106:U106)</f>
        <v>1500000</v>
      </c>
      <c r="W106" s="19" t="s">
        <v>54</v>
      </c>
    </row>
    <row r="107" spans="1:23" x14ac:dyDescent="0.2">
      <c r="A107" s="17" t="s">
        <v>40</v>
      </c>
      <c r="C107" s="9">
        <v>0</v>
      </c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>
        <f>+V87*0.05+V101*0.03</f>
        <v>5535250.4800000004</v>
      </c>
      <c r="V107" s="11">
        <f>SUM(C107:U107)</f>
        <v>5535250.4800000004</v>
      </c>
      <c r="W107" s="19" t="str">
        <f>W90</f>
        <v>Steve Dowd</v>
      </c>
    </row>
    <row r="108" spans="1:23" x14ac:dyDescent="0.2">
      <c r="A108" s="17" t="s">
        <v>65</v>
      </c>
      <c r="C108" s="21">
        <f t="shared" ref="C108:U108" si="22">SUM(C105:C107)</f>
        <v>146354</v>
      </c>
      <c r="D108" s="21">
        <f t="shared" si="22"/>
        <v>104209</v>
      </c>
      <c r="E108" s="21">
        <f t="shared" si="22"/>
        <v>312615.21476851852</v>
      </c>
      <c r="F108" s="21">
        <f t="shared" si="22"/>
        <v>336611.85927179508</v>
      </c>
      <c r="G108" s="21">
        <f t="shared" si="22"/>
        <v>361347.86059946445</v>
      </c>
      <c r="H108" s="21">
        <f t="shared" si="22"/>
        <v>386217.84860099194</v>
      </c>
      <c r="I108" s="21">
        <f t="shared" si="22"/>
        <v>413605.88237086101</v>
      </c>
      <c r="J108" s="21">
        <f t="shared" si="22"/>
        <v>457825.60132365028</v>
      </c>
      <c r="K108" s="21">
        <f t="shared" si="22"/>
        <v>470053.77042076713</v>
      </c>
      <c r="L108" s="21">
        <f t="shared" si="22"/>
        <v>1988035.6754338266</v>
      </c>
      <c r="M108" s="21">
        <f t="shared" si="22"/>
        <v>510285.81576570706</v>
      </c>
      <c r="N108" s="21">
        <f t="shared" si="22"/>
        <v>523448.14435771835</v>
      </c>
      <c r="O108" s="21">
        <f t="shared" si="22"/>
        <v>536735.93556293636</v>
      </c>
      <c r="P108" s="21">
        <f t="shared" si="22"/>
        <v>556812.36897051602</v>
      </c>
      <c r="Q108" s="21">
        <f t="shared" si="22"/>
        <v>592552.4108368312</v>
      </c>
      <c r="R108" s="21">
        <f t="shared" si="22"/>
        <v>628486.04459658894</v>
      </c>
      <c r="S108" s="21">
        <f t="shared" si="22"/>
        <v>660425.4299836565</v>
      </c>
      <c r="T108" s="21">
        <f t="shared" si="22"/>
        <v>695091.39180347533</v>
      </c>
      <c r="U108" s="21">
        <f t="shared" si="22"/>
        <v>6257395.6075831521</v>
      </c>
      <c r="V108" s="22">
        <f>SUM(C108:U108)</f>
        <v>15938109.862250457</v>
      </c>
      <c r="W108" s="20"/>
    </row>
    <row r="109" spans="1:23" x14ac:dyDescent="0.2">
      <c r="A109" s="17" t="s">
        <v>68</v>
      </c>
      <c r="C109" s="21">
        <f>+C108</f>
        <v>146354</v>
      </c>
      <c r="D109" s="21">
        <f t="shared" ref="D109:U109" si="23">+D108+C109</f>
        <v>250563</v>
      </c>
      <c r="E109" s="21">
        <f t="shared" si="23"/>
        <v>563178.21476851846</v>
      </c>
      <c r="F109" s="21">
        <f t="shared" si="23"/>
        <v>899790.07404031348</v>
      </c>
      <c r="G109" s="21">
        <f t="shared" si="23"/>
        <v>1261137.934639778</v>
      </c>
      <c r="H109" s="21">
        <f t="shared" si="23"/>
        <v>1647355.78324077</v>
      </c>
      <c r="I109" s="21">
        <f t="shared" si="23"/>
        <v>2060961.665611631</v>
      </c>
      <c r="J109" s="21">
        <f t="shared" si="23"/>
        <v>2518787.2669352815</v>
      </c>
      <c r="K109" s="21">
        <f t="shared" si="23"/>
        <v>2988841.0373560488</v>
      </c>
      <c r="L109" s="21">
        <f t="shared" si="23"/>
        <v>4976876.7127898755</v>
      </c>
      <c r="M109" s="21">
        <f t="shared" si="23"/>
        <v>5487162.5285555823</v>
      </c>
      <c r="N109" s="21">
        <f t="shared" si="23"/>
        <v>6010610.6729133008</v>
      </c>
      <c r="O109" s="21">
        <f t="shared" si="23"/>
        <v>6547346.6084762374</v>
      </c>
      <c r="P109" s="21">
        <f t="shared" si="23"/>
        <v>7104158.9774467535</v>
      </c>
      <c r="Q109" s="21">
        <f t="shared" si="23"/>
        <v>7696711.3882835843</v>
      </c>
      <c r="R109" s="21">
        <f t="shared" si="23"/>
        <v>8325197.4328801734</v>
      </c>
      <c r="S109" s="21">
        <f t="shared" si="23"/>
        <v>8985622.8628638294</v>
      </c>
      <c r="T109" s="21">
        <f t="shared" si="23"/>
        <v>9680714.2546673045</v>
      </c>
      <c r="U109" s="21">
        <f t="shared" si="23"/>
        <v>15938109.862250457</v>
      </c>
      <c r="V109" s="11"/>
      <c r="W109" s="20"/>
    </row>
    <row r="110" spans="1:23" x14ac:dyDescent="0.2">
      <c r="A110" s="17"/>
      <c r="C110" s="9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11"/>
      <c r="W110" s="20"/>
    </row>
    <row r="111" spans="1:23" s="4" customFormat="1" x14ac:dyDescent="0.2">
      <c r="A111" s="4" t="s">
        <v>49</v>
      </c>
      <c r="C111" s="4">
        <f t="shared" ref="C111:U111" si="24">+C101+C108</f>
        <v>16819758</v>
      </c>
      <c r="D111" s="4">
        <f t="shared" si="24"/>
        <v>40893820.111111112</v>
      </c>
      <c r="E111" s="4">
        <f t="shared" si="24"/>
        <v>4430149.7544510579</v>
      </c>
      <c r="F111" s="4">
        <f t="shared" si="24"/>
        <v>4566646.3989543347</v>
      </c>
      <c r="G111" s="4">
        <f t="shared" si="24"/>
        <v>4591382.4002820039</v>
      </c>
      <c r="H111" s="4">
        <f t="shared" si="24"/>
        <v>5056252.3882835312</v>
      </c>
      <c r="I111" s="4">
        <f t="shared" si="24"/>
        <v>8163640.4220534004</v>
      </c>
      <c r="J111" s="4">
        <f t="shared" si="24"/>
        <v>2257508.1410061899</v>
      </c>
      <c r="K111" s="4">
        <f t="shared" si="24"/>
        <v>3319736.3101033065</v>
      </c>
      <c r="L111" s="4">
        <f t="shared" si="24"/>
        <v>4107718.2151163663</v>
      </c>
      <c r="M111" s="4">
        <f t="shared" si="24"/>
        <v>2429968.3554482469</v>
      </c>
      <c r="N111" s="4">
        <f t="shared" si="24"/>
        <v>2453130.6840402582</v>
      </c>
      <c r="O111" s="4">
        <f t="shared" si="24"/>
        <v>3706418.4752454758</v>
      </c>
      <c r="P111" s="4">
        <f t="shared" si="24"/>
        <v>6598161.5753197251</v>
      </c>
      <c r="Q111" s="4">
        <f t="shared" si="24"/>
        <v>6633901.6171860397</v>
      </c>
      <c r="R111" s="4">
        <f t="shared" si="24"/>
        <v>5896501.9176124651</v>
      </c>
      <c r="S111" s="4">
        <f t="shared" si="24"/>
        <v>6399869.8744281046</v>
      </c>
      <c r="T111" s="4">
        <f t="shared" si="24"/>
        <v>4994535.8362479191</v>
      </c>
      <c r="U111" s="4">
        <f t="shared" si="24"/>
        <v>13794025.38536093</v>
      </c>
      <c r="V111" s="11">
        <f>SUM(C111:U111)</f>
        <v>147113125.86225048</v>
      </c>
    </row>
    <row r="112" spans="1:23" s="4" customFormat="1" x14ac:dyDescent="0.2">
      <c r="A112" s="4" t="s">
        <v>45</v>
      </c>
      <c r="C112" s="4">
        <f>C111</f>
        <v>16819758</v>
      </c>
      <c r="D112" s="4">
        <f t="shared" ref="D112:U112" si="25">C112+D111</f>
        <v>57713578.111111112</v>
      </c>
      <c r="E112" s="4">
        <f t="shared" si="25"/>
        <v>62143727.865562171</v>
      </c>
      <c r="F112" s="4">
        <f t="shared" si="25"/>
        <v>66710374.264516503</v>
      </c>
      <c r="G112" s="4">
        <f t="shared" si="25"/>
        <v>71301756.664798513</v>
      </c>
      <c r="H112" s="4">
        <f t="shared" si="25"/>
        <v>76358009.053082049</v>
      </c>
      <c r="I112" s="4">
        <f t="shared" si="25"/>
        <v>84521649.475135446</v>
      </c>
      <c r="J112" s="4">
        <f t="shared" si="25"/>
        <v>86779157.616141632</v>
      </c>
      <c r="K112" s="4">
        <f t="shared" si="25"/>
        <v>90098893.926244944</v>
      </c>
      <c r="L112" s="4">
        <f t="shared" si="25"/>
        <v>94206612.141361311</v>
      </c>
      <c r="M112" s="4">
        <f t="shared" si="25"/>
        <v>96636580.496809557</v>
      </c>
      <c r="N112" s="4">
        <f t="shared" si="25"/>
        <v>99089711.18084982</v>
      </c>
      <c r="O112" s="4">
        <f t="shared" si="25"/>
        <v>102796129.6560953</v>
      </c>
      <c r="P112" s="4">
        <f t="shared" si="25"/>
        <v>109394291.23141502</v>
      </c>
      <c r="Q112" s="4">
        <f t="shared" si="25"/>
        <v>116028192.84860106</v>
      </c>
      <c r="R112" s="4">
        <f t="shared" si="25"/>
        <v>121924694.76621352</v>
      </c>
      <c r="S112" s="4">
        <f t="shared" si="25"/>
        <v>128324564.64064163</v>
      </c>
      <c r="T112" s="4">
        <f t="shared" si="25"/>
        <v>133319100.47688955</v>
      </c>
      <c r="U112" s="4">
        <f t="shared" si="25"/>
        <v>147113125.86225048</v>
      </c>
      <c r="V112" s="11"/>
    </row>
    <row r="113" spans="1:23" s="4" customFormat="1" x14ac:dyDescent="0.2">
      <c r="V113" s="16">
        <f>+V111/C115/1000</f>
        <v>319.81114317880537</v>
      </c>
    </row>
    <row r="114" spans="1:23" s="4" customFormat="1" x14ac:dyDescent="0.2">
      <c r="A114" s="8" t="s">
        <v>72</v>
      </c>
      <c r="C114" s="12">
        <v>6.5000000000000002E-2</v>
      </c>
      <c r="V114" s="11"/>
    </row>
    <row r="115" spans="1:23" s="4" customFormat="1" x14ac:dyDescent="0.2">
      <c r="A115" s="17" t="s">
        <v>64</v>
      </c>
      <c r="C115" s="4">
        <v>460</v>
      </c>
      <c r="D115" s="4" t="s">
        <v>66</v>
      </c>
      <c r="V115" s="11"/>
    </row>
    <row r="116" spans="1:23" x14ac:dyDescent="0.2">
      <c r="A116" s="17" t="s">
        <v>39</v>
      </c>
      <c r="C116" s="4">
        <v>0</v>
      </c>
      <c r="U116" s="18">
        <v>5842000</v>
      </c>
      <c r="V116" s="23">
        <f>SUM(C116:U116)</f>
        <v>5842000</v>
      </c>
      <c r="W116" s="19" t="str">
        <f>W106</f>
        <v>Rodney Malcolm</v>
      </c>
    </row>
    <row r="117" spans="1:23" s="4" customFormat="1" x14ac:dyDescent="0.2">
      <c r="A117" s="8"/>
      <c r="C117" s="12"/>
      <c r="V117" s="11"/>
    </row>
    <row r="118" spans="1:23" x14ac:dyDescent="0.2">
      <c r="A118" s="17" t="s">
        <v>69</v>
      </c>
      <c r="C118" s="4">
        <f t="shared" ref="C118:U118" si="26">+C111-C105</f>
        <v>16673404</v>
      </c>
      <c r="D118" s="4">
        <f t="shared" si="26"/>
        <v>40789611.111111112</v>
      </c>
      <c r="E118" s="4">
        <f t="shared" si="26"/>
        <v>4117534.5396825392</v>
      </c>
      <c r="F118" s="4">
        <f t="shared" si="26"/>
        <v>4230034.5396825392</v>
      </c>
      <c r="G118" s="4">
        <f t="shared" si="26"/>
        <v>4230034.5396825392</v>
      </c>
      <c r="H118" s="4">
        <f t="shared" si="26"/>
        <v>4670034.5396825392</v>
      </c>
      <c r="I118" s="4">
        <f t="shared" si="26"/>
        <v>7750034.5396825392</v>
      </c>
      <c r="J118" s="4">
        <f t="shared" si="26"/>
        <v>1799682.5396825396</v>
      </c>
      <c r="K118" s="4">
        <f t="shared" si="26"/>
        <v>2849682.5396825392</v>
      </c>
      <c r="L118" s="4">
        <f t="shared" si="26"/>
        <v>3619682.5396825396</v>
      </c>
      <c r="M118" s="4">
        <f t="shared" si="26"/>
        <v>1919682.5396825399</v>
      </c>
      <c r="N118" s="4">
        <f t="shared" si="26"/>
        <v>1929682.5396825399</v>
      </c>
      <c r="O118" s="4">
        <f t="shared" si="26"/>
        <v>3169682.5396825392</v>
      </c>
      <c r="P118" s="4">
        <f t="shared" si="26"/>
        <v>6041349.206349209</v>
      </c>
      <c r="Q118" s="4">
        <f t="shared" si="26"/>
        <v>6041349.206349209</v>
      </c>
      <c r="R118" s="4">
        <f t="shared" si="26"/>
        <v>5268015.8730158759</v>
      </c>
      <c r="S118" s="4">
        <f t="shared" si="26"/>
        <v>5739444.4444444478</v>
      </c>
      <c r="T118" s="4">
        <f t="shared" si="26"/>
        <v>4299444.444444444</v>
      </c>
      <c r="U118" s="4">
        <f t="shared" si="26"/>
        <v>13071880.257777778</v>
      </c>
      <c r="V118" s="23">
        <f>SUM(C118:U118)</f>
        <v>138210266.47999999</v>
      </c>
    </row>
    <row r="120" spans="1:23" x14ac:dyDescent="0.2">
      <c r="A120" s="17" t="s">
        <v>70</v>
      </c>
      <c r="C120" s="18">
        <f t="shared" ref="C120:T120" si="27">+C112+C75+C36</f>
        <v>53134117</v>
      </c>
      <c r="D120" s="18">
        <f t="shared" si="27"/>
        <v>124266800.33333333</v>
      </c>
      <c r="E120" s="18">
        <f t="shared" si="27"/>
        <v>177479740.35894841</v>
      </c>
      <c r="F120" s="18">
        <f t="shared" si="27"/>
        <v>199684895.14303556</v>
      </c>
      <c r="G120" s="18">
        <f t="shared" si="27"/>
        <v>217963588.84886986</v>
      </c>
      <c r="H120" s="18">
        <f t="shared" si="27"/>
        <v>234152892.14561081</v>
      </c>
      <c r="I120" s="18">
        <f t="shared" si="27"/>
        <v>259429687.5018757</v>
      </c>
      <c r="J120" s="18">
        <f t="shared" si="27"/>
        <v>273980546.83298701</v>
      </c>
      <c r="K120" s="18">
        <f t="shared" si="27"/>
        <v>288822887.31880862</v>
      </c>
      <c r="L120" s="18">
        <f t="shared" si="27"/>
        <v>308281685.81559503</v>
      </c>
      <c r="M120" s="18">
        <f t="shared" si="27"/>
        <v>324152171.13757229</v>
      </c>
      <c r="N120" s="18">
        <f t="shared" si="27"/>
        <v>344377777.588377</v>
      </c>
      <c r="O120" s="18">
        <f t="shared" si="27"/>
        <v>373661901.40745693</v>
      </c>
      <c r="P120" s="18">
        <f t="shared" si="27"/>
        <v>395401445.23055685</v>
      </c>
      <c r="Q120" s="18">
        <f t="shared" si="27"/>
        <v>418566444.58269858</v>
      </c>
      <c r="R120" s="18">
        <f t="shared" si="27"/>
        <v>441355887.68133104</v>
      </c>
      <c r="S120" s="18">
        <f t="shared" si="27"/>
        <v>461726630.73960495</v>
      </c>
      <c r="T120" s="18">
        <f t="shared" si="27"/>
        <v>478767715.32277775</v>
      </c>
      <c r="U120" s="18">
        <f>+U112+U75+U36</f>
        <v>529238861.02077621</v>
      </c>
    </row>
    <row r="121" spans="1:23" x14ac:dyDescent="0.2">
      <c r="A121" s="4"/>
      <c r="C121" s="18">
        <f t="shared" ref="C121:T121" si="28">+C116+C79+C40</f>
        <v>0</v>
      </c>
      <c r="D121" s="18">
        <f t="shared" si="28"/>
        <v>0</v>
      </c>
      <c r="E121" s="18">
        <f t="shared" si="28"/>
        <v>0</v>
      </c>
      <c r="F121" s="18">
        <f t="shared" si="28"/>
        <v>0</v>
      </c>
      <c r="G121" s="18">
        <f t="shared" si="28"/>
        <v>0</v>
      </c>
      <c r="H121" s="18">
        <f t="shared" si="28"/>
        <v>0</v>
      </c>
      <c r="I121" s="18">
        <f t="shared" si="28"/>
        <v>0</v>
      </c>
      <c r="J121" s="18">
        <f t="shared" si="28"/>
        <v>0</v>
      </c>
      <c r="K121" s="18">
        <f t="shared" si="28"/>
        <v>0</v>
      </c>
      <c r="L121" s="18">
        <f t="shared" si="28"/>
        <v>0</v>
      </c>
      <c r="M121" s="18">
        <f t="shared" si="28"/>
        <v>0</v>
      </c>
      <c r="N121" s="18">
        <f t="shared" si="28"/>
        <v>0</v>
      </c>
      <c r="O121" s="18">
        <f t="shared" si="28"/>
        <v>0</v>
      </c>
      <c r="P121" s="18">
        <f t="shared" si="28"/>
        <v>0</v>
      </c>
      <c r="Q121" s="18">
        <f t="shared" si="28"/>
        <v>0</v>
      </c>
      <c r="R121" s="18">
        <f t="shared" si="28"/>
        <v>0</v>
      </c>
      <c r="S121" s="18">
        <f t="shared" si="28"/>
        <v>0</v>
      </c>
      <c r="T121" s="18">
        <f t="shared" si="28"/>
        <v>0</v>
      </c>
      <c r="U121" s="18">
        <f>+U116+U79+U40</f>
        <v>19520000</v>
      </c>
    </row>
    <row r="122" spans="1:23" x14ac:dyDescent="0.2">
      <c r="A122" s="17" t="s">
        <v>71</v>
      </c>
      <c r="C122" s="18">
        <f t="shared" ref="C122:T122" si="29">+C120+C121</f>
        <v>53134117</v>
      </c>
      <c r="D122" s="18">
        <f t="shared" si="29"/>
        <v>124266800.33333333</v>
      </c>
      <c r="E122" s="18">
        <f t="shared" si="29"/>
        <v>177479740.35894841</v>
      </c>
      <c r="F122" s="18">
        <f t="shared" si="29"/>
        <v>199684895.14303556</v>
      </c>
      <c r="G122" s="18">
        <f t="shared" si="29"/>
        <v>217963588.84886986</v>
      </c>
      <c r="H122" s="18">
        <f t="shared" si="29"/>
        <v>234152892.14561081</v>
      </c>
      <c r="I122" s="18">
        <f t="shared" si="29"/>
        <v>259429687.5018757</v>
      </c>
      <c r="J122" s="18">
        <f t="shared" si="29"/>
        <v>273980546.83298701</v>
      </c>
      <c r="K122" s="18">
        <f t="shared" si="29"/>
        <v>288822887.31880862</v>
      </c>
      <c r="L122" s="18">
        <f t="shared" si="29"/>
        <v>308281685.81559503</v>
      </c>
      <c r="M122" s="18">
        <f t="shared" si="29"/>
        <v>324152171.13757229</v>
      </c>
      <c r="N122" s="18">
        <f t="shared" si="29"/>
        <v>344377777.588377</v>
      </c>
      <c r="O122" s="18">
        <f t="shared" si="29"/>
        <v>373661901.40745693</v>
      </c>
      <c r="P122" s="18">
        <f t="shared" si="29"/>
        <v>395401445.23055685</v>
      </c>
      <c r="Q122" s="18">
        <f t="shared" si="29"/>
        <v>418566444.58269858</v>
      </c>
      <c r="R122" s="18">
        <f t="shared" si="29"/>
        <v>441355887.68133104</v>
      </c>
      <c r="S122" s="18">
        <f t="shared" si="29"/>
        <v>461726630.73960495</v>
      </c>
      <c r="T122" s="18">
        <f t="shared" si="29"/>
        <v>478767715.32277775</v>
      </c>
      <c r="U122" s="18">
        <f>+U120+U121</f>
        <v>548758861.02077627</v>
      </c>
    </row>
  </sheetData>
  <mergeCells count="2">
    <mergeCell ref="D5:O5"/>
    <mergeCell ref="P5:V5"/>
  </mergeCells>
  <printOptions horizontalCentered="1"/>
  <pageMargins left="0.25" right="0.25" top="0.5" bottom="0.5" header="0.25" footer="0.5"/>
  <pageSetup scale="33" orientation="landscape" horizontalDpi="300" verticalDpi="300" r:id="rId1"/>
  <headerFooter alignWithMargins="0"/>
  <rowBreaks count="2" manualBreakCount="2">
    <brk id="43" max="16383" man="1"/>
    <brk id="8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3"/>
  <sheetViews>
    <sheetView tabSelected="1" workbookViewId="0">
      <pane xSplit="2" ySplit="6" topLeftCell="O28" activePane="bottomRight" state="frozen"/>
      <selection activeCell="C7" sqref="C7"/>
      <selection pane="topRight" activeCell="C7" sqref="C7"/>
      <selection pane="bottomLeft" activeCell="C7" sqref="C7"/>
      <selection pane="bottomRight" activeCell="R56" sqref="R56"/>
    </sheetView>
  </sheetViews>
  <sheetFormatPr defaultRowHeight="12.75" x14ac:dyDescent="0.2"/>
  <cols>
    <col min="1" max="1" width="43.85546875" style="18" customWidth="1"/>
    <col min="2" max="2" width="1.7109375" style="18" customWidth="1"/>
    <col min="3" max="3" width="13.140625" style="4" customWidth="1"/>
    <col min="4" max="4" width="15" style="18" customWidth="1"/>
    <col min="5" max="5" width="12.85546875" style="18" customWidth="1"/>
    <col min="6" max="6" width="13.28515625" style="18" customWidth="1"/>
    <col min="7" max="7" width="12.28515625" style="18" bestFit="1" customWidth="1"/>
    <col min="8" max="8" width="14.140625" style="18" customWidth="1"/>
    <col min="9" max="9" width="14" style="18" customWidth="1"/>
    <col min="10" max="10" width="13.42578125" style="18" customWidth="1"/>
    <col min="11" max="11" width="13.5703125" style="18" customWidth="1"/>
    <col min="12" max="12" width="14.42578125" style="18" customWidth="1"/>
    <col min="13" max="14" width="14.28515625" style="18" customWidth="1"/>
    <col min="15" max="15" width="14.7109375" style="18" customWidth="1"/>
    <col min="16" max="16" width="15.28515625" style="18" customWidth="1"/>
    <col min="17" max="17" width="14.42578125" style="4" customWidth="1"/>
    <col min="18" max="18" width="12.28515625" style="18" bestFit="1" customWidth="1"/>
    <col min="19" max="19" width="14.140625" style="18" customWidth="1"/>
    <col min="20" max="16384" width="9.140625" style="18"/>
  </cols>
  <sheetData>
    <row r="1" spans="1:19" s="2" customFormat="1" ht="15.75" x14ac:dyDescent="0.25">
      <c r="A1" s="1" t="s">
        <v>0</v>
      </c>
    </row>
    <row r="2" spans="1:19" s="2" customFormat="1" ht="15.75" x14ac:dyDescent="0.25">
      <c r="A2" s="1" t="s">
        <v>1</v>
      </c>
      <c r="D2" s="1" t="s">
        <v>127</v>
      </c>
      <c r="Q2" s="25" t="str">
        <f ca="1">CELL("filename")</f>
        <v>C:\Users\Felienne\Enron\EnronSpreadsheets\[benjamin_rogers__1154__TVADraw011100.xls]Brownsville</v>
      </c>
    </row>
    <row r="3" spans="1:19" s="2" customFormat="1" ht="15.75" x14ac:dyDescent="0.25">
      <c r="A3" s="1" t="s">
        <v>76</v>
      </c>
      <c r="D3" s="26"/>
      <c r="F3" s="3"/>
      <c r="Q3" s="24">
        <f ca="1">NOW()</f>
        <v>41885.555205208337</v>
      </c>
    </row>
    <row r="4" spans="1:19" ht="15" x14ac:dyDescent="0.2">
      <c r="C4" s="12"/>
      <c r="D4" s="27"/>
    </row>
    <row r="5" spans="1:19" s="6" customFormat="1" x14ac:dyDescent="0.2">
      <c r="A5" s="5"/>
      <c r="C5" s="7">
        <v>1998</v>
      </c>
      <c r="D5" s="31"/>
      <c r="E5" s="31"/>
      <c r="F5" s="31"/>
      <c r="G5" s="31"/>
      <c r="H5" s="31"/>
      <c r="I5" s="31" t="s">
        <v>3</v>
      </c>
      <c r="J5" s="31"/>
      <c r="K5" s="31"/>
      <c r="L5" s="31"/>
      <c r="M5" s="31"/>
      <c r="N5" s="31"/>
      <c r="O5" s="31"/>
      <c r="P5" s="31"/>
      <c r="Q5" s="31"/>
    </row>
    <row r="6" spans="1:19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75" t="s">
        <v>126</v>
      </c>
      <c r="Q6" s="14" t="s">
        <v>5</v>
      </c>
    </row>
    <row r="7" spans="1:19" s="6" customFormat="1" ht="19.5" x14ac:dyDescent="0.55000000000000004">
      <c r="A7" s="34" t="s">
        <v>125</v>
      </c>
      <c r="M7" s="62"/>
      <c r="Q7" s="10"/>
    </row>
    <row r="8" spans="1:19" s="6" customFormat="1" x14ac:dyDescent="0.2">
      <c r="A8" s="5" t="s">
        <v>77</v>
      </c>
      <c r="G8" s="62"/>
      <c r="L8" s="62"/>
      <c r="M8" s="62"/>
      <c r="N8" s="62"/>
      <c r="Q8" s="10"/>
    </row>
    <row r="9" spans="1:19" s="6" customFormat="1" x14ac:dyDescent="0.2">
      <c r="A9" s="5" t="s">
        <v>78</v>
      </c>
      <c r="G9" s="62"/>
      <c r="L9" s="62"/>
      <c r="M9" s="62"/>
      <c r="N9" s="62"/>
      <c r="Q9" s="10"/>
    </row>
    <row r="10" spans="1:19" x14ac:dyDescent="0.2">
      <c r="A10" s="17" t="s">
        <v>79</v>
      </c>
      <c r="C10" s="36">
        <v>58899539</v>
      </c>
      <c r="D10" s="40">
        <v>48600</v>
      </c>
      <c r="E10" s="40">
        <v>3705425</v>
      </c>
      <c r="F10" s="40">
        <v>3342088</v>
      </c>
      <c r="G10" s="40">
        <v>338722</v>
      </c>
      <c r="H10" s="40">
        <v>840995</v>
      </c>
      <c r="I10" s="40">
        <v>276019</v>
      </c>
      <c r="J10" s="40">
        <v>136426</v>
      </c>
      <c r="K10" s="40">
        <v>3337741</v>
      </c>
      <c r="L10" s="40">
        <v>172832</v>
      </c>
      <c r="M10" s="40">
        <v>16019</v>
      </c>
      <c r="N10" s="40">
        <v>1500000</v>
      </c>
      <c r="O10" s="8">
        <v>0</v>
      </c>
      <c r="P10" s="8">
        <v>0</v>
      </c>
      <c r="Q10" s="11">
        <f>SUM(C10:P10)</f>
        <v>72614406</v>
      </c>
      <c r="R10" s="18">
        <f>+[1]Brownsville!BE18</f>
        <v>72614405.800000012</v>
      </c>
      <c r="S10" s="18">
        <f>+R10-Q10</f>
        <v>-0.19999998807907104</v>
      </c>
    </row>
    <row r="11" spans="1:19" x14ac:dyDescent="0.2">
      <c r="A11" s="17" t="s">
        <v>19</v>
      </c>
      <c r="C11" s="36">
        <v>2998569</v>
      </c>
      <c r="D11" s="40">
        <v>2951629</v>
      </c>
      <c r="E11" s="40">
        <v>0</v>
      </c>
      <c r="F11" s="8">
        <v>0</v>
      </c>
      <c r="G11" s="40">
        <v>1229750</v>
      </c>
      <c r="H11" s="40">
        <v>611500</v>
      </c>
      <c r="I11" s="40">
        <v>692016</v>
      </c>
      <c r="J11" s="40">
        <v>174000</v>
      </c>
      <c r="K11" s="40">
        <v>0</v>
      </c>
      <c r="L11" s="40">
        <v>227783</v>
      </c>
      <c r="M11" s="40">
        <v>0</v>
      </c>
      <c r="N11" s="40">
        <v>0</v>
      </c>
      <c r="O11" s="18">
        <v>0</v>
      </c>
      <c r="P11" s="18">
        <v>0</v>
      </c>
      <c r="Q11" s="11">
        <f t="shared" ref="Q11:Q27" si="0">SUM(C11:P11)</f>
        <v>8885247</v>
      </c>
      <c r="R11" s="18">
        <f>+[1]Brownsville!BE31</f>
        <v>8885247.6400000006</v>
      </c>
      <c r="S11" s="18">
        <f t="shared" ref="S11:S26" si="1">+R11-Q11</f>
        <v>0.64000000059604645</v>
      </c>
    </row>
    <row r="12" spans="1:19" x14ac:dyDescent="0.2">
      <c r="A12" s="17" t="s">
        <v>20</v>
      </c>
      <c r="C12" s="36">
        <v>182376</v>
      </c>
      <c r="D12" s="40">
        <v>0</v>
      </c>
      <c r="E12" s="40">
        <v>0</v>
      </c>
      <c r="F12" s="8">
        <v>0</v>
      </c>
      <c r="G12" s="40">
        <v>0</v>
      </c>
      <c r="H12" s="40">
        <v>0</v>
      </c>
      <c r="I12" s="40">
        <v>324238</v>
      </c>
      <c r="J12" s="40">
        <v>125335</v>
      </c>
      <c r="K12" s="40">
        <v>30644</v>
      </c>
      <c r="L12" s="40">
        <v>0</v>
      </c>
      <c r="M12" s="40">
        <v>21103</v>
      </c>
      <c r="N12" s="40">
        <f>58187-31431+38249-22549-1</f>
        <v>42455</v>
      </c>
      <c r="O12" s="18">
        <v>7052</v>
      </c>
      <c r="P12" s="18">
        <v>1519</v>
      </c>
      <c r="Q12" s="11">
        <f t="shared" si="0"/>
        <v>734722</v>
      </c>
      <c r="R12" s="18">
        <f>+[1]Brownsville!BE41</f>
        <v>734722.72</v>
      </c>
      <c r="S12" s="18">
        <f t="shared" si="1"/>
        <v>0.71999999997206032</v>
      </c>
    </row>
    <row r="13" spans="1:19" x14ac:dyDescent="0.2">
      <c r="A13" s="17" t="s">
        <v>21</v>
      </c>
      <c r="C13" s="36">
        <v>1415805</v>
      </c>
      <c r="D13" s="40">
        <v>3042655</v>
      </c>
      <c r="E13" s="40">
        <v>1851195</v>
      </c>
      <c r="F13" s="40">
        <v>3966412</v>
      </c>
      <c r="G13" s="40">
        <v>1481896</v>
      </c>
      <c r="H13" s="40">
        <v>4395775</v>
      </c>
      <c r="I13" s="40">
        <v>4701685</v>
      </c>
      <c r="J13" s="40">
        <v>4762777</v>
      </c>
      <c r="K13" s="40">
        <v>4478140</v>
      </c>
      <c r="L13" s="40">
        <v>983532</v>
      </c>
      <c r="M13" s="40">
        <v>775246</v>
      </c>
      <c r="N13" s="40">
        <v>287383</v>
      </c>
      <c r="O13" s="18">
        <v>800915</v>
      </c>
      <c r="P13" s="18">
        <v>0</v>
      </c>
      <c r="Q13" s="11">
        <f t="shared" si="0"/>
        <v>32943416</v>
      </c>
      <c r="R13" s="18">
        <f>+[1]Brownsville!BE106</f>
        <v>32943417.699999999</v>
      </c>
      <c r="S13" s="18">
        <f t="shared" si="1"/>
        <v>1.6999999992549419</v>
      </c>
    </row>
    <row r="14" spans="1:19" x14ac:dyDescent="0.2">
      <c r="A14" s="17" t="s">
        <v>42</v>
      </c>
      <c r="C14" s="36">
        <v>6111</v>
      </c>
      <c r="D14" s="40">
        <v>25337</v>
      </c>
      <c r="E14" s="40">
        <v>0</v>
      </c>
      <c r="F14" s="8">
        <v>0</v>
      </c>
      <c r="G14" s="40">
        <v>74417</v>
      </c>
      <c r="H14" s="40">
        <v>173681</v>
      </c>
      <c r="I14" s="40">
        <v>225874</v>
      </c>
      <c r="J14" s="40">
        <v>95732</v>
      </c>
      <c r="K14" s="40">
        <v>68947</v>
      </c>
      <c r="L14" s="40">
        <v>26337</v>
      </c>
      <c r="M14" s="40">
        <f>-1+1023+57</f>
        <v>1079</v>
      </c>
      <c r="N14" s="40">
        <v>775</v>
      </c>
      <c r="O14" s="18">
        <v>0</v>
      </c>
      <c r="P14" s="18">
        <v>0</v>
      </c>
      <c r="Q14" s="11">
        <f t="shared" si="0"/>
        <v>698290</v>
      </c>
      <c r="R14" s="18">
        <f>+[1]Brownsville!BE113</f>
        <v>698289.4</v>
      </c>
      <c r="S14" s="18">
        <f t="shared" si="1"/>
        <v>-0.59999999997671694</v>
      </c>
    </row>
    <row r="15" spans="1:19" x14ac:dyDescent="0.2">
      <c r="A15" s="17" t="s">
        <v>22</v>
      </c>
      <c r="C15" s="36">
        <v>0</v>
      </c>
      <c r="D15" s="40">
        <v>0</v>
      </c>
      <c r="E15" s="40">
        <v>0</v>
      </c>
      <c r="F15" s="8">
        <v>0</v>
      </c>
      <c r="G15" s="40">
        <v>0</v>
      </c>
      <c r="H15" s="18">
        <v>0</v>
      </c>
      <c r="I15" s="40">
        <v>0</v>
      </c>
      <c r="J15" s="40">
        <v>0</v>
      </c>
      <c r="K15" s="40">
        <v>238231</v>
      </c>
      <c r="L15" s="40">
        <v>16621</v>
      </c>
      <c r="M15" s="40">
        <f>1048957+13938</f>
        <v>1062895</v>
      </c>
      <c r="N15" s="40">
        <v>0</v>
      </c>
      <c r="O15" s="18">
        <v>0</v>
      </c>
      <c r="P15" s="18">
        <v>0</v>
      </c>
      <c r="Q15" s="11">
        <f t="shared" si="0"/>
        <v>1317747</v>
      </c>
      <c r="R15" s="18">
        <f>+[1]Brownsville!BE115</f>
        <v>1317746.81</v>
      </c>
      <c r="S15" s="18">
        <f t="shared" si="1"/>
        <v>-0.18999999994412065</v>
      </c>
    </row>
    <row r="16" spans="1:19" x14ac:dyDescent="0.2">
      <c r="A16" s="17" t="s">
        <v>23</v>
      </c>
      <c r="C16" s="36">
        <v>458107</v>
      </c>
      <c r="D16" s="40">
        <v>0</v>
      </c>
      <c r="E16" s="40">
        <v>0</v>
      </c>
      <c r="F16" s="8">
        <v>0</v>
      </c>
      <c r="G16" s="40">
        <v>0</v>
      </c>
      <c r="H16" s="40">
        <v>3333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18">
        <v>0</v>
      </c>
      <c r="P16" s="18">
        <v>0</v>
      </c>
      <c r="Q16" s="11">
        <f t="shared" si="0"/>
        <v>461440</v>
      </c>
      <c r="R16" s="18">
        <f>+[1]Brownsville!BE120</f>
        <v>461440.33</v>
      </c>
      <c r="S16" s="18">
        <f t="shared" si="1"/>
        <v>0.33000000001629815</v>
      </c>
    </row>
    <row r="17" spans="1:19" x14ac:dyDescent="0.2">
      <c r="A17" s="17" t="s">
        <v>24</v>
      </c>
      <c r="C17" s="36">
        <v>220810</v>
      </c>
      <c r="D17" s="40">
        <v>59942</v>
      </c>
      <c r="E17" s="40">
        <v>30441</v>
      </c>
      <c r="F17" s="40">
        <v>125058</v>
      </c>
      <c r="G17" s="40">
        <v>24442</v>
      </c>
      <c r="H17" s="40">
        <v>66861</v>
      </c>
      <c r="I17" s="40">
        <v>204010</v>
      </c>
      <c r="J17" s="40">
        <v>84200</v>
      </c>
      <c r="K17" s="40">
        <v>0</v>
      </c>
      <c r="L17" s="40">
        <v>0</v>
      </c>
      <c r="M17" s="40">
        <v>37358</v>
      </c>
      <c r="N17" s="40">
        <v>0</v>
      </c>
      <c r="O17" s="17">
        <v>12248</v>
      </c>
      <c r="P17" s="18">
        <v>0</v>
      </c>
      <c r="Q17" s="11">
        <f t="shared" si="0"/>
        <v>865370</v>
      </c>
      <c r="R17" s="18">
        <f>+[1]Brownsville!BE130</f>
        <v>865369.27999999991</v>
      </c>
      <c r="S17" s="18">
        <f t="shared" si="1"/>
        <v>-0.72000000008847564</v>
      </c>
    </row>
    <row r="18" spans="1:19" x14ac:dyDescent="0.2">
      <c r="A18" s="17" t="s">
        <v>25</v>
      </c>
      <c r="C18" s="36">
        <v>0</v>
      </c>
      <c r="D18" s="40">
        <v>0</v>
      </c>
      <c r="E18" s="40">
        <v>0</v>
      </c>
      <c r="F18" s="8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18">
        <v>0</v>
      </c>
      <c r="P18" s="18">
        <v>0</v>
      </c>
      <c r="Q18" s="11">
        <f t="shared" si="0"/>
        <v>0</v>
      </c>
      <c r="R18" s="18">
        <f>+[1]Brownsville!BE132</f>
        <v>0</v>
      </c>
      <c r="S18" s="18">
        <f t="shared" si="1"/>
        <v>0</v>
      </c>
    </row>
    <row r="19" spans="1:19" x14ac:dyDescent="0.2">
      <c r="A19" s="17" t="s">
        <v>26</v>
      </c>
      <c r="C19" s="36">
        <v>0</v>
      </c>
      <c r="D19" s="40">
        <v>73862</v>
      </c>
      <c r="E19" s="40">
        <v>0</v>
      </c>
      <c r="F19" s="8">
        <v>0</v>
      </c>
      <c r="G19" s="40">
        <f>1789210-500000-500000-71799</f>
        <v>717411</v>
      </c>
      <c r="H19" s="40">
        <v>0</v>
      </c>
      <c r="I19" s="40">
        <v>379197</v>
      </c>
      <c r="J19" s="40">
        <v>353836</v>
      </c>
      <c r="K19" s="40">
        <v>91393</v>
      </c>
      <c r="L19" s="40">
        <v>52976</v>
      </c>
      <c r="M19" s="40">
        <v>5188</v>
      </c>
      <c r="N19" s="40">
        <v>133605</v>
      </c>
      <c r="O19" s="18">
        <v>3347</v>
      </c>
      <c r="P19" s="18">
        <v>161674</v>
      </c>
      <c r="Q19" s="11">
        <f t="shared" si="0"/>
        <v>1972489</v>
      </c>
      <c r="R19" s="18">
        <f>+[1]Brownsville!BE139</f>
        <v>1972489.0119999999</v>
      </c>
      <c r="S19" s="18">
        <f t="shared" si="1"/>
        <v>1.1999999871477485E-2</v>
      </c>
    </row>
    <row r="20" spans="1:19" x14ac:dyDescent="0.2">
      <c r="A20" s="17" t="s">
        <v>27</v>
      </c>
      <c r="C20" s="36">
        <v>0</v>
      </c>
      <c r="D20" s="40">
        <v>0</v>
      </c>
      <c r="E20" s="40">
        <v>0</v>
      </c>
      <c r="F20" s="8">
        <v>0</v>
      </c>
      <c r="G20" s="40">
        <v>0</v>
      </c>
      <c r="H20" s="40">
        <v>121528</v>
      </c>
      <c r="I20" s="40">
        <v>58914</v>
      </c>
      <c r="J20" s="40">
        <v>47610</v>
      </c>
      <c r="K20" s="18">
        <v>0</v>
      </c>
      <c r="L20" s="40">
        <v>0</v>
      </c>
      <c r="M20" s="40">
        <v>0</v>
      </c>
      <c r="N20" s="40">
        <v>0</v>
      </c>
      <c r="O20" s="18">
        <v>0</v>
      </c>
      <c r="P20" s="18">
        <v>0</v>
      </c>
      <c r="Q20" s="11">
        <f t="shared" si="0"/>
        <v>228052</v>
      </c>
      <c r="R20" s="18">
        <f>+[1]Brownsville!BE195</f>
        <v>228051.11</v>
      </c>
      <c r="S20" s="18">
        <f t="shared" si="1"/>
        <v>-0.89000000001396984</v>
      </c>
    </row>
    <row r="21" spans="1:19" x14ac:dyDescent="0.2">
      <c r="A21" s="17" t="s">
        <v>28</v>
      </c>
      <c r="C21" s="36">
        <v>0</v>
      </c>
      <c r="D21" s="40">
        <v>0</v>
      </c>
      <c r="E21" s="40">
        <v>5853</v>
      </c>
      <c r="F21" s="8">
        <v>0</v>
      </c>
      <c r="G21" s="40">
        <v>27412</v>
      </c>
      <c r="H21" s="40">
        <v>0</v>
      </c>
      <c r="I21" s="40">
        <v>0</v>
      </c>
      <c r="J21" s="40">
        <v>0</v>
      </c>
      <c r="K21" s="18">
        <v>0</v>
      </c>
      <c r="L21" s="40">
        <v>0</v>
      </c>
      <c r="M21" s="40">
        <v>0</v>
      </c>
      <c r="N21" s="40">
        <v>0</v>
      </c>
      <c r="O21" s="18">
        <v>0</v>
      </c>
      <c r="P21" s="18">
        <v>192684</v>
      </c>
      <c r="Q21" s="11">
        <f t="shared" si="0"/>
        <v>225949</v>
      </c>
      <c r="R21" s="18">
        <f>+[1]Brownsville!BE141</f>
        <v>225949</v>
      </c>
      <c r="S21" s="18">
        <f t="shared" si="1"/>
        <v>0</v>
      </c>
    </row>
    <row r="22" spans="1:19" x14ac:dyDescent="0.2">
      <c r="A22" s="17" t="s">
        <v>48</v>
      </c>
      <c r="C22" s="36">
        <f>67487+2450-1</f>
        <v>69936</v>
      </c>
      <c r="D22" s="40">
        <v>0</v>
      </c>
      <c r="E22" s="40">
        <v>0</v>
      </c>
      <c r="F22" s="8">
        <v>0</v>
      </c>
      <c r="G22" s="40">
        <v>0</v>
      </c>
      <c r="H22" s="40">
        <v>0</v>
      </c>
      <c r="I22" s="40">
        <v>0</v>
      </c>
      <c r="J22" s="40">
        <v>0</v>
      </c>
      <c r="K22" s="18">
        <v>0</v>
      </c>
      <c r="L22" s="40">
        <v>0</v>
      </c>
      <c r="M22" s="40">
        <v>0</v>
      </c>
      <c r="N22" s="40">
        <v>0</v>
      </c>
      <c r="O22" s="18">
        <v>0</v>
      </c>
      <c r="P22" s="18">
        <v>0</v>
      </c>
      <c r="Q22" s="11">
        <f t="shared" si="0"/>
        <v>69936</v>
      </c>
      <c r="R22" s="18">
        <f>+[1]Brownsville!BE161</f>
        <v>69937</v>
      </c>
      <c r="S22" s="18">
        <f t="shared" si="1"/>
        <v>1</v>
      </c>
    </row>
    <row r="23" spans="1:19" x14ac:dyDescent="0.2">
      <c r="A23" s="17" t="s">
        <v>29</v>
      </c>
      <c r="C23" s="36">
        <v>0</v>
      </c>
      <c r="D23" s="40">
        <v>117600</v>
      </c>
      <c r="E23" s="40">
        <v>0</v>
      </c>
      <c r="F23" s="8">
        <v>0</v>
      </c>
      <c r="G23" s="40">
        <v>0</v>
      </c>
      <c r="H23" s="40">
        <v>0</v>
      </c>
      <c r="I23" s="40">
        <v>0</v>
      </c>
      <c r="J23" s="40">
        <v>14699</v>
      </c>
      <c r="K23" s="17">
        <v>0</v>
      </c>
      <c r="L23" s="40">
        <v>22048</v>
      </c>
      <c r="M23" s="40">
        <v>0</v>
      </c>
      <c r="N23" s="40">
        <v>0</v>
      </c>
      <c r="O23" s="18">
        <v>0</v>
      </c>
      <c r="P23" s="18">
        <v>10001</v>
      </c>
      <c r="Q23" s="11">
        <f t="shared" si="0"/>
        <v>164348</v>
      </c>
      <c r="R23" s="18">
        <f>+[1]Brownsville!BE143</f>
        <v>164348</v>
      </c>
      <c r="S23" s="18">
        <f t="shared" si="1"/>
        <v>0</v>
      </c>
    </row>
    <row r="24" spans="1:19" x14ac:dyDescent="0.2">
      <c r="A24" s="17" t="s">
        <v>30</v>
      </c>
      <c r="C24" s="36">
        <v>0</v>
      </c>
      <c r="D24" s="40">
        <v>0</v>
      </c>
      <c r="E24" s="40">
        <v>5869</v>
      </c>
      <c r="F24" s="8">
        <v>0</v>
      </c>
      <c r="G24" s="40">
        <f>12000-7724</f>
        <v>4276</v>
      </c>
      <c r="H24" s="40">
        <v>14353</v>
      </c>
      <c r="I24" s="40">
        <v>6434</v>
      </c>
      <c r="J24" s="40">
        <v>4128</v>
      </c>
      <c r="K24" s="18">
        <v>0</v>
      </c>
      <c r="L24" s="40">
        <v>0</v>
      </c>
      <c r="M24" s="40">
        <v>0</v>
      </c>
      <c r="N24" s="40">
        <v>0</v>
      </c>
      <c r="O24" s="18">
        <v>0</v>
      </c>
      <c r="P24" s="18">
        <v>0</v>
      </c>
      <c r="Q24" s="11">
        <f t="shared" si="0"/>
        <v>35060</v>
      </c>
      <c r="R24" s="18">
        <f>+[1]Brownsville!BE145</f>
        <v>35060.42</v>
      </c>
      <c r="S24" s="18">
        <f t="shared" si="1"/>
        <v>0.41999999999825377</v>
      </c>
    </row>
    <row r="25" spans="1:19" x14ac:dyDescent="0.2">
      <c r="A25" s="17" t="s">
        <v>32</v>
      </c>
      <c r="C25" s="36">
        <v>200157</v>
      </c>
      <c r="D25" s="40">
        <v>3386</v>
      </c>
      <c r="E25" s="40">
        <f>3357+1055</f>
        <v>4412</v>
      </c>
      <c r="F25" s="40">
        <v>-19953</v>
      </c>
      <c r="G25" s="40">
        <f>19953-16439</f>
        <v>3514</v>
      </c>
      <c r="H25" s="40">
        <v>147966</v>
      </c>
      <c r="I25" s="40">
        <v>41583</v>
      </c>
      <c r="J25" s="40">
        <v>64584</v>
      </c>
      <c r="K25" s="40">
        <v>77226</v>
      </c>
      <c r="L25" s="40">
        <v>25706</v>
      </c>
      <c r="M25" s="40">
        <f>3271+1</f>
        <v>3272</v>
      </c>
      <c r="N25" s="40">
        <v>3463</v>
      </c>
      <c r="O25" s="18">
        <v>0</v>
      </c>
      <c r="P25" s="18">
        <v>0</v>
      </c>
      <c r="Q25" s="11">
        <f t="shared" si="0"/>
        <v>555316</v>
      </c>
      <c r="R25" s="18">
        <f>+[1]Brownsville!BE179</f>
        <v>555315.14000000013</v>
      </c>
      <c r="S25" s="18">
        <f t="shared" si="1"/>
        <v>-0.85999999986961484</v>
      </c>
    </row>
    <row r="26" spans="1:19" x14ac:dyDescent="0.2">
      <c r="A26" s="17" t="s">
        <v>33</v>
      </c>
      <c r="C26" s="36">
        <f>181515</f>
        <v>181515</v>
      </c>
      <c r="D26" s="40">
        <v>5254</v>
      </c>
      <c r="E26" s="40">
        <f>2145+126458</f>
        <v>128603</v>
      </c>
      <c r="F26" s="8">
        <v>0</v>
      </c>
      <c r="G26" s="40">
        <v>3491</v>
      </c>
      <c r="H26" s="40">
        <f>265296+1</f>
        <v>265297</v>
      </c>
      <c r="I26" s="40">
        <v>0</v>
      </c>
      <c r="J26" s="40">
        <v>27841</v>
      </c>
      <c r="K26" s="18">
        <v>0</v>
      </c>
      <c r="L26" s="40">
        <v>146514</v>
      </c>
      <c r="M26" s="40">
        <v>7904</v>
      </c>
      <c r="N26" s="40">
        <v>0</v>
      </c>
      <c r="O26" s="18">
        <v>252208</v>
      </c>
      <c r="P26" s="18">
        <v>0</v>
      </c>
      <c r="Q26" s="11">
        <f t="shared" si="0"/>
        <v>1018627</v>
      </c>
      <c r="R26" s="18">
        <f>+[1]Brownsville!BE193</f>
        <v>1018625.21</v>
      </c>
      <c r="S26" s="18">
        <f t="shared" si="1"/>
        <v>-1.7900000000372529</v>
      </c>
    </row>
    <row r="27" spans="1:19" x14ac:dyDescent="0.2">
      <c r="A27" s="17" t="s">
        <v>81</v>
      </c>
      <c r="C27" s="36">
        <v>0</v>
      </c>
      <c r="D27" s="40">
        <v>0</v>
      </c>
      <c r="E27" s="40">
        <v>0</v>
      </c>
      <c r="F27" s="8">
        <v>0</v>
      </c>
      <c r="G27" s="40">
        <v>0</v>
      </c>
      <c r="H27" s="40">
        <v>0</v>
      </c>
      <c r="I27" s="40"/>
      <c r="J27" s="40"/>
      <c r="K27" s="40">
        <f>+J27</f>
        <v>0</v>
      </c>
      <c r="L27" s="40">
        <v>0</v>
      </c>
      <c r="M27" s="40">
        <v>0</v>
      </c>
      <c r="N27" s="40">
        <v>0</v>
      </c>
      <c r="O27" s="18">
        <v>0</v>
      </c>
      <c r="P27" s="18">
        <v>0</v>
      </c>
      <c r="Q27" s="11">
        <f t="shared" si="0"/>
        <v>0</v>
      </c>
    </row>
    <row r="28" spans="1:19" x14ac:dyDescent="0.2">
      <c r="A28" s="17" t="s">
        <v>63</v>
      </c>
      <c r="C28" s="41">
        <f t="shared" ref="C28:P28" si="2">SUM(C10:C27)</f>
        <v>64632925</v>
      </c>
      <c r="D28" s="41">
        <f t="shared" si="2"/>
        <v>6328265</v>
      </c>
      <c r="E28" s="41">
        <f t="shared" si="2"/>
        <v>5731798</v>
      </c>
      <c r="F28" s="41">
        <f t="shared" si="2"/>
        <v>7413605</v>
      </c>
      <c r="G28" s="41">
        <f t="shared" si="2"/>
        <v>3905331</v>
      </c>
      <c r="H28" s="41">
        <f t="shared" si="2"/>
        <v>6641289</v>
      </c>
      <c r="I28" s="41">
        <f t="shared" si="2"/>
        <v>6909970</v>
      </c>
      <c r="J28" s="41">
        <f t="shared" si="2"/>
        <v>5891168</v>
      </c>
      <c r="K28" s="41">
        <f t="shared" si="2"/>
        <v>8322322</v>
      </c>
      <c r="L28" s="41">
        <f t="shared" si="2"/>
        <v>1674349</v>
      </c>
      <c r="M28" s="41">
        <f t="shared" si="2"/>
        <v>1930064</v>
      </c>
      <c r="N28" s="41">
        <f t="shared" si="2"/>
        <v>1967681</v>
      </c>
      <c r="O28" s="21">
        <f t="shared" si="2"/>
        <v>1075770</v>
      </c>
      <c r="P28" s="21">
        <f t="shared" si="2"/>
        <v>365878</v>
      </c>
      <c r="Q28" s="22">
        <f>SUM(C28:P28)</f>
        <v>122790415</v>
      </c>
    </row>
    <row r="29" spans="1:19" x14ac:dyDescent="0.2">
      <c r="A29" s="17" t="s">
        <v>67</v>
      </c>
      <c r="C29" s="41">
        <f>+C28</f>
        <v>64632925</v>
      </c>
      <c r="D29" s="41">
        <f t="shared" ref="D29:P29" si="3">+C29+D28</f>
        <v>70961190</v>
      </c>
      <c r="E29" s="41">
        <f t="shared" si="3"/>
        <v>76692988</v>
      </c>
      <c r="F29" s="41">
        <f t="shared" si="3"/>
        <v>84106593</v>
      </c>
      <c r="G29" s="41">
        <f t="shared" si="3"/>
        <v>88011924</v>
      </c>
      <c r="H29" s="41">
        <f t="shared" si="3"/>
        <v>94653213</v>
      </c>
      <c r="I29" s="41">
        <f t="shared" si="3"/>
        <v>101563183</v>
      </c>
      <c r="J29" s="41">
        <f t="shared" si="3"/>
        <v>107454351</v>
      </c>
      <c r="K29" s="41">
        <f t="shared" si="3"/>
        <v>115776673</v>
      </c>
      <c r="L29" s="41">
        <f t="shared" si="3"/>
        <v>117451022</v>
      </c>
      <c r="M29" s="41">
        <f t="shared" si="3"/>
        <v>119381086</v>
      </c>
      <c r="N29" s="41">
        <f t="shared" si="3"/>
        <v>121348767</v>
      </c>
      <c r="O29" s="21">
        <f t="shared" si="3"/>
        <v>122424537</v>
      </c>
      <c r="P29" s="21">
        <f t="shared" si="3"/>
        <v>122790415</v>
      </c>
      <c r="Q29" s="13"/>
    </row>
    <row r="30" spans="1:19" x14ac:dyDescent="0.2">
      <c r="A30" s="17" t="s">
        <v>64</v>
      </c>
      <c r="C30" s="36"/>
      <c r="D30" s="40"/>
      <c r="E30" s="40"/>
      <c r="F30" s="8"/>
      <c r="G30" s="40"/>
      <c r="H30" s="40"/>
      <c r="I30" s="40"/>
      <c r="J30" s="40"/>
      <c r="K30" s="40"/>
      <c r="L30" s="40"/>
      <c r="M30" s="40"/>
      <c r="N30" s="40"/>
      <c r="Q30" s="16">
        <f>+Q28/C59/1000</f>
        <v>268.10134279475983</v>
      </c>
    </row>
    <row r="31" spans="1:19" x14ac:dyDescent="0.2">
      <c r="C31" s="36"/>
      <c r="D31" s="40"/>
      <c r="E31" s="40"/>
      <c r="F31" s="8"/>
      <c r="G31" s="40"/>
      <c r="H31" s="40"/>
      <c r="I31" s="40"/>
      <c r="J31" s="40"/>
      <c r="K31" s="40"/>
      <c r="L31" s="40"/>
      <c r="M31" s="40"/>
      <c r="N31" s="40"/>
      <c r="Q31" s="11"/>
    </row>
    <row r="32" spans="1:19" x14ac:dyDescent="0.2">
      <c r="A32" s="17" t="s">
        <v>44</v>
      </c>
      <c r="C32" s="42">
        <f>806147+1245945+32657</f>
        <v>2084749</v>
      </c>
      <c r="D32" s="42">
        <f>39185+401814+1</f>
        <v>441000</v>
      </c>
      <c r="E32" s="42">
        <f>SUM($C48:D48)*E57/360*30</f>
        <v>374381.82958760008</v>
      </c>
      <c r="F32" s="42">
        <f>SUM($C48:E48)*F57/360*28</f>
        <v>391590.45722367667</v>
      </c>
      <c r="G32" s="42">
        <f>SUM($C48:F48)*G57/360*33</f>
        <v>467674.2924273751</v>
      </c>
      <c r="H32" s="42">
        <v>256005</v>
      </c>
      <c r="I32" s="42">
        <f>559857+123417</f>
        <v>683274</v>
      </c>
      <c r="J32" s="42">
        <v>598297</v>
      </c>
      <c r="K32" s="42">
        <v>-598297</v>
      </c>
      <c r="L32" s="42">
        <v>-290628</v>
      </c>
      <c r="M32" s="40">
        <v>0</v>
      </c>
      <c r="N32" s="40">
        <v>0</v>
      </c>
      <c r="O32" s="18">
        <v>0</v>
      </c>
      <c r="P32" s="18">
        <v>0</v>
      </c>
      <c r="Q32" s="11">
        <f t="shared" ref="Q32:Q37" si="4">SUM(C32:P32)</f>
        <v>4408046.5792386513</v>
      </c>
      <c r="R32" s="18">
        <f>+[1]Brownsville!BE147</f>
        <v>4408047</v>
      </c>
      <c r="S32" s="18">
        <f>+R32-Q32</f>
        <v>0.42076134867966175</v>
      </c>
    </row>
    <row r="33" spans="1:19" x14ac:dyDescent="0.2">
      <c r="A33" s="17" t="s">
        <v>93</v>
      </c>
      <c r="C33" s="18">
        <v>0</v>
      </c>
      <c r="D33" s="18">
        <v>0</v>
      </c>
      <c r="E33" s="18">
        <v>0</v>
      </c>
      <c r="F33" s="18">
        <v>0</v>
      </c>
      <c r="G33" s="42">
        <f>-125689+1725</f>
        <v>-123964</v>
      </c>
      <c r="H33" s="42"/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1">
        <f t="shared" si="4"/>
        <v>-123964</v>
      </c>
      <c r="R33" s="18">
        <f>+[1]Brownsville!BE148</f>
        <v>-123964</v>
      </c>
      <c r="S33" s="18">
        <f>+R33-Q33</f>
        <v>0</v>
      </c>
    </row>
    <row r="34" spans="1:19" x14ac:dyDescent="0.2">
      <c r="A34" s="17" t="s">
        <v>75</v>
      </c>
      <c r="C34" s="42">
        <v>0</v>
      </c>
      <c r="D34" s="42">
        <v>6251.0121250000002</v>
      </c>
      <c r="E34" s="42">
        <v>5254.9939999999997</v>
      </c>
      <c r="F34" s="42">
        <v>4060.875125</v>
      </c>
      <c r="G34" s="42">
        <v>3911.4187500000003</v>
      </c>
      <c r="H34" s="42">
        <v>3727</v>
      </c>
      <c r="I34" s="42"/>
      <c r="J34" s="42"/>
      <c r="K34" s="42"/>
      <c r="L34" s="42">
        <v>0</v>
      </c>
      <c r="M34" s="42"/>
      <c r="N34" s="42">
        <v>0</v>
      </c>
      <c r="O34" s="28">
        <v>0</v>
      </c>
      <c r="P34" s="28">
        <v>0</v>
      </c>
      <c r="Q34" s="11">
        <f t="shared" si="4"/>
        <v>23205.3</v>
      </c>
      <c r="R34" s="18">
        <f>+[1]Brownsville!BE149</f>
        <v>23205.300000000003</v>
      </c>
      <c r="S34" s="18">
        <f>+R34-Q34</f>
        <v>0</v>
      </c>
    </row>
    <row r="35" spans="1:19" x14ac:dyDescent="0.2">
      <c r="A35" s="17" t="s">
        <v>31</v>
      </c>
      <c r="C35" s="40">
        <v>68386</v>
      </c>
      <c r="D35" s="40">
        <v>761038</v>
      </c>
      <c r="E35" s="40">
        <v>0</v>
      </c>
      <c r="F35" s="40">
        <v>0</v>
      </c>
      <c r="G35" s="40">
        <f>100000-100000</f>
        <v>0</v>
      </c>
      <c r="H35" s="40">
        <v>83333</v>
      </c>
      <c r="I35" s="40">
        <v>0</v>
      </c>
      <c r="J35" s="40"/>
      <c r="K35" s="40"/>
      <c r="L35" s="40"/>
      <c r="M35" s="40"/>
      <c r="N35" s="40">
        <v>83333</v>
      </c>
      <c r="O35" s="18">
        <f>107680-41666</f>
        <v>66014</v>
      </c>
      <c r="P35" s="28">
        <v>0</v>
      </c>
      <c r="Q35" s="11">
        <f t="shared" si="4"/>
        <v>1062104</v>
      </c>
      <c r="R35" s="18">
        <f>+[1]Brownsville!BE159</f>
        <v>1062103.7233333334</v>
      </c>
      <c r="S35" s="18">
        <f>+R35-Q35</f>
        <v>-0.27666666661389172</v>
      </c>
    </row>
    <row r="36" spans="1:19" x14ac:dyDescent="0.2">
      <c r="A36" s="17" t="s">
        <v>118</v>
      </c>
      <c r="C36" s="40">
        <v>0</v>
      </c>
      <c r="D36" s="40"/>
      <c r="E36" s="40"/>
      <c r="F36" s="40"/>
      <c r="G36" s="40">
        <v>2666</v>
      </c>
      <c r="H36" s="40">
        <v>-18334</v>
      </c>
      <c r="I36" s="40"/>
      <c r="J36" s="40"/>
      <c r="K36" s="40"/>
      <c r="L36" s="40"/>
      <c r="M36" s="40"/>
      <c r="N36" s="40"/>
      <c r="P36" s="18">
        <v>0</v>
      </c>
      <c r="Q36" s="11">
        <f t="shared" si="4"/>
        <v>-15668</v>
      </c>
      <c r="R36" s="18">
        <f>+[1]Brownsville!BE150</f>
        <v>-15667.939999999999</v>
      </c>
      <c r="S36" s="18">
        <f>+R36-Q36</f>
        <v>6.0000000001309672E-2</v>
      </c>
    </row>
    <row r="37" spans="1:19" x14ac:dyDescent="0.2">
      <c r="A37" s="17" t="s">
        <v>80</v>
      </c>
      <c r="C37" s="43">
        <v>0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0"/>
      <c r="P37" s="20">
        <v>0</v>
      </c>
      <c r="Q37" s="11">
        <f t="shared" si="4"/>
        <v>0</v>
      </c>
    </row>
    <row r="38" spans="1:19" x14ac:dyDescent="0.2">
      <c r="A38" s="17" t="s">
        <v>65</v>
      </c>
      <c r="C38" s="41">
        <f t="shared" ref="C38:P38" si="5">SUM(C32:C37)</f>
        <v>2153135</v>
      </c>
      <c r="D38" s="41">
        <f t="shared" si="5"/>
        <v>1208289.0121249999</v>
      </c>
      <c r="E38" s="41">
        <f t="shared" si="5"/>
        <v>379636.82358760008</v>
      </c>
      <c r="F38" s="41">
        <f t="shared" si="5"/>
        <v>395651.33234867669</v>
      </c>
      <c r="G38" s="41">
        <f t="shared" si="5"/>
        <v>350287.71117737511</v>
      </c>
      <c r="H38" s="41">
        <f t="shared" si="5"/>
        <v>324731</v>
      </c>
      <c r="I38" s="41">
        <f t="shared" si="5"/>
        <v>683274</v>
      </c>
      <c r="J38" s="41">
        <f t="shared" si="5"/>
        <v>598297</v>
      </c>
      <c r="K38" s="41">
        <f t="shared" si="5"/>
        <v>-598297</v>
      </c>
      <c r="L38" s="41">
        <f t="shared" si="5"/>
        <v>-290628</v>
      </c>
      <c r="M38" s="41">
        <f t="shared" si="5"/>
        <v>0</v>
      </c>
      <c r="N38" s="41">
        <f t="shared" si="5"/>
        <v>83333</v>
      </c>
      <c r="O38" s="21">
        <f t="shared" si="5"/>
        <v>66014</v>
      </c>
      <c r="P38" s="21">
        <f t="shared" si="5"/>
        <v>0</v>
      </c>
      <c r="Q38" s="22">
        <f>SUM(C38:O38)</f>
        <v>5353723.8792386521</v>
      </c>
    </row>
    <row r="39" spans="1:19" x14ac:dyDescent="0.2">
      <c r="A39" s="17" t="s">
        <v>68</v>
      </c>
      <c r="C39" s="41">
        <f>+C38</f>
        <v>2153135</v>
      </c>
      <c r="D39" s="41">
        <f t="shared" ref="D39:P39" si="6">+D38+C39</f>
        <v>3361424.0121249999</v>
      </c>
      <c r="E39" s="41">
        <f t="shared" si="6"/>
        <v>3741060.8357126</v>
      </c>
      <c r="F39" s="41">
        <f t="shared" si="6"/>
        <v>4136712.1680612769</v>
      </c>
      <c r="G39" s="41">
        <f t="shared" si="6"/>
        <v>4486999.8792386521</v>
      </c>
      <c r="H39" s="41">
        <f t="shared" si="6"/>
        <v>4811730.8792386521</v>
      </c>
      <c r="I39" s="41">
        <f t="shared" si="6"/>
        <v>5495004.8792386521</v>
      </c>
      <c r="J39" s="41">
        <f t="shared" si="6"/>
        <v>6093301.8792386521</v>
      </c>
      <c r="K39" s="41">
        <f t="shared" si="6"/>
        <v>5495004.8792386521</v>
      </c>
      <c r="L39" s="41">
        <f t="shared" si="6"/>
        <v>5204376.8792386521</v>
      </c>
      <c r="M39" s="41">
        <f t="shared" si="6"/>
        <v>5204376.8792386521</v>
      </c>
      <c r="N39" s="41">
        <f t="shared" si="6"/>
        <v>5287709.8792386521</v>
      </c>
      <c r="O39" s="21">
        <f t="shared" si="6"/>
        <v>5353723.8792386521</v>
      </c>
      <c r="P39" s="21">
        <f t="shared" si="6"/>
        <v>5353723.8792386521</v>
      </c>
      <c r="Q39" s="11"/>
    </row>
    <row r="40" spans="1:19" x14ac:dyDescent="0.2">
      <c r="A40" s="17"/>
      <c r="C40" s="43"/>
      <c r="D40" s="42"/>
      <c r="E40" s="42"/>
      <c r="F40" s="20"/>
      <c r="G40" s="42"/>
      <c r="H40" s="42"/>
      <c r="I40" s="42"/>
      <c r="J40" s="42"/>
      <c r="K40" s="42"/>
      <c r="L40" s="42"/>
      <c r="M40" s="42"/>
      <c r="N40" s="42"/>
      <c r="O40" s="20"/>
      <c r="P40" s="20"/>
      <c r="Q40" s="11"/>
    </row>
    <row r="41" spans="1:19" s="4" customFormat="1" x14ac:dyDescent="0.2">
      <c r="A41" s="4" t="s">
        <v>85</v>
      </c>
      <c r="C41" s="36">
        <f t="shared" ref="C41:P41" si="7">+C28+C38</f>
        <v>66786060</v>
      </c>
      <c r="D41" s="36">
        <f t="shared" si="7"/>
        <v>7536554.0121250004</v>
      </c>
      <c r="E41" s="36">
        <f t="shared" si="7"/>
        <v>6111434.8235876001</v>
      </c>
      <c r="F41" s="36">
        <f t="shared" si="7"/>
        <v>7809256.3323486764</v>
      </c>
      <c r="G41" s="36">
        <f t="shared" si="7"/>
        <v>4255618.7111773752</v>
      </c>
      <c r="H41" s="36">
        <f t="shared" si="7"/>
        <v>6966020</v>
      </c>
      <c r="I41" s="36">
        <f t="shared" si="7"/>
        <v>7593244</v>
      </c>
      <c r="J41" s="36">
        <f t="shared" si="7"/>
        <v>6489465</v>
      </c>
      <c r="K41" s="36">
        <f>+K28+K38</f>
        <v>7724025</v>
      </c>
      <c r="L41" s="36">
        <f t="shared" si="7"/>
        <v>1383721</v>
      </c>
      <c r="M41" s="36">
        <f t="shared" si="7"/>
        <v>1930064</v>
      </c>
      <c r="N41" s="36">
        <f t="shared" si="7"/>
        <v>2051014</v>
      </c>
      <c r="O41" s="4">
        <f t="shared" si="7"/>
        <v>1141784</v>
      </c>
      <c r="P41" s="4">
        <f t="shared" si="7"/>
        <v>365878</v>
      </c>
      <c r="Q41" s="11">
        <f>SUM(C21:P21)</f>
        <v>225949</v>
      </c>
    </row>
    <row r="42" spans="1:19" s="4" customFormat="1" x14ac:dyDescent="0.2">
      <c r="A42" s="4" t="s">
        <v>45</v>
      </c>
      <c r="C42" s="36">
        <f>C41</f>
        <v>66786060</v>
      </c>
      <c r="D42" s="36">
        <f t="shared" ref="D42:P42" si="8">C42+D41</f>
        <v>74322614.012125</v>
      </c>
      <c r="E42" s="36">
        <f t="shared" si="8"/>
        <v>80434048.835712597</v>
      </c>
      <c r="F42" s="36">
        <f t="shared" si="8"/>
        <v>88243305.168061271</v>
      </c>
      <c r="G42" s="36">
        <f>F42+G41</f>
        <v>92498923.87923865</v>
      </c>
      <c r="H42" s="36">
        <f t="shared" si="8"/>
        <v>99464943.87923865</v>
      </c>
      <c r="I42" s="36">
        <f t="shared" si="8"/>
        <v>107058187.87923865</v>
      </c>
      <c r="J42" s="36">
        <f t="shared" si="8"/>
        <v>113547652.87923865</v>
      </c>
      <c r="K42" s="36">
        <f>J42+K41</f>
        <v>121271677.87923865</v>
      </c>
      <c r="L42" s="36">
        <f t="shared" si="8"/>
        <v>122655398.87923865</v>
      </c>
      <c r="M42" s="36">
        <f t="shared" si="8"/>
        <v>124585462.87923865</v>
      </c>
      <c r="N42" s="36">
        <f t="shared" si="8"/>
        <v>126636476.87923865</v>
      </c>
      <c r="O42" s="4">
        <f t="shared" si="8"/>
        <v>127778260.87923865</v>
      </c>
      <c r="P42" s="4">
        <f t="shared" si="8"/>
        <v>128144138.87923865</v>
      </c>
      <c r="Q42" s="11"/>
    </row>
    <row r="43" spans="1:19" s="4" customFormat="1" x14ac:dyDescent="0.2">
      <c r="A43" s="17" t="s">
        <v>64</v>
      </c>
      <c r="C43" s="36"/>
      <c r="D43" s="36"/>
      <c r="E43" s="36"/>
      <c r="G43" s="36"/>
      <c r="H43" s="36"/>
      <c r="I43" s="36"/>
      <c r="J43" s="36"/>
      <c r="K43" s="36"/>
      <c r="L43" s="36"/>
      <c r="M43" s="36"/>
      <c r="N43" s="36"/>
      <c r="Q43" s="16">
        <f>+Q41/C59/1000</f>
        <v>0.49333842794759825</v>
      </c>
    </row>
    <row r="44" spans="1:19" x14ac:dyDescent="0.2">
      <c r="C44" s="36"/>
      <c r="D44" s="40"/>
      <c r="E44" s="40"/>
      <c r="G44" s="40"/>
      <c r="H44" s="40"/>
      <c r="I44" s="40"/>
      <c r="J44" s="40"/>
      <c r="K44" s="40"/>
      <c r="L44" s="40"/>
      <c r="M44" s="40"/>
      <c r="N44" s="40"/>
      <c r="Q44" s="11"/>
    </row>
    <row r="45" spans="1:19" x14ac:dyDescent="0.2">
      <c r="A45" s="17" t="s">
        <v>39</v>
      </c>
      <c r="C45" s="36">
        <v>0</v>
      </c>
      <c r="D45" s="40"/>
      <c r="E45" s="40"/>
      <c r="G45" s="40"/>
      <c r="H45" s="40"/>
      <c r="I45" s="40">
        <v>0</v>
      </c>
      <c r="J45" s="40"/>
      <c r="K45" s="40"/>
      <c r="L45" s="40"/>
      <c r="M45" s="40"/>
      <c r="N45" s="40"/>
      <c r="Q45" s="22">
        <f>SUM(C45:O45)</f>
        <v>0</v>
      </c>
      <c r="S45" s="18">
        <f>+R45-Q45</f>
        <v>0</v>
      </c>
    </row>
    <row r="46" spans="1:19" s="4" customFormat="1" x14ac:dyDescent="0.2">
      <c r="A46" s="8"/>
      <c r="C46" s="35"/>
      <c r="D46" s="36"/>
      <c r="E46" s="36"/>
      <c r="G46" s="36"/>
      <c r="H46" s="36"/>
      <c r="I46" s="36"/>
      <c r="J46" s="36"/>
      <c r="K46" s="36"/>
      <c r="L46" s="36"/>
      <c r="M46" s="36"/>
      <c r="N46" s="36"/>
      <c r="Q46" s="11"/>
    </row>
    <row r="47" spans="1:19" x14ac:dyDescent="0.2">
      <c r="A47" s="17" t="s">
        <v>69</v>
      </c>
      <c r="C47" s="36">
        <f t="shared" ref="C47:J47" si="9">+C41-C32</f>
        <v>64701311</v>
      </c>
      <c r="D47" s="36">
        <f>+D41-D32</f>
        <v>7095554.0121250004</v>
      </c>
      <c r="E47" s="36">
        <f t="shared" si="9"/>
        <v>5737052.9939999999</v>
      </c>
      <c r="F47" s="36">
        <f t="shared" si="9"/>
        <v>7417665.8751249993</v>
      </c>
      <c r="G47" s="36">
        <f t="shared" si="9"/>
        <v>3787944.4187500002</v>
      </c>
      <c r="H47" s="36">
        <f t="shared" si="9"/>
        <v>6710015</v>
      </c>
      <c r="I47" s="36">
        <f t="shared" si="9"/>
        <v>6909970</v>
      </c>
      <c r="J47" s="36">
        <f t="shared" si="9"/>
        <v>5891168</v>
      </c>
      <c r="K47" s="36">
        <f>+K41-K32</f>
        <v>8322322</v>
      </c>
      <c r="L47" s="36">
        <f>ROUND(+L41-L32,0)</f>
        <v>1674349</v>
      </c>
      <c r="M47" s="36">
        <f>+M41-M32</f>
        <v>1930064</v>
      </c>
      <c r="N47" s="36">
        <f>+N41-N32</f>
        <v>2051014</v>
      </c>
      <c r="O47" s="4">
        <f>+O41-O32</f>
        <v>1141784</v>
      </c>
      <c r="P47" s="4">
        <f>+P41-P32</f>
        <v>365878</v>
      </c>
      <c r="Q47" s="11">
        <f>SUM(C27:P27)</f>
        <v>0</v>
      </c>
    </row>
    <row r="48" spans="1:19" hidden="1" x14ac:dyDescent="0.2">
      <c r="A48" s="17" t="s">
        <v>82</v>
      </c>
      <c r="C48" s="37">
        <f>61516763+9309496+126459+39185</f>
        <v>70991903</v>
      </c>
      <c r="D48" s="37">
        <f>6803830+756250+401814+6251</f>
        <v>7968145</v>
      </c>
      <c r="E48" s="37">
        <f>9173314+374382+5255</f>
        <v>9552951</v>
      </c>
      <c r="F48" s="37">
        <f>800000+391590+4061</f>
        <v>1195651</v>
      </c>
      <c r="G48" s="36">
        <f>IF(+G42-F49-G47&gt;0,G42-F49-G47,250000)</f>
        <v>250000</v>
      </c>
      <c r="H48" s="36">
        <v>0</v>
      </c>
      <c r="I48" s="36">
        <v>0</v>
      </c>
      <c r="J48" s="36">
        <v>0</v>
      </c>
      <c r="K48" s="36">
        <v>0</v>
      </c>
      <c r="L48" s="36"/>
      <c r="M48" s="36"/>
      <c r="N48" s="36"/>
      <c r="O48" s="4"/>
      <c r="P48" s="4"/>
      <c r="Q48" s="11"/>
    </row>
    <row r="49" spans="1:19" hidden="1" x14ac:dyDescent="0.2">
      <c r="A49" s="17" t="s">
        <v>83</v>
      </c>
      <c r="C49" s="36">
        <f>+C48</f>
        <v>70991903</v>
      </c>
      <c r="D49" s="36">
        <f t="shared" ref="D49:K49" si="10">+D48+C49</f>
        <v>78960048</v>
      </c>
      <c r="E49" s="36">
        <f t="shared" si="10"/>
        <v>88512999</v>
      </c>
      <c r="F49" s="36">
        <f t="shared" si="10"/>
        <v>89708650</v>
      </c>
      <c r="G49" s="36">
        <f t="shared" si="10"/>
        <v>89958650</v>
      </c>
      <c r="H49" s="36">
        <v>0</v>
      </c>
      <c r="I49" s="36">
        <f t="shared" si="10"/>
        <v>0</v>
      </c>
      <c r="J49" s="36">
        <f t="shared" si="10"/>
        <v>0</v>
      </c>
      <c r="K49" s="36">
        <f t="shared" si="10"/>
        <v>0</v>
      </c>
      <c r="L49" s="36"/>
      <c r="M49" s="36"/>
      <c r="N49" s="36"/>
      <c r="O49" s="4"/>
      <c r="P49" s="4"/>
      <c r="Q49" s="11"/>
    </row>
    <row r="50" spans="1:19" x14ac:dyDescent="0.2">
      <c r="C50" s="36"/>
      <c r="D50" s="40"/>
      <c r="E50" s="40"/>
      <c r="G50" s="40"/>
      <c r="H50" s="40"/>
      <c r="I50" s="40"/>
      <c r="J50" s="40"/>
      <c r="K50" s="40"/>
      <c r="L50" s="40"/>
      <c r="M50" s="40"/>
      <c r="N50" s="40"/>
      <c r="Q50" s="11"/>
    </row>
    <row r="51" spans="1:19" x14ac:dyDescent="0.2">
      <c r="C51" s="36"/>
      <c r="D51" s="40"/>
      <c r="E51" s="40"/>
      <c r="G51" s="40"/>
      <c r="H51" s="40"/>
      <c r="I51" s="40"/>
      <c r="J51" s="40"/>
      <c r="K51" s="40"/>
      <c r="L51" s="40"/>
      <c r="M51" s="40"/>
      <c r="N51" s="40"/>
      <c r="Q51" s="11"/>
    </row>
    <row r="52" spans="1:19" ht="13.5" thickBot="1" x14ac:dyDescent="0.25">
      <c r="A52" s="4" t="s">
        <v>74</v>
      </c>
      <c r="C52" s="44">
        <f>+C41</f>
        <v>66786060</v>
      </c>
      <c r="D52" s="44">
        <f>+D41</f>
        <v>7536554.0121250004</v>
      </c>
      <c r="E52" s="44">
        <f t="shared" ref="E52:P52" si="11">+E41</f>
        <v>6111434.8235876001</v>
      </c>
      <c r="F52" s="44">
        <f t="shared" si="11"/>
        <v>7809256.3323486764</v>
      </c>
      <c r="G52" s="44">
        <f t="shared" si="11"/>
        <v>4255618.7111773752</v>
      </c>
      <c r="H52" s="44">
        <f t="shared" si="11"/>
        <v>6966020</v>
      </c>
      <c r="I52" s="44">
        <f t="shared" si="11"/>
        <v>7593244</v>
      </c>
      <c r="J52" s="44">
        <f t="shared" si="11"/>
        <v>6489465</v>
      </c>
      <c r="K52" s="44">
        <f t="shared" si="11"/>
        <v>7724025</v>
      </c>
      <c r="L52" s="44">
        <f t="shared" si="11"/>
        <v>1383721</v>
      </c>
      <c r="M52" s="44">
        <f t="shared" si="11"/>
        <v>1930064</v>
      </c>
      <c r="N52" s="44">
        <f t="shared" si="11"/>
        <v>2051014</v>
      </c>
      <c r="O52" s="44">
        <f t="shared" si="11"/>
        <v>1141784</v>
      </c>
      <c r="P52" s="44">
        <f t="shared" si="11"/>
        <v>365878</v>
      </c>
      <c r="Q52" s="30">
        <f>SUM(C52:P52)</f>
        <v>128144138.87923865</v>
      </c>
      <c r="S52" s="18">
        <f>SUM(S10:S51)</f>
        <v>-0.22390530623306404</v>
      </c>
    </row>
    <row r="53" spans="1:19" ht="13.5" thickBot="1" x14ac:dyDescent="0.25">
      <c r="A53" s="4" t="s">
        <v>84</v>
      </c>
      <c r="C53" s="45">
        <f>+C52</f>
        <v>66786060</v>
      </c>
      <c r="D53" s="45">
        <f>+D52+C53</f>
        <v>74322614.012125</v>
      </c>
      <c r="E53" s="45">
        <f t="shared" ref="E53:P53" si="12">+E52+D53</f>
        <v>80434048.835712597</v>
      </c>
      <c r="F53" s="45">
        <f t="shared" si="12"/>
        <v>88243305.168061271</v>
      </c>
      <c r="G53" s="45">
        <f t="shared" si="12"/>
        <v>92498923.87923865</v>
      </c>
      <c r="H53" s="45">
        <f t="shared" si="12"/>
        <v>99464943.87923865</v>
      </c>
      <c r="I53" s="45">
        <f t="shared" si="12"/>
        <v>107058187.87923865</v>
      </c>
      <c r="J53" s="45">
        <f t="shared" si="12"/>
        <v>113547652.87923865</v>
      </c>
      <c r="K53" s="45">
        <f t="shared" si="12"/>
        <v>121271677.87923865</v>
      </c>
      <c r="L53" s="45">
        <f t="shared" si="12"/>
        <v>122655398.87923865</v>
      </c>
      <c r="M53" s="45">
        <f t="shared" si="12"/>
        <v>124585462.87923865</v>
      </c>
      <c r="N53" s="45">
        <f t="shared" si="12"/>
        <v>126636476.87923865</v>
      </c>
      <c r="O53" s="32">
        <f t="shared" si="12"/>
        <v>127778260.87923865</v>
      </c>
      <c r="P53" s="32">
        <f t="shared" si="12"/>
        <v>128144138.87923865</v>
      </c>
      <c r="Q53" s="11"/>
    </row>
    <row r="54" spans="1:19" x14ac:dyDescent="0.2">
      <c r="C54" s="36"/>
      <c r="D54" s="40"/>
      <c r="E54" s="40"/>
      <c r="G54" s="40"/>
      <c r="H54" s="40"/>
      <c r="I54" s="40"/>
      <c r="J54" s="40"/>
      <c r="K54" s="40"/>
      <c r="L54" s="40"/>
      <c r="M54" s="40"/>
      <c r="N54" s="40"/>
      <c r="Q54" s="39"/>
    </row>
    <row r="55" spans="1:19" ht="13.5" thickBot="1" x14ac:dyDescent="0.25">
      <c r="A55" s="4" t="s">
        <v>73</v>
      </c>
      <c r="C55" s="44">
        <f t="shared" ref="C55:Q55" si="13">+C52+C45</f>
        <v>66786060</v>
      </c>
      <c r="D55" s="44">
        <f t="shared" si="13"/>
        <v>7536554.0121250004</v>
      </c>
      <c r="E55" s="44">
        <f t="shared" si="13"/>
        <v>6111434.8235876001</v>
      </c>
      <c r="F55" s="44">
        <f t="shared" si="13"/>
        <v>7809256.3323486764</v>
      </c>
      <c r="G55" s="44">
        <f t="shared" si="13"/>
        <v>4255618.7111773752</v>
      </c>
      <c r="H55" s="44">
        <f t="shared" si="13"/>
        <v>6966020</v>
      </c>
      <c r="I55" s="44">
        <f t="shared" si="13"/>
        <v>7593244</v>
      </c>
      <c r="J55" s="44">
        <f t="shared" si="13"/>
        <v>6489465</v>
      </c>
      <c r="K55" s="44">
        <f>+K52+K45+2</f>
        <v>7724027</v>
      </c>
      <c r="L55" s="44">
        <f t="shared" si="13"/>
        <v>1383721</v>
      </c>
      <c r="M55" s="44">
        <f t="shared" si="13"/>
        <v>1930064</v>
      </c>
      <c r="N55" s="44">
        <f t="shared" si="13"/>
        <v>2051014</v>
      </c>
      <c r="O55" s="29">
        <f>+O52+O45</f>
        <v>1141784</v>
      </c>
      <c r="P55" s="29">
        <f>+P52+P45</f>
        <v>365878</v>
      </c>
      <c r="Q55" s="30">
        <f t="shared" si="13"/>
        <v>128144138.87923865</v>
      </c>
      <c r="R55" s="18">
        <f>+[1]Brownsville!BE198</f>
        <v>128144138.65533334</v>
      </c>
      <c r="S55" s="18">
        <f>+R55-Q55</f>
        <v>-0.22390531003475189</v>
      </c>
    </row>
    <row r="56" spans="1:19" x14ac:dyDescent="0.2">
      <c r="G56" s="40"/>
      <c r="H56" s="40"/>
      <c r="J56" s="40"/>
      <c r="L56" s="40"/>
      <c r="M56" s="40"/>
      <c r="Q56"/>
    </row>
    <row r="57" spans="1:19" s="4" customFormat="1" x14ac:dyDescent="0.2">
      <c r="A57" s="8" t="s">
        <v>86</v>
      </c>
      <c r="C57" s="35">
        <v>0.1</v>
      </c>
      <c r="D57" s="46">
        <v>6.3675000000000009E-2</v>
      </c>
      <c r="E57" s="46">
        <v>5.68969E-2</v>
      </c>
      <c r="F57" s="46">
        <v>5.6881300000000003E-2</v>
      </c>
      <c r="G57" s="46">
        <v>5.6871900000000003E-2</v>
      </c>
      <c r="H57" s="12">
        <v>6.5000000000000002E-2</v>
      </c>
      <c r="I57" s="12">
        <v>6.5000000000000002E-2</v>
      </c>
      <c r="J57" s="74">
        <v>6.5000000000000002E-2</v>
      </c>
      <c r="K57" s="12">
        <v>6.5000000000000002E-2</v>
      </c>
      <c r="L57" s="12">
        <v>6.5000000000000002E-2</v>
      </c>
      <c r="M57" s="12">
        <v>6.5000000000000002E-2</v>
      </c>
      <c r="N57" s="12">
        <v>6.5000000000000002E-2</v>
      </c>
      <c r="O57" s="12">
        <v>6.5000000000000002E-2</v>
      </c>
      <c r="P57" s="12">
        <v>6.5000000000000002E-2</v>
      </c>
      <c r="Q57" s="38"/>
    </row>
    <row r="58" spans="1:19" s="4" customFormat="1" x14ac:dyDescent="0.2">
      <c r="A58" s="33" t="s">
        <v>123</v>
      </c>
      <c r="C58" s="46">
        <v>1.5E-3</v>
      </c>
      <c r="D58" s="73"/>
      <c r="E58" s="9"/>
      <c r="F58" s="9"/>
      <c r="G58" s="9"/>
      <c r="H58" s="9"/>
      <c r="I58" s="9"/>
      <c r="J58" s="43"/>
      <c r="M58" s="36"/>
      <c r="Q58" s="38"/>
    </row>
    <row r="59" spans="1:19" s="4" customFormat="1" x14ac:dyDescent="0.2">
      <c r="A59" s="8"/>
      <c r="C59" s="4">
        <v>458</v>
      </c>
      <c r="D59" s="4" t="s">
        <v>66</v>
      </c>
      <c r="J59" s="36"/>
      <c r="Q59"/>
    </row>
    <row r="60" spans="1:19" x14ac:dyDescent="0.2">
      <c r="J60" s="40"/>
    </row>
    <row r="61" spans="1:19" x14ac:dyDescent="0.2">
      <c r="C61" s="36" t="s">
        <v>89</v>
      </c>
      <c r="D61" s="17" t="s">
        <v>90</v>
      </c>
      <c r="J61" s="40"/>
    </row>
    <row r="62" spans="1:19" x14ac:dyDescent="0.2">
      <c r="C62" s="37"/>
      <c r="D62" s="17" t="str">
        <f>+'New Albany'!D62</f>
        <v>Input from WestLB statements for each month's actuals (1/99 - 5/99)</v>
      </c>
    </row>
    <row r="64" spans="1:19" s="6" customFormat="1" x14ac:dyDescent="0.2">
      <c r="A64" s="66"/>
      <c r="B64" s="67"/>
      <c r="C64" s="68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7"/>
    </row>
    <row r="65" spans="1:18" s="6" customFormat="1" x14ac:dyDescent="0.2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</row>
    <row r="66" spans="1:18" ht="19.5" x14ac:dyDescent="0.55000000000000004">
      <c r="A66" s="70"/>
      <c r="B66" s="20"/>
      <c r="C66" s="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9"/>
      <c r="R66" s="20"/>
    </row>
    <row r="67" spans="1:18" x14ac:dyDescent="0.2">
      <c r="A67" s="66"/>
      <c r="B67" s="20"/>
      <c r="C67" s="43"/>
      <c r="D67" s="42"/>
      <c r="E67" s="4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9"/>
      <c r="R67" s="20"/>
    </row>
    <row r="68" spans="1:18" x14ac:dyDescent="0.2">
      <c r="A68" s="71"/>
      <c r="B68" s="20"/>
      <c r="C68" s="43"/>
      <c r="D68" s="42"/>
      <c r="E68" s="42"/>
      <c r="F68" s="20"/>
      <c r="G68" s="20"/>
      <c r="H68" s="20"/>
      <c r="I68" s="20"/>
      <c r="J68" s="20"/>
      <c r="K68" s="20"/>
      <c r="L68" s="28"/>
      <c r="M68" s="28"/>
      <c r="N68" s="28"/>
      <c r="O68" s="28"/>
      <c r="P68" s="28"/>
      <c r="Q68" s="9"/>
      <c r="R68" s="20"/>
    </row>
    <row r="69" spans="1:18" x14ac:dyDescent="0.2">
      <c r="A69" s="71"/>
      <c r="B69" s="20"/>
      <c r="C69" s="43"/>
      <c r="D69" s="42"/>
      <c r="E69" s="4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9"/>
      <c r="R69" s="20"/>
    </row>
    <row r="70" spans="1:18" x14ac:dyDescent="0.2">
      <c r="A70" s="20"/>
      <c r="B70" s="20"/>
      <c r="C70" s="43"/>
      <c r="D70" s="42"/>
      <c r="E70" s="4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9"/>
      <c r="R70" s="20"/>
    </row>
    <row r="71" spans="1:18" x14ac:dyDescent="0.2">
      <c r="A71" s="9"/>
      <c r="B71" s="20"/>
      <c r="C71" s="43"/>
      <c r="D71" s="43"/>
      <c r="E71" s="4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20"/>
    </row>
    <row r="72" spans="1:18" x14ac:dyDescent="0.2">
      <c r="A72" s="20"/>
      <c r="B72" s="20"/>
      <c r="C72" s="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72"/>
      <c r="R72" s="20"/>
    </row>
    <row r="73" spans="1:18" x14ac:dyDescent="0.2">
      <c r="A73" s="20"/>
      <c r="B73" s="20"/>
      <c r="C73" s="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Q73" s="9"/>
      <c r="R73" s="20"/>
    </row>
  </sheetData>
  <printOptions horizontalCentered="1"/>
  <pageMargins left="0.25" right="0.25" top="0.25" bottom="0.25" header="0.25" footer="0.5"/>
  <pageSetup scale="53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2"/>
  <sheetViews>
    <sheetView workbookViewId="0">
      <pane xSplit="2" ySplit="6" topLeftCell="O38" activePane="bottomRight" state="frozen"/>
      <selection activeCell="D3" sqref="D3"/>
      <selection pane="topRight" activeCell="D3" sqref="D3"/>
      <selection pane="bottomLeft" activeCell="D3" sqref="D3"/>
      <selection pane="bottomRight" activeCell="R56" sqref="R56"/>
    </sheetView>
  </sheetViews>
  <sheetFormatPr defaultRowHeight="12.75" x14ac:dyDescent="0.2"/>
  <cols>
    <col min="1" max="1" width="47.5703125" style="18" bestFit="1" customWidth="1"/>
    <col min="2" max="2" width="1.7109375" style="18" customWidth="1"/>
    <col min="3" max="3" width="16.85546875" style="4" customWidth="1"/>
    <col min="4" max="4" width="15" style="18" customWidth="1"/>
    <col min="5" max="5" width="14.28515625" style="18" customWidth="1"/>
    <col min="6" max="6" width="13.42578125" style="18" customWidth="1"/>
    <col min="7" max="7" width="14.5703125" style="18" customWidth="1"/>
    <col min="8" max="8" width="14.28515625" style="18" customWidth="1"/>
    <col min="9" max="9" width="14.85546875" style="18" customWidth="1"/>
    <col min="10" max="10" width="14.7109375" style="18" customWidth="1"/>
    <col min="11" max="12" width="14.85546875" style="18" customWidth="1"/>
    <col min="13" max="13" width="15.7109375" style="18" customWidth="1"/>
    <col min="14" max="16" width="15.28515625" style="18" customWidth="1"/>
    <col min="17" max="17" width="14.42578125" style="4" customWidth="1"/>
    <col min="18" max="18" width="12.28515625" style="18" bestFit="1" customWidth="1"/>
    <col min="19" max="19" width="13.85546875" style="18" customWidth="1"/>
    <col min="20" max="16384" width="9.140625" style="18"/>
  </cols>
  <sheetData>
    <row r="1" spans="1:19" s="2" customFormat="1" ht="15.75" x14ac:dyDescent="0.25">
      <c r="A1" s="1" t="s">
        <v>0</v>
      </c>
    </row>
    <row r="2" spans="1:19" s="2" customFormat="1" ht="15.75" x14ac:dyDescent="0.25">
      <c r="A2" s="1" t="s">
        <v>1</v>
      </c>
      <c r="D2" s="1" t="str">
        <f>+Brownsville!D2</f>
        <v>Last updated:  Actuals through January 7, 2000</v>
      </c>
      <c r="Q2" s="25" t="str">
        <f ca="1">CELL("filename")</f>
        <v>C:\Users\Felienne\Enron\EnronSpreadsheets\[benjamin_rogers__1154__TVADraw011100.xls]Brownsville</v>
      </c>
    </row>
    <row r="3" spans="1:19" s="2" customFormat="1" ht="15.75" x14ac:dyDescent="0.25">
      <c r="A3" s="1" t="s">
        <v>76</v>
      </c>
      <c r="D3" s="26"/>
      <c r="F3" s="3"/>
      <c r="Q3" s="24">
        <f ca="1">NOW()</f>
        <v>41885.555205208337</v>
      </c>
    </row>
    <row r="4" spans="1:19" ht="15" x14ac:dyDescent="0.2">
      <c r="C4" s="12"/>
      <c r="D4" s="27"/>
    </row>
    <row r="5" spans="1:19" s="6" customFormat="1" x14ac:dyDescent="0.2">
      <c r="A5" s="5"/>
      <c r="C5" s="7">
        <v>1998</v>
      </c>
      <c r="D5" s="76" t="s">
        <v>3</v>
      </c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31"/>
      <c r="Q5" s="31"/>
    </row>
    <row r="6" spans="1:19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75" t="s">
        <v>126</v>
      </c>
      <c r="Q6" s="14" t="s">
        <v>5</v>
      </c>
    </row>
    <row r="7" spans="1:19" s="6" customFormat="1" ht="19.5" x14ac:dyDescent="0.55000000000000004">
      <c r="A7" s="34" t="s">
        <v>125</v>
      </c>
      <c r="N7" s="62"/>
      <c r="Q7" s="10"/>
    </row>
    <row r="8" spans="1:19" s="6" customFormat="1" x14ac:dyDescent="0.2">
      <c r="A8" s="5" t="s">
        <v>87</v>
      </c>
      <c r="N8" s="62"/>
      <c r="Q8" s="10"/>
    </row>
    <row r="9" spans="1:19" s="6" customFormat="1" x14ac:dyDescent="0.2">
      <c r="A9" s="5" t="s">
        <v>78</v>
      </c>
      <c r="G9" s="62"/>
      <c r="L9" s="62"/>
      <c r="M9" s="62"/>
      <c r="N9" s="62"/>
      <c r="Q9" s="10"/>
    </row>
    <row r="10" spans="1:19" x14ac:dyDescent="0.2">
      <c r="A10" s="17" t="s">
        <v>88</v>
      </c>
      <c r="C10" s="36">
        <v>37377776</v>
      </c>
      <c r="D10" s="40">
        <v>6859220</v>
      </c>
      <c r="E10" s="40">
        <v>6859220</v>
      </c>
      <c r="F10" s="40">
        <v>12326714</v>
      </c>
      <c r="G10" s="40">
        <v>12919710</v>
      </c>
      <c r="H10" s="40">
        <v>15213392</v>
      </c>
      <c r="I10" s="8">
        <v>0</v>
      </c>
      <c r="J10" s="40">
        <v>0</v>
      </c>
      <c r="K10" s="40">
        <v>3280101</v>
      </c>
      <c r="L10" s="40">
        <v>0</v>
      </c>
      <c r="M10" s="40">
        <v>0</v>
      </c>
      <c r="N10" s="40">
        <f>4852796+1500000</f>
        <v>6352796</v>
      </c>
      <c r="O10" s="8">
        <v>0</v>
      </c>
      <c r="P10" s="8">
        <f>1940180-1500000</f>
        <v>440180</v>
      </c>
      <c r="Q10" s="11">
        <f>SUM(C10:P10)</f>
        <v>101629109</v>
      </c>
      <c r="R10" s="18">
        <f>+[1]Caledonia!$BE$21</f>
        <v>101629107.92</v>
      </c>
      <c r="S10" s="18">
        <f>+R10-Q10</f>
        <v>-1.0799999982118607</v>
      </c>
    </row>
    <row r="11" spans="1:19" x14ac:dyDescent="0.2">
      <c r="A11" s="17" t="s">
        <v>19</v>
      </c>
      <c r="C11" s="36">
        <v>1897561</v>
      </c>
      <c r="D11" s="40">
        <v>4007308</v>
      </c>
      <c r="E11" s="40">
        <v>0</v>
      </c>
      <c r="F11" s="40">
        <v>615000</v>
      </c>
      <c r="G11" s="40">
        <v>1398550</v>
      </c>
      <c r="H11" s="40">
        <v>821775</v>
      </c>
      <c r="I11" s="40">
        <v>445570</v>
      </c>
      <c r="J11" s="40">
        <v>0</v>
      </c>
      <c r="K11" s="40">
        <v>0</v>
      </c>
      <c r="L11" s="40">
        <v>1100956</v>
      </c>
      <c r="M11" s="40">
        <v>0</v>
      </c>
      <c r="N11" s="40">
        <v>0</v>
      </c>
      <c r="O11" s="18">
        <v>0</v>
      </c>
      <c r="P11" s="18">
        <v>0</v>
      </c>
      <c r="Q11" s="11">
        <f t="shared" ref="Q11:Q27" si="0">SUM(C11:P11)</f>
        <v>10286720</v>
      </c>
      <c r="R11" s="18">
        <f>+[1]Caledonia!$BE$34</f>
        <v>10286721</v>
      </c>
      <c r="S11" s="18">
        <f t="shared" ref="S11:S26" si="1">+R11-Q11</f>
        <v>1</v>
      </c>
    </row>
    <row r="12" spans="1:19" x14ac:dyDescent="0.2">
      <c r="A12" s="17" t="s">
        <v>20</v>
      </c>
      <c r="C12" s="36">
        <v>233794</v>
      </c>
      <c r="D12" s="40">
        <v>0</v>
      </c>
      <c r="E12" s="40">
        <v>0</v>
      </c>
      <c r="F12" s="8">
        <v>0</v>
      </c>
      <c r="G12" s="40">
        <v>0</v>
      </c>
      <c r="H12" s="18">
        <v>0</v>
      </c>
      <c r="I12" s="40">
        <v>316915</v>
      </c>
      <c r="J12" s="40">
        <v>143865</v>
      </c>
      <c r="K12" s="40">
        <v>41523</v>
      </c>
      <c r="L12" s="40">
        <v>0</v>
      </c>
      <c r="M12" s="40">
        <v>27419</v>
      </c>
      <c r="N12" s="40">
        <v>10884</v>
      </c>
      <c r="O12" s="18">
        <v>1424</v>
      </c>
      <c r="P12" s="18">
        <v>10129</v>
      </c>
      <c r="Q12" s="11">
        <f t="shared" si="0"/>
        <v>785953</v>
      </c>
      <c r="R12" s="18">
        <f>+[1]Caledonia!$BE$44</f>
        <v>785954.21</v>
      </c>
      <c r="S12" s="18">
        <f t="shared" si="1"/>
        <v>1.2099999999627471</v>
      </c>
    </row>
    <row r="13" spans="1:19" x14ac:dyDescent="0.2">
      <c r="A13" s="17" t="s">
        <v>21</v>
      </c>
      <c r="C13" s="36">
        <v>167072</v>
      </c>
      <c r="D13" s="40">
        <v>899776</v>
      </c>
      <c r="E13" s="40">
        <v>810086</v>
      </c>
      <c r="F13" s="40">
        <v>1831143</v>
      </c>
      <c r="G13" s="40">
        <v>0</v>
      </c>
      <c r="H13" s="40">
        <v>3372514</v>
      </c>
      <c r="I13" s="40">
        <v>2932107</v>
      </c>
      <c r="J13" s="40">
        <v>9360536</v>
      </c>
      <c r="K13" s="40">
        <v>4662889</v>
      </c>
      <c r="L13" s="40">
        <v>2317012</v>
      </c>
      <c r="M13" s="40">
        <v>1167995</v>
      </c>
      <c r="N13" s="40">
        <v>960719</v>
      </c>
      <c r="O13" s="18">
        <v>780162</v>
      </c>
      <c r="P13" s="18">
        <v>0</v>
      </c>
      <c r="Q13" s="11">
        <f t="shared" si="0"/>
        <v>29262011</v>
      </c>
      <c r="R13" s="18">
        <f>+[1]Caledonia!$BE$117</f>
        <v>29262011.149999999</v>
      </c>
      <c r="S13" s="18">
        <f t="shared" si="1"/>
        <v>0.14999999850988388</v>
      </c>
    </row>
    <row r="14" spans="1:19" x14ac:dyDescent="0.2">
      <c r="A14" s="17" t="s">
        <v>42</v>
      </c>
      <c r="C14" s="36">
        <v>0</v>
      </c>
      <c r="D14" s="40">
        <v>0</v>
      </c>
      <c r="E14" s="40">
        <v>0</v>
      </c>
      <c r="F14" s="8">
        <v>0</v>
      </c>
      <c r="G14" s="40">
        <v>72162</v>
      </c>
      <c r="H14" s="40">
        <v>162075</v>
      </c>
      <c r="I14" s="40">
        <v>232977</v>
      </c>
      <c r="J14" s="40">
        <v>64037</v>
      </c>
      <c r="K14" s="40">
        <v>17168</v>
      </c>
      <c r="L14" s="40">
        <v>19696</v>
      </c>
      <c r="M14" s="40">
        <v>464</v>
      </c>
      <c r="N14" s="40">
        <v>0</v>
      </c>
      <c r="O14" s="18">
        <v>0</v>
      </c>
      <c r="P14" s="18">
        <v>0</v>
      </c>
      <c r="Q14" s="11">
        <f t="shared" si="0"/>
        <v>568579</v>
      </c>
      <c r="R14" s="18">
        <f>+[1]Caledonia!$BE$123</f>
        <v>568579.43999999994</v>
      </c>
      <c r="S14" s="18">
        <f t="shared" si="1"/>
        <v>0.43999999994412065</v>
      </c>
    </row>
    <row r="15" spans="1:19" x14ac:dyDescent="0.2">
      <c r="A15" s="17" t="s">
        <v>22</v>
      </c>
      <c r="C15" s="36">
        <v>0</v>
      </c>
      <c r="D15" s="40">
        <v>0</v>
      </c>
      <c r="E15" s="40">
        <v>0</v>
      </c>
      <c r="F15" s="8">
        <v>0</v>
      </c>
      <c r="G15" s="40">
        <v>0</v>
      </c>
      <c r="H15" s="40">
        <v>0</v>
      </c>
      <c r="I15" s="18">
        <v>0</v>
      </c>
      <c r="J15" s="40">
        <v>0</v>
      </c>
      <c r="K15" s="40">
        <v>157467</v>
      </c>
      <c r="L15" s="40">
        <v>525706</v>
      </c>
      <c r="M15" s="40">
        <v>11614</v>
      </c>
      <c r="N15" s="40">
        <v>1988</v>
      </c>
      <c r="O15" s="18">
        <v>0</v>
      </c>
      <c r="P15" s="18">
        <v>91025</v>
      </c>
      <c r="Q15" s="11">
        <f t="shared" si="0"/>
        <v>787800</v>
      </c>
      <c r="R15" s="18">
        <f>+[1]Caledonia!$BE$125</f>
        <v>787800</v>
      </c>
      <c r="S15" s="18">
        <f t="shared" si="1"/>
        <v>0</v>
      </c>
    </row>
    <row r="16" spans="1:19" x14ac:dyDescent="0.2">
      <c r="A16" s="17" t="s">
        <v>23</v>
      </c>
      <c r="C16" s="36">
        <v>532310</v>
      </c>
      <c r="D16" s="40">
        <v>0</v>
      </c>
      <c r="E16" s="40">
        <v>0</v>
      </c>
      <c r="F16" s="40">
        <v>22050</v>
      </c>
      <c r="G16" s="40">
        <v>0</v>
      </c>
      <c r="H16" s="40">
        <v>3333</v>
      </c>
      <c r="I16" s="17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18">
        <v>0</v>
      </c>
      <c r="P16" s="18">
        <v>0</v>
      </c>
      <c r="Q16" s="11">
        <f t="shared" si="0"/>
        <v>557693</v>
      </c>
      <c r="R16" s="18">
        <f>+[1]Caledonia!$BE$136</f>
        <v>557693.32999999996</v>
      </c>
      <c r="S16" s="18">
        <f t="shared" si="1"/>
        <v>0.32999999995809048</v>
      </c>
    </row>
    <row r="17" spans="1:19" x14ac:dyDescent="0.2">
      <c r="A17" s="17" t="s">
        <v>24</v>
      </c>
      <c r="C17" s="36">
        <v>207085</v>
      </c>
      <c r="D17" s="40">
        <v>0</v>
      </c>
      <c r="E17" s="40">
        <v>0</v>
      </c>
      <c r="F17" s="8">
        <v>0</v>
      </c>
      <c r="G17" s="40">
        <v>0</v>
      </c>
      <c r="H17" s="40">
        <v>29791</v>
      </c>
      <c r="I17" s="17">
        <v>0</v>
      </c>
      <c r="J17" s="40">
        <v>0</v>
      </c>
      <c r="K17" s="40">
        <v>227</v>
      </c>
      <c r="L17" s="40">
        <v>0</v>
      </c>
      <c r="M17" s="40">
        <v>250</v>
      </c>
      <c r="N17" s="40">
        <v>0</v>
      </c>
      <c r="O17" s="18">
        <v>0</v>
      </c>
      <c r="P17" s="18">
        <v>0</v>
      </c>
      <c r="Q17" s="11">
        <f t="shared" si="0"/>
        <v>237353</v>
      </c>
      <c r="R17" s="18">
        <f>+[1]Caledonia!$BE$138</f>
        <v>237352.65</v>
      </c>
      <c r="S17" s="18">
        <f t="shared" si="1"/>
        <v>-0.35000000000582077</v>
      </c>
    </row>
    <row r="18" spans="1:19" x14ac:dyDescent="0.2">
      <c r="A18" s="17" t="s">
        <v>25</v>
      </c>
      <c r="C18" s="36">
        <v>738500</v>
      </c>
      <c r="D18" s="40">
        <v>0</v>
      </c>
      <c r="E18" s="40">
        <v>242359</v>
      </c>
      <c r="F18" s="8">
        <v>0</v>
      </c>
      <c r="G18" s="40">
        <v>0</v>
      </c>
      <c r="H18" s="40">
        <v>0</v>
      </c>
      <c r="I18" s="18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18">
        <v>0</v>
      </c>
      <c r="P18" s="18">
        <v>141</v>
      </c>
      <c r="Q18" s="11">
        <f t="shared" si="0"/>
        <v>981000</v>
      </c>
      <c r="R18" s="18">
        <f>+[1]Caledonia!$BE$141</f>
        <v>981000</v>
      </c>
      <c r="S18" s="18">
        <f t="shared" si="1"/>
        <v>0</v>
      </c>
    </row>
    <row r="19" spans="1:19" x14ac:dyDescent="0.2">
      <c r="A19" s="17" t="s">
        <v>26</v>
      </c>
      <c r="C19" s="36">
        <v>0</v>
      </c>
      <c r="D19" s="40">
        <v>110523</v>
      </c>
      <c r="E19" s="40">
        <v>0</v>
      </c>
      <c r="F19" s="8">
        <v>0</v>
      </c>
      <c r="G19" s="40">
        <v>1651484</v>
      </c>
      <c r="H19" s="40">
        <v>0</v>
      </c>
      <c r="I19" s="40">
        <v>59847</v>
      </c>
      <c r="J19" s="40">
        <v>230834</v>
      </c>
      <c r="K19" s="40">
        <v>864906</v>
      </c>
      <c r="L19" s="40">
        <v>146302</v>
      </c>
      <c r="M19" s="40">
        <v>0</v>
      </c>
      <c r="N19" s="40">
        <v>3218</v>
      </c>
      <c r="O19" s="18">
        <v>25993</v>
      </c>
      <c r="P19" s="18">
        <v>414713</v>
      </c>
      <c r="Q19" s="11">
        <f t="shared" si="0"/>
        <v>3507820</v>
      </c>
      <c r="R19" s="18">
        <f>+[1]Caledonia!$BE$148</f>
        <v>3507819.8760000002</v>
      </c>
      <c r="S19" s="18">
        <f t="shared" si="1"/>
        <v>-0.12399999983608723</v>
      </c>
    </row>
    <row r="20" spans="1:19" x14ac:dyDescent="0.2">
      <c r="A20" s="17" t="s">
        <v>27</v>
      </c>
      <c r="C20" s="36">
        <v>0</v>
      </c>
      <c r="D20" s="40">
        <v>0</v>
      </c>
      <c r="E20" s="40">
        <v>0</v>
      </c>
      <c r="F20" s="8">
        <v>0</v>
      </c>
      <c r="G20" s="40">
        <v>10000</v>
      </c>
      <c r="H20" s="40">
        <v>53741</v>
      </c>
      <c r="I20" s="40">
        <v>61014</v>
      </c>
      <c r="J20" s="40">
        <v>11281</v>
      </c>
      <c r="K20" s="17">
        <v>0</v>
      </c>
      <c r="L20" s="40">
        <v>0</v>
      </c>
      <c r="M20" s="40">
        <v>0</v>
      </c>
      <c r="N20" s="40">
        <v>0</v>
      </c>
      <c r="O20" s="18">
        <v>0</v>
      </c>
      <c r="P20" s="18">
        <v>0</v>
      </c>
      <c r="Q20" s="11">
        <f t="shared" si="0"/>
        <v>136036</v>
      </c>
      <c r="R20" s="18">
        <f>+[1]Caledonia!$BE$195</f>
        <v>136036.07</v>
      </c>
      <c r="S20" s="18">
        <f t="shared" si="1"/>
        <v>7.0000000006984919E-2</v>
      </c>
    </row>
    <row r="21" spans="1:19" x14ac:dyDescent="0.2">
      <c r="A21" s="17" t="s">
        <v>28</v>
      </c>
      <c r="C21" s="36">
        <v>280627</v>
      </c>
      <c r="D21" s="40">
        <v>6383</v>
      </c>
      <c r="E21" s="40">
        <v>0</v>
      </c>
      <c r="F21" s="8">
        <v>0</v>
      </c>
      <c r="G21" s="40">
        <v>0</v>
      </c>
      <c r="H21" s="40">
        <v>0</v>
      </c>
      <c r="I21" s="18">
        <v>0</v>
      </c>
      <c r="J21" s="40">
        <v>85968</v>
      </c>
      <c r="K21" s="18">
        <v>0</v>
      </c>
      <c r="L21" s="40">
        <v>0</v>
      </c>
      <c r="M21" s="40">
        <v>0</v>
      </c>
      <c r="N21" s="40">
        <v>0</v>
      </c>
      <c r="O21" s="18">
        <v>0</v>
      </c>
      <c r="P21" s="18">
        <v>-272978</v>
      </c>
      <c r="Q21" s="11">
        <f t="shared" si="0"/>
        <v>100000</v>
      </c>
      <c r="R21" s="18">
        <f>+[1]Caledonia!$BE$150</f>
        <v>99999.999999999942</v>
      </c>
      <c r="S21" s="18">
        <f t="shared" si="1"/>
        <v>0</v>
      </c>
    </row>
    <row r="22" spans="1:19" x14ac:dyDescent="0.2">
      <c r="A22" s="17" t="s">
        <v>48</v>
      </c>
      <c r="C22" s="36">
        <f>93542+479</f>
        <v>94021</v>
      </c>
      <c r="D22" s="40">
        <v>0</v>
      </c>
      <c r="E22" s="40">
        <v>0</v>
      </c>
      <c r="F22" s="8">
        <v>0</v>
      </c>
      <c r="G22" s="40">
        <v>0</v>
      </c>
      <c r="H22" s="40">
        <v>0</v>
      </c>
      <c r="I22" s="18">
        <v>0</v>
      </c>
      <c r="J22" s="18">
        <v>0</v>
      </c>
      <c r="K22" s="18">
        <v>0</v>
      </c>
      <c r="L22" s="40">
        <v>0</v>
      </c>
      <c r="M22" s="40">
        <v>0</v>
      </c>
      <c r="N22" s="40">
        <v>0</v>
      </c>
      <c r="O22" s="18">
        <v>0</v>
      </c>
      <c r="P22" s="18">
        <v>0</v>
      </c>
      <c r="Q22" s="11">
        <f t="shared" si="0"/>
        <v>94021</v>
      </c>
      <c r="R22" s="18">
        <f>+[1]Caledonia!$BE$171</f>
        <v>94021</v>
      </c>
      <c r="S22" s="18">
        <f t="shared" si="1"/>
        <v>0</v>
      </c>
    </row>
    <row r="23" spans="1:19" x14ac:dyDescent="0.2">
      <c r="A23" s="17" t="s">
        <v>29</v>
      </c>
      <c r="C23" s="36">
        <v>0</v>
      </c>
      <c r="D23" s="40">
        <v>145042</v>
      </c>
      <c r="E23" s="40">
        <v>0</v>
      </c>
      <c r="F23" s="8">
        <v>0</v>
      </c>
      <c r="G23" s="40">
        <v>0</v>
      </c>
      <c r="H23" s="40">
        <v>0</v>
      </c>
      <c r="I23" s="18">
        <v>0</v>
      </c>
      <c r="J23" s="40">
        <f>21931+16702</f>
        <v>38633</v>
      </c>
      <c r="K23" s="18">
        <v>0</v>
      </c>
      <c r="L23" s="40">
        <v>38633</v>
      </c>
      <c r="M23" s="40">
        <v>0</v>
      </c>
      <c r="N23" s="40">
        <v>0</v>
      </c>
      <c r="O23" s="18">
        <v>0</v>
      </c>
      <c r="P23" s="18">
        <v>2615</v>
      </c>
      <c r="Q23" s="11">
        <f t="shared" si="0"/>
        <v>224923</v>
      </c>
      <c r="R23" s="18">
        <f>+[1]Caledonia!$BE$152</f>
        <v>224923</v>
      </c>
      <c r="S23" s="18">
        <f t="shared" si="1"/>
        <v>0</v>
      </c>
    </row>
    <row r="24" spans="1:19" x14ac:dyDescent="0.2">
      <c r="A24" s="17" t="s">
        <v>30</v>
      </c>
      <c r="C24" s="36">
        <v>0</v>
      </c>
      <c r="D24" s="40">
        <v>0</v>
      </c>
      <c r="E24" s="40">
        <v>8735</v>
      </c>
      <c r="F24" s="8">
        <v>0</v>
      </c>
      <c r="G24" s="40">
        <v>5963</v>
      </c>
      <c r="H24" s="40">
        <v>23696</v>
      </c>
      <c r="I24" s="40">
        <v>9719</v>
      </c>
      <c r="J24" s="40">
        <v>5091</v>
      </c>
      <c r="K24" s="18">
        <v>0</v>
      </c>
      <c r="L24" s="40">
        <v>0</v>
      </c>
      <c r="M24" s="40">
        <v>0</v>
      </c>
      <c r="N24" s="40">
        <v>0</v>
      </c>
      <c r="O24" s="18">
        <v>0</v>
      </c>
      <c r="P24" s="18">
        <v>0</v>
      </c>
      <c r="Q24" s="11">
        <f t="shared" si="0"/>
        <v>53204</v>
      </c>
      <c r="R24" s="18">
        <f>+[1]Caledonia!$BE$154</f>
        <v>53203.58</v>
      </c>
      <c r="S24" s="18">
        <f t="shared" si="1"/>
        <v>-0.41999999999825377</v>
      </c>
    </row>
    <row r="25" spans="1:19" x14ac:dyDescent="0.2">
      <c r="A25" s="17" t="s">
        <v>32</v>
      </c>
      <c r="C25" s="36">
        <f>75528+6111</f>
        <v>81639</v>
      </c>
      <c r="D25" s="40">
        <v>27824</v>
      </c>
      <c r="E25" s="40">
        <f>3333+368</f>
        <v>3701</v>
      </c>
      <c r="F25" s="40">
        <v>-21839</v>
      </c>
      <c r="G25" s="40">
        <v>2188</v>
      </c>
      <c r="H25" s="40">
        <v>205652</v>
      </c>
      <c r="I25" s="40">
        <v>74162</v>
      </c>
      <c r="J25" s="40">
        <v>109970</v>
      </c>
      <c r="K25" s="40">
        <v>67695</v>
      </c>
      <c r="L25" s="40">
        <v>29497</v>
      </c>
      <c r="M25" s="40">
        <v>3271</v>
      </c>
      <c r="N25" s="40">
        <v>163989</v>
      </c>
      <c r="O25" s="18">
        <v>0</v>
      </c>
      <c r="P25" s="18">
        <f>+-6110-1</f>
        <v>-6111</v>
      </c>
      <c r="Q25" s="11">
        <f t="shared" si="0"/>
        <v>741638</v>
      </c>
      <c r="R25" s="18">
        <f>+[1]Caledonia!$BE$184</f>
        <v>741635.96</v>
      </c>
      <c r="S25" s="18">
        <f t="shared" si="1"/>
        <v>-2.0400000000372529</v>
      </c>
    </row>
    <row r="26" spans="1:19" x14ac:dyDescent="0.2">
      <c r="A26" s="17" t="s">
        <v>33</v>
      </c>
      <c r="C26" s="36">
        <v>105274</v>
      </c>
      <c r="D26" s="40">
        <v>6484</v>
      </c>
      <c r="E26" s="40">
        <f>150775+1</f>
        <v>150776</v>
      </c>
      <c r="F26" s="8">
        <v>0</v>
      </c>
      <c r="G26" s="40">
        <v>0</v>
      </c>
      <c r="H26" s="40">
        <f>221476-1</f>
        <v>221475</v>
      </c>
      <c r="I26" s="40">
        <f>86054-86054</f>
        <v>0</v>
      </c>
      <c r="J26" s="40">
        <f>51988-1</f>
        <v>51987</v>
      </c>
      <c r="K26" s="18">
        <v>0</v>
      </c>
      <c r="L26" s="40">
        <v>33731</v>
      </c>
      <c r="M26" s="40">
        <v>3474</v>
      </c>
      <c r="N26" s="40">
        <v>8180</v>
      </c>
      <c r="O26" s="18">
        <v>252208</v>
      </c>
      <c r="P26" s="18">
        <v>0</v>
      </c>
      <c r="Q26" s="11">
        <f t="shared" si="0"/>
        <v>833589</v>
      </c>
      <c r="R26" s="18">
        <f>+[1]Caledonia!$BE$193</f>
        <v>833590.25</v>
      </c>
      <c r="S26" s="18">
        <f t="shared" si="1"/>
        <v>1.25</v>
      </c>
    </row>
    <row r="27" spans="1:19" x14ac:dyDescent="0.2">
      <c r="A27" s="17" t="s">
        <v>81</v>
      </c>
      <c r="C27" s="36">
        <v>0</v>
      </c>
      <c r="D27" s="40">
        <v>0</v>
      </c>
      <c r="E27" s="40">
        <v>0</v>
      </c>
      <c r="F27" s="8">
        <v>0</v>
      </c>
      <c r="G27" s="40">
        <v>0</v>
      </c>
      <c r="H27" s="40">
        <v>0</v>
      </c>
      <c r="I27" s="40">
        <v>0</v>
      </c>
      <c r="J27" s="40"/>
      <c r="L27" s="40">
        <v>0</v>
      </c>
      <c r="M27" s="40">
        <v>0</v>
      </c>
      <c r="N27" s="40">
        <v>0</v>
      </c>
      <c r="O27" s="18">
        <v>0</v>
      </c>
      <c r="P27" s="18">
        <v>0</v>
      </c>
      <c r="Q27" s="11">
        <f t="shared" si="0"/>
        <v>0</v>
      </c>
    </row>
    <row r="28" spans="1:19" x14ac:dyDescent="0.2">
      <c r="A28" s="17" t="s">
        <v>63</v>
      </c>
      <c r="C28" s="41">
        <f t="shared" ref="C28:P28" si="2">SUM(C10:C27)</f>
        <v>41715659</v>
      </c>
      <c r="D28" s="41">
        <f t="shared" si="2"/>
        <v>12062560</v>
      </c>
      <c r="E28" s="41">
        <f t="shared" si="2"/>
        <v>8074877</v>
      </c>
      <c r="F28" s="41">
        <f t="shared" si="2"/>
        <v>14773068</v>
      </c>
      <c r="G28" s="41">
        <f t="shared" si="2"/>
        <v>16060057</v>
      </c>
      <c r="H28" s="41">
        <f t="shared" si="2"/>
        <v>20107444</v>
      </c>
      <c r="I28" s="41">
        <f t="shared" si="2"/>
        <v>4132311</v>
      </c>
      <c r="J28" s="41">
        <f t="shared" si="2"/>
        <v>10102202</v>
      </c>
      <c r="K28" s="41">
        <f t="shared" si="2"/>
        <v>9091976</v>
      </c>
      <c r="L28" s="41">
        <f t="shared" si="2"/>
        <v>4211533</v>
      </c>
      <c r="M28" s="41">
        <f t="shared" si="2"/>
        <v>1214487</v>
      </c>
      <c r="N28" s="41">
        <f t="shared" si="2"/>
        <v>7501774</v>
      </c>
      <c r="O28" s="21">
        <f t="shared" si="2"/>
        <v>1059787</v>
      </c>
      <c r="P28" s="21">
        <f t="shared" si="2"/>
        <v>679714</v>
      </c>
      <c r="Q28" s="22">
        <f>SUM(C28:P28)</f>
        <v>150787449</v>
      </c>
    </row>
    <row r="29" spans="1:19" x14ac:dyDescent="0.2">
      <c r="A29" s="17" t="s">
        <v>67</v>
      </c>
      <c r="C29" s="41">
        <f>+C28</f>
        <v>41715659</v>
      </c>
      <c r="D29" s="41">
        <f t="shared" ref="D29:P29" si="3">+C29+D28</f>
        <v>53778219</v>
      </c>
      <c r="E29" s="41">
        <f t="shared" si="3"/>
        <v>61853096</v>
      </c>
      <c r="F29" s="41">
        <f t="shared" si="3"/>
        <v>76626164</v>
      </c>
      <c r="G29" s="41">
        <f t="shared" si="3"/>
        <v>92686221</v>
      </c>
      <c r="H29" s="41">
        <f t="shared" si="3"/>
        <v>112793665</v>
      </c>
      <c r="I29" s="41">
        <f t="shared" si="3"/>
        <v>116925976</v>
      </c>
      <c r="J29" s="41">
        <f t="shared" si="3"/>
        <v>127028178</v>
      </c>
      <c r="K29" s="41">
        <f t="shared" si="3"/>
        <v>136120154</v>
      </c>
      <c r="L29" s="41">
        <f t="shared" si="3"/>
        <v>140331687</v>
      </c>
      <c r="M29" s="41">
        <f t="shared" si="3"/>
        <v>141546174</v>
      </c>
      <c r="N29" s="41">
        <f t="shared" si="3"/>
        <v>149047948</v>
      </c>
      <c r="O29" s="21">
        <f t="shared" si="3"/>
        <v>150107735</v>
      </c>
      <c r="P29" s="21">
        <f t="shared" si="3"/>
        <v>150787449</v>
      </c>
      <c r="Q29" s="13"/>
    </row>
    <row r="30" spans="1:19" x14ac:dyDescent="0.2">
      <c r="A30" s="17" t="s">
        <v>64</v>
      </c>
      <c r="C30" s="36"/>
      <c r="D30" s="40"/>
      <c r="E30" s="40"/>
      <c r="F30" s="8"/>
      <c r="G30" s="40"/>
      <c r="H30" s="40"/>
      <c r="I30" s="40"/>
      <c r="J30" s="40"/>
      <c r="K30" s="40"/>
      <c r="L30" s="40"/>
      <c r="M30" s="40"/>
      <c r="N30" s="40"/>
      <c r="Q30" s="16">
        <f>+Q28/C59/1000</f>
        <v>341.14807466063348</v>
      </c>
    </row>
    <row r="31" spans="1:19" x14ac:dyDescent="0.2">
      <c r="C31" s="36"/>
      <c r="D31" s="40"/>
      <c r="E31" s="40"/>
      <c r="F31" s="8"/>
      <c r="G31" s="40"/>
      <c r="H31" s="40"/>
      <c r="I31" s="40"/>
      <c r="J31" s="40"/>
      <c r="K31" s="40"/>
      <c r="L31" s="40"/>
      <c r="M31" s="40"/>
      <c r="N31" s="40"/>
      <c r="Q31" s="11"/>
    </row>
    <row r="32" spans="1:19" x14ac:dyDescent="0.2">
      <c r="A32" s="17" t="s">
        <v>44</v>
      </c>
      <c r="C32" s="42">
        <f>2084658-1075020+3412</f>
        <v>1013050</v>
      </c>
      <c r="D32" s="42">
        <f>315367+27457</f>
        <v>342824</v>
      </c>
      <c r="E32" s="42">
        <f>SUM($C48:D48)*E57/360*30</f>
        <v>321299.91888809163</v>
      </c>
      <c r="F32" s="42">
        <f>SUM($C48:E48)*F57/360*28</f>
        <v>443917.85361798003</v>
      </c>
      <c r="G32" s="42">
        <f>SUM($C48:F48)*G57/360*33</f>
        <v>528055.68486470252</v>
      </c>
      <c r="H32" s="42">
        <v>124517</v>
      </c>
      <c r="I32" s="42">
        <v>725143</v>
      </c>
      <c r="J32" s="42">
        <v>684126</v>
      </c>
      <c r="K32" s="42">
        <v>-684126</v>
      </c>
      <c r="L32" s="40">
        <v>-326769</v>
      </c>
      <c r="M32" s="40">
        <v>0</v>
      </c>
      <c r="N32" s="40">
        <v>0</v>
      </c>
      <c r="O32" s="18">
        <v>0</v>
      </c>
      <c r="P32" s="18">
        <v>0</v>
      </c>
      <c r="Q32" s="11">
        <f>SUM(C32:P32)</f>
        <v>3172038.4573707744</v>
      </c>
      <c r="R32" s="18">
        <f>+[1]Caledonia!$BE$156</f>
        <v>3172038.28</v>
      </c>
      <c r="S32" s="18">
        <f>+Q32-R32</f>
        <v>0.17737077455967665</v>
      </c>
    </row>
    <row r="33" spans="1:19" x14ac:dyDescent="0.2">
      <c r="A33" s="17" t="s">
        <v>93</v>
      </c>
      <c r="C33" s="42"/>
      <c r="D33" s="42"/>
      <c r="E33" s="42"/>
      <c r="F33" s="42">
        <v>-309104</v>
      </c>
      <c r="G33" s="42">
        <v>-117884</v>
      </c>
      <c r="H33" s="42"/>
      <c r="I33" s="42"/>
      <c r="J33" s="42"/>
      <c r="K33" s="42"/>
      <c r="L33" s="40"/>
      <c r="M33" s="40"/>
      <c r="N33" s="40"/>
      <c r="Q33" s="11">
        <f>SUM(C33:P33)</f>
        <v>-426988</v>
      </c>
      <c r="R33" s="18">
        <f>+[1]Caledonia!$BE$157</f>
        <v>-426988</v>
      </c>
      <c r="S33" s="18">
        <f>+Q33-R33</f>
        <v>0</v>
      </c>
    </row>
    <row r="34" spans="1:19" x14ac:dyDescent="0.2">
      <c r="A34" s="17" t="s">
        <v>75</v>
      </c>
      <c r="C34" s="42">
        <v>0</v>
      </c>
      <c r="D34" s="42">
        <v>11785.189</v>
      </c>
      <c r="E34" s="42">
        <v>10279.417625</v>
      </c>
      <c r="F34" s="42">
        <v>6207.3997500000005</v>
      </c>
      <c r="G34" s="42">
        <v>6088.6341250000005</v>
      </c>
      <c r="H34" s="42">
        <v>5897</v>
      </c>
      <c r="I34" s="42"/>
      <c r="J34" s="42"/>
      <c r="K34" s="42"/>
      <c r="L34" s="42"/>
      <c r="M34" s="42"/>
      <c r="N34" s="42">
        <v>0</v>
      </c>
      <c r="O34" s="28">
        <v>0</v>
      </c>
      <c r="P34" s="28">
        <v>0</v>
      </c>
      <c r="Q34" s="11">
        <f>SUM(C34:P34)</f>
        <v>40257.640500000001</v>
      </c>
      <c r="R34" s="18">
        <f>+[1]Caledonia!$BE$158</f>
        <v>40258</v>
      </c>
      <c r="S34" s="18">
        <f>+Q34-R34</f>
        <v>-0.35949999999866122</v>
      </c>
    </row>
    <row r="35" spans="1:19" x14ac:dyDescent="0.2">
      <c r="A35" s="17" t="s">
        <v>94</v>
      </c>
      <c r="C35" s="42"/>
      <c r="D35" s="42"/>
      <c r="E35" s="42"/>
      <c r="F35" s="42">
        <v>-5266</v>
      </c>
      <c r="G35" s="42">
        <f>13200</f>
        <v>13200</v>
      </c>
      <c r="H35" s="42">
        <f>-18334</f>
        <v>-18334</v>
      </c>
      <c r="I35" s="42">
        <v>0</v>
      </c>
      <c r="J35" s="42"/>
      <c r="K35" s="42">
        <v>0</v>
      </c>
      <c r="L35" s="42">
        <v>0</v>
      </c>
      <c r="M35" s="42">
        <v>0</v>
      </c>
      <c r="N35" s="42">
        <v>0</v>
      </c>
      <c r="O35" s="28">
        <v>0</v>
      </c>
      <c r="P35" s="28">
        <v>0</v>
      </c>
      <c r="Q35" s="11">
        <f>SUM(C35:P35)</f>
        <v>-10400</v>
      </c>
      <c r="R35" s="18">
        <f>+[1]Caledonia!$BE$159</f>
        <v>-10399.469999999999</v>
      </c>
      <c r="S35" s="18">
        <f>+Q35-R35</f>
        <v>-0.53000000000065484</v>
      </c>
    </row>
    <row r="36" spans="1:19" x14ac:dyDescent="0.2">
      <c r="A36" s="17" t="s">
        <v>31</v>
      </c>
      <c r="C36" s="40">
        <v>68386</v>
      </c>
      <c r="D36" s="40">
        <v>942288</v>
      </c>
      <c r="E36" s="40">
        <v>0</v>
      </c>
      <c r="F36" s="40">
        <v>0</v>
      </c>
      <c r="G36" s="40">
        <v>0</v>
      </c>
      <c r="H36" s="40">
        <v>83333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83333</v>
      </c>
      <c r="O36" s="17">
        <f>107680-41667</f>
        <v>66013</v>
      </c>
      <c r="P36" s="18">
        <v>0</v>
      </c>
      <c r="Q36" s="11">
        <f>SUM(C36:P36)</f>
        <v>1243353</v>
      </c>
      <c r="R36" s="18">
        <f>+[1]Caledonia!$BE$169</f>
        <v>1243352.7133333331</v>
      </c>
      <c r="S36" s="18">
        <f>+Q36-R36</f>
        <v>0.28666666685603559</v>
      </c>
    </row>
    <row r="37" spans="1:19" x14ac:dyDescent="0.2">
      <c r="A37" s="17" t="s">
        <v>80</v>
      </c>
      <c r="C37" s="43">
        <v>0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20"/>
      <c r="P37" s="20">
        <v>0</v>
      </c>
      <c r="Q37" s="11">
        <f>SUM(C37:O37)</f>
        <v>0</v>
      </c>
    </row>
    <row r="38" spans="1:19" x14ac:dyDescent="0.2">
      <c r="A38" s="17" t="s">
        <v>65</v>
      </c>
      <c r="C38" s="41">
        <f t="shared" ref="C38:P38" si="4">SUM(C32:C37)</f>
        <v>1081436</v>
      </c>
      <c r="D38" s="41">
        <f t="shared" si="4"/>
        <v>1296897.189</v>
      </c>
      <c r="E38" s="41">
        <f t="shared" si="4"/>
        <v>331579.33651309164</v>
      </c>
      <c r="F38" s="41">
        <f t="shared" si="4"/>
        <v>135755.25336798004</v>
      </c>
      <c r="G38" s="41">
        <f t="shared" si="4"/>
        <v>429460.3189897025</v>
      </c>
      <c r="H38" s="41">
        <f t="shared" si="4"/>
        <v>195413</v>
      </c>
      <c r="I38" s="41">
        <f t="shared" si="4"/>
        <v>725143</v>
      </c>
      <c r="J38" s="41">
        <f t="shared" si="4"/>
        <v>684126</v>
      </c>
      <c r="K38" s="41">
        <f t="shared" si="4"/>
        <v>-684126</v>
      </c>
      <c r="L38" s="41">
        <f t="shared" si="4"/>
        <v>-326769</v>
      </c>
      <c r="M38" s="41">
        <f t="shared" si="4"/>
        <v>0</v>
      </c>
      <c r="N38" s="41">
        <f t="shared" si="4"/>
        <v>83333</v>
      </c>
      <c r="O38" s="21">
        <f t="shared" si="4"/>
        <v>66013</v>
      </c>
      <c r="P38" s="21">
        <f t="shared" si="4"/>
        <v>0</v>
      </c>
      <c r="Q38" s="22">
        <f>SUM(C38:P38)</f>
        <v>4018261.0978707746</v>
      </c>
    </row>
    <row r="39" spans="1:19" x14ac:dyDescent="0.2">
      <c r="A39" s="17" t="s">
        <v>68</v>
      </c>
      <c r="C39" s="41">
        <f>+C38</f>
        <v>1081436</v>
      </c>
      <c r="D39" s="41">
        <f t="shared" ref="D39:P39" si="5">+D38+C39</f>
        <v>2378333.1890000002</v>
      </c>
      <c r="E39" s="41">
        <f t="shared" si="5"/>
        <v>2709912.5255130921</v>
      </c>
      <c r="F39" s="41">
        <f t="shared" si="5"/>
        <v>2845667.7788810721</v>
      </c>
      <c r="G39" s="41">
        <f t="shared" si="5"/>
        <v>3275128.0978707746</v>
      </c>
      <c r="H39" s="41">
        <f t="shared" si="5"/>
        <v>3470541.0978707746</v>
      </c>
      <c r="I39" s="41">
        <f t="shared" si="5"/>
        <v>4195684.0978707746</v>
      </c>
      <c r="J39" s="41">
        <f t="shared" si="5"/>
        <v>4879810.0978707746</v>
      </c>
      <c r="K39" s="41">
        <f t="shared" si="5"/>
        <v>4195684.0978707746</v>
      </c>
      <c r="L39" s="41">
        <f t="shared" si="5"/>
        <v>3868915.0978707746</v>
      </c>
      <c r="M39" s="41">
        <f t="shared" si="5"/>
        <v>3868915.0978707746</v>
      </c>
      <c r="N39" s="41">
        <f t="shared" si="5"/>
        <v>3952248.0978707746</v>
      </c>
      <c r="O39" s="21">
        <f t="shared" si="5"/>
        <v>4018261.0978707746</v>
      </c>
      <c r="P39" s="21">
        <f t="shared" si="5"/>
        <v>4018261.0978707746</v>
      </c>
      <c r="Q39" s="11"/>
    </row>
    <row r="40" spans="1:19" x14ac:dyDescent="0.2">
      <c r="A40" s="17"/>
      <c r="C40" s="43"/>
      <c r="D40" s="42"/>
      <c r="E40" s="42"/>
      <c r="F40" s="20"/>
      <c r="G40" s="42"/>
      <c r="H40" s="42"/>
      <c r="I40" s="42"/>
      <c r="J40" s="42"/>
      <c r="K40" s="42"/>
      <c r="L40" s="42"/>
      <c r="M40" s="42"/>
      <c r="N40" s="42"/>
      <c r="O40" s="20"/>
      <c r="P40" s="20"/>
      <c r="Q40" s="11"/>
    </row>
    <row r="41" spans="1:19" s="4" customFormat="1" x14ac:dyDescent="0.2">
      <c r="A41" s="4" t="s">
        <v>85</v>
      </c>
      <c r="C41" s="36">
        <f t="shared" ref="C41:O41" si="6">+C28+C38</f>
        <v>42797095</v>
      </c>
      <c r="D41" s="36">
        <f t="shared" si="6"/>
        <v>13359457.188999999</v>
      </c>
      <c r="E41" s="36">
        <f t="shared" si="6"/>
        <v>8406456.3365130909</v>
      </c>
      <c r="F41" s="36">
        <f t="shared" si="6"/>
        <v>14908823.253367981</v>
      </c>
      <c r="G41" s="36">
        <f t="shared" si="6"/>
        <v>16489517.318989702</v>
      </c>
      <c r="H41" s="36">
        <f t="shared" si="6"/>
        <v>20302857</v>
      </c>
      <c r="I41" s="36">
        <f t="shared" si="6"/>
        <v>4857454</v>
      </c>
      <c r="J41" s="36">
        <f t="shared" si="6"/>
        <v>10786328</v>
      </c>
      <c r="K41" s="36">
        <f>ROUND(+K28+K38,0)+1</f>
        <v>8407851</v>
      </c>
      <c r="L41" s="36">
        <f t="shared" si="6"/>
        <v>3884764</v>
      </c>
      <c r="M41" s="36">
        <f t="shared" si="6"/>
        <v>1214487</v>
      </c>
      <c r="N41" s="36">
        <f t="shared" si="6"/>
        <v>7585107</v>
      </c>
      <c r="O41" s="4">
        <f t="shared" si="6"/>
        <v>1125800</v>
      </c>
      <c r="P41" s="4">
        <f>+P28+P38</f>
        <v>679714</v>
      </c>
      <c r="Q41" s="11">
        <f>SUM(C41:P41)</f>
        <v>154805711.09787077</v>
      </c>
    </row>
    <row r="42" spans="1:19" s="4" customFormat="1" x14ac:dyDescent="0.2">
      <c r="A42" s="4" t="s">
        <v>45</v>
      </c>
      <c r="C42" s="36">
        <f>C41</f>
        <v>42797095</v>
      </c>
      <c r="D42" s="36">
        <f t="shared" ref="D42:P42" si="7">C42+D41</f>
        <v>56156552.188999996</v>
      </c>
      <c r="E42" s="36">
        <f t="shared" si="7"/>
        <v>64563008.525513083</v>
      </c>
      <c r="F42" s="36">
        <f t="shared" si="7"/>
        <v>79471831.778881058</v>
      </c>
      <c r="G42" s="36">
        <f t="shared" si="7"/>
        <v>95961349.097870767</v>
      </c>
      <c r="H42" s="36">
        <f t="shared" si="7"/>
        <v>116264206.09787077</v>
      </c>
      <c r="I42" s="36">
        <f t="shared" si="7"/>
        <v>121121660.09787077</v>
      </c>
      <c r="J42" s="36">
        <f t="shared" si="7"/>
        <v>131907988.09787077</v>
      </c>
      <c r="K42" s="36">
        <f t="shared" si="7"/>
        <v>140315839.09787077</v>
      </c>
      <c r="L42" s="36">
        <f t="shared" si="7"/>
        <v>144200603.09787077</v>
      </c>
      <c r="M42" s="36">
        <f t="shared" si="7"/>
        <v>145415090.09787077</v>
      </c>
      <c r="N42" s="36">
        <f t="shared" si="7"/>
        <v>153000197.09787077</v>
      </c>
      <c r="O42" s="4">
        <f t="shared" si="7"/>
        <v>154125997.09787077</v>
      </c>
      <c r="P42" s="4">
        <f t="shared" si="7"/>
        <v>154805711.09787077</v>
      </c>
      <c r="Q42" s="11"/>
    </row>
    <row r="43" spans="1:19" s="4" customFormat="1" x14ac:dyDescent="0.2">
      <c r="A43" s="17" t="s">
        <v>64</v>
      </c>
      <c r="C43" s="36"/>
      <c r="D43" s="36"/>
      <c r="E43" s="36"/>
      <c r="G43" s="36"/>
      <c r="H43" s="36"/>
      <c r="I43" s="36"/>
      <c r="J43" s="36"/>
      <c r="L43" s="36"/>
      <c r="M43" s="36"/>
      <c r="N43" s="36"/>
      <c r="Q43" s="16">
        <f>+Q41/C59/1000</f>
        <v>350.23916537979812</v>
      </c>
    </row>
    <row r="44" spans="1:19" x14ac:dyDescent="0.2">
      <c r="C44" s="36"/>
      <c r="D44" s="40"/>
      <c r="E44" s="40"/>
      <c r="G44" s="40"/>
      <c r="H44" s="40"/>
      <c r="I44" s="40"/>
      <c r="J44" s="40"/>
      <c r="L44" s="40"/>
      <c r="M44" s="40"/>
      <c r="N44" s="40"/>
      <c r="Q44" s="11"/>
    </row>
    <row r="45" spans="1:19" x14ac:dyDescent="0.2">
      <c r="A45" s="17" t="s">
        <v>39</v>
      </c>
      <c r="C45" s="36">
        <v>0</v>
      </c>
      <c r="D45" s="40"/>
      <c r="E45" s="40"/>
      <c r="G45" s="40"/>
      <c r="H45" s="40"/>
      <c r="I45" s="40">
        <v>0</v>
      </c>
      <c r="J45" s="40"/>
      <c r="L45" s="40"/>
      <c r="M45" s="40"/>
      <c r="N45" s="40"/>
      <c r="Q45" s="22">
        <f>SUM(C45:O45)</f>
        <v>0</v>
      </c>
    </row>
    <row r="46" spans="1:19" s="4" customFormat="1" x14ac:dyDescent="0.2">
      <c r="A46" s="8"/>
      <c r="C46" s="35"/>
      <c r="D46" s="36"/>
      <c r="E46" s="36"/>
      <c r="G46" s="36"/>
      <c r="H46" s="36"/>
      <c r="I46" s="36"/>
      <c r="J46" s="36"/>
      <c r="L46" s="36"/>
      <c r="M46" s="36"/>
      <c r="N46" s="36"/>
      <c r="Q46" s="11"/>
    </row>
    <row r="47" spans="1:19" x14ac:dyDescent="0.2">
      <c r="A47" s="17" t="s">
        <v>69</v>
      </c>
      <c r="C47" s="36">
        <f t="shared" ref="C47:K47" si="8">+C41-C32</f>
        <v>41784045</v>
      </c>
      <c r="D47" s="36">
        <f t="shared" si="8"/>
        <v>13016633.188999999</v>
      </c>
      <c r="E47" s="36">
        <f t="shared" si="8"/>
        <v>8085156.4176249988</v>
      </c>
      <c r="F47" s="36">
        <f t="shared" si="8"/>
        <v>14464905.399750002</v>
      </c>
      <c r="G47" s="36">
        <f t="shared" si="8"/>
        <v>15961461.634125</v>
      </c>
      <c r="H47" s="36">
        <f t="shared" si="8"/>
        <v>20178340</v>
      </c>
      <c r="I47" s="36">
        <f t="shared" si="8"/>
        <v>4132311</v>
      </c>
      <c r="J47" s="36">
        <f t="shared" si="8"/>
        <v>10102202</v>
      </c>
      <c r="K47" s="4">
        <f t="shared" si="8"/>
        <v>9091977</v>
      </c>
      <c r="L47" s="36">
        <f>ROUND(+L41-L32,0)</f>
        <v>4211533</v>
      </c>
      <c r="M47" s="36">
        <f>+M41-M32</f>
        <v>1214487</v>
      </c>
      <c r="N47" s="36">
        <f>+N41-N32</f>
        <v>7585107</v>
      </c>
      <c r="O47" s="4">
        <f>+O41-O32</f>
        <v>1125800</v>
      </c>
      <c r="P47" s="4">
        <f>+P41-P32</f>
        <v>679714</v>
      </c>
      <c r="Q47" s="11">
        <f>SUM(C47:O47)</f>
        <v>150953958.64049998</v>
      </c>
    </row>
    <row r="48" spans="1:19" hidden="1" x14ac:dyDescent="0.2">
      <c r="A48" s="17" t="s">
        <v>82</v>
      </c>
      <c r="C48" s="37">
        <f>43104549+12435707+150775+27457</f>
        <v>55718488</v>
      </c>
      <c r="D48" s="37">
        <f>10781519+937500+315367+11785</f>
        <v>12046171</v>
      </c>
      <c r="E48" s="37">
        <f>32244564+321300+10279</f>
        <v>32576143</v>
      </c>
      <c r="F48" s="37">
        <f>500000+443918+6207</f>
        <v>950125</v>
      </c>
      <c r="G48" s="36">
        <f>IF(+G42-F49-G47&gt;0,G42-F49-G47,250000)</f>
        <v>250000</v>
      </c>
      <c r="H48" s="36">
        <v>0</v>
      </c>
      <c r="I48" s="4">
        <v>0</v>
      </c>
      <c r="J48" s="36">
        <v>0</v>
      </c>
      <c r="K48" s="4">
        <v>0</v>
      </c>
      <c r="L48" s="36"/>
      <c r="M48" s="36"/>
      <c r="N48" s="36"/>
      <c r="O48" s="4"/>
      <c r="P48" s="4"/>
      <c r="Q48" s="11"/>
    </row>
    <row r="49" spans="1:25" hidden="1" x14ac:dyDescent="0.2">
      <c r="A49" s="17" t="s">
        <v>83</v>
      </c>
      <c r="C49" s="36">
        <f>+C48</f>
        <v>55718488</v>
      </c>
      <c r="D49" s="36">
        <f t="shared" ref="D49:K49" si="9">+D48+C49</f>
        <v>67764659</v>
      </c>
      <c r="E49" s="36">
        <f t="shared" si="9"/>
        <v>100340802</v>
      </c>
      <c r="F49" s="36">
        <f t="shared" si="9"/>
        <v>101290927</v>
      </c>
      <c r="G49" s="36">
        <f t="shared" si="9"/>
        <v>101540927</v>
      </c>
      <c r="H49" s="36">
        <v>0</v>
      </c>
      <c r="I49" s="4">
        <f t="shared" si="9"/>
        <v>0</v>
      </c>
      <c r="J49" s="36">
        <f t="shared" si="9"/>
        <v>0</v>
      </c>
      <c r="K49" s="4">
        <f t="shared" si="9"/>
        <v>0</v>
      </c>
      <c r="L49" s="36"/>
      <c r="M49" s="36"/>
      <c r="N49" s="36"/>
      <c r="O49" s="4"/>
      <c r="P49" s="4"/>
      <c r="Q49" s="11"/>
    </row>
    <row r="50" spans="1:25" x14ac:dyDescent="0.2">
      <c r="C50" s="36"/>
      <c r="D50" s="40"/>
      <c r="E50" s="40"/>
      <c r="G50" s="40"/>
      <c r="H50" s="40"/>
      <c r="J50" s="40"/>
      <c r="L50" s="40"/>
      <c r="M50" s="40"/>
      <c r="N50" s="40"/>
      <c r="Q50" s="11"/>
    </row>
    <row r="51" spans="1:25" x14ac:dyDescent="0.2">
      <c r="C51" s="36"/>
      <c r="D51" s="40"/>
      <c r="E51" s="40"/>
      <c r="G51" s="40"/>
      <c r="H51" s="40"/>
      <c r="J51" s="40"/>
      <c r="L51" s="40"/>
      <c r="M51" s="40"/>
      <c r="N51" s="40"/>
      <c r="Q51" s="11"/>
    </row>
    <row r="52" spans="1:25" ht="13.5" thickBot="1" x14ac:dyDescent="0.25">
      <c r="A52" s="4" t="s">
        <v>74</v>
      </c>
      <c r="C52" s="44">
        <f>+C41</f>
        <v>42797095</v>
      </c>
      <c r="D52" s="44">
        <f t="shared" ref="D52:P52" si="10">+D41</f>
        <v>13359457.188999999</v>
      </c>
      <c r="E52" s="44">
        <f t="shared" si="10"/>
        <v>8406456.3365130909</v>
      </c>
      <c r="F52" s="44">
        <f t="shared" si="10"/>
        <v>14908823.253367981</v>
      </c>
      <c r="G52" s="44">
        <f t="shared" si="10"/>
        <v>16489517.318989702</v>
      </c>
      <c r="H52" s="44">
        <f t="shared" si="10"/>
        <v>20302857</v>
      </c>
      <c r="I52" s="44">
        <f t="shared" si="10"/>
        <v>4857454</v>
      </c>
      <c r="J52" s="44">
        <f t="shared" si="10"/>
        <v>10786328</v>
      </c>
      <c r="K52" s="44">
        <f t="shared" si="10"/>
        <v>8407851</v>
      </c>
      <c r="L52" s="44">
        <f t="shared" si="10"/>
        <v>3884764</v>
      </c>
      <c r="M52" s="44">
        <f t="shared" si="10"/>
        <v>1214487</v>
      </c>
      <c r="N52" s="44">
        <f t="shared" si="10"/>
        <v>7585107</v>
      </c>
      <c r="O52" s="44">
        <f t="shared" si="10"/>
        <v>1125800</v>
      </c>
      <c r="P52" s="44">
        <f t="shared" si="10"/>
        <v>679714</v>
      </c>
      <c r="Q52" s="30">
        <f>SUM(C52:P52)</f>
        <v>154805711.09787077</v>
      </c>
      <c r="S52" s="18">
        <f>SUM(S10:S51)</f>
        <v>1.0537441708947881E-2</v>
      </c>
    </row>
    <row r="53" spans="1:25" ht="13.5" thickBot="1" x14ac:dyDescent="0.25">
      <c r="A53" s="4" t="s">
        <v>84</v>
      </c>
      <c r="C53" s="45">
        <f>+C52</f>
        <v>42797095</v>
      </c>
      <c r="D53" s="45">
        <f t="shared" ref="D53:P53" si="11">+D52+C53</f>
        <v>56156552.188999996</v>
      </c>
      <c r="E53" s="45">
        <f t="shared" si="11"/>
        <v>64563008.525513083</v>
      </c>
      <c r="F53" s="45">
        <f t="shared" si="11"/>
        <v>79471831.778881058</v>
      </c>
      <c r="G53" s="45">
        <f t="shared" si="11"/>
        <v>95961349.097870767</v>
      </c>
      <c r="H53" s="45">
        <f t="shared" si="11"/>
        <v>116264206.09787077</v>
      </c>
      <c r="I53" s="45">
        <f t="shared" si="11"/>
        <v>121121660.09787077</v>
      </c>
      <c r="J53" s="45">
        <f t="shared" si="11"/>
        <v>131907988.09787077</v>
      </c>
      <c r="K53" s="32">
        <f t="shared" si="11"/>
        <v>140315839.09787077</v>
      </c>
      <c r="L53" s="45">
        <f t="shared" si="11"/>
        <v>144200603.09787077</v>
      </c>
      <c r="M53" s="45">
        <f t="shared" si="11"/>
        <v>145415090.09787077</v>
      </c>
      <c r="N53" s="45">
        <f t="shared" si="11"/>
        <v>153000197.09787077</v>
      </c>
      <c r="O53" s="32">
        <f t="shared" si="11"/>
        <v>154125997.09787077</v>
      </c>
      <c r="P53" s="32">
        <f t="shared" si="11"/>
        <v>154805711.09787077</v>
      </c>
      <c r="Q53" s="11"/>
    </row>
    <row r="54" spans="1:25" x14ac:dyDescent="0.2">
      <c r="C54" s="36"/>
      <c r="D54" s="40"/>
      <c r="E54" s="40"/>
      <c r="G54" s="40"/>
      <c r="H54" s="40"/>
      <c r="J54" s="40"/>
      <c r="L54" s="40"/>
      <c r="M54" s="40"/>
      <c r="N54" s="40"/>
      <c r="Q54" s="39"/>
    </row>
    <row r="55" spans="1:25" ht="13.5" thickBot="1" x14ac:dyDescent="0.25">
      <c r="A55" s="4" t="s">
        <v>73</v>
      </c>
      <c r="C55" s="44">
        <f t="shared" ref="C55:Q55" si="12">+C52+C45</f>
        <v>42797095</v>
      </c>
      <c r="D55" s="44">
        <f t="shared" si="12"/>
        <v>13359457.188999999</v>
      </c>
      <c r="E55" s="44">
        <f t="shared" si="12"/>
        <v>8406456.3365130909</v>
      </c>
      <c r="F55" s="44">
        <f t="shared" si="12"/>
        <v>14908823.253367981</v>
      </c>
      <c r="G55" s="44">
        <f t="shared" si="12"/>
        <v>16489517.318989702</v>
      </c>
      <c r="H55" s="44">
        <f t="shared" si="12"/>
        <v>20302857</v>
      </c>
      <c r="I55" s="44">
        <f t="shared" si="12"/>
        <v>4857454</v>
      </c>
      <c r="J55" s="44">
        <f t="shared" si="12"/>
        <v>10786328</v>
      </c>
      <c r="K55" s="29">
        <f t="shared" si="12"/>
        <v>8407851</v>
      </c>
      <c r="L55" s="44">
        <f t="shared" si="12"/>
        <v>3884764</v>
      </c>
      <c r="M55" s="44">
        <f t="shared" si="12"/>
        <v>1214487</v>
      </c>
      <c r="N55" s="44">
        <f t="shared" si="12"/>
        <v>7585107</v>
      </c>
      <c r="O55" s="29">
        <f t="shared" si="12"/>
        <v>1125800</v>
      </c>
      <c r="P55" s="29">
        <f t="shared" si="12"/>
        <v>679714</v>
      </c>
      <c r="Q55" s="30">
        <f t="shared" si="12"/>
        <v>154805711.09787077</v>
      </c>
      <c r="R55" s="18">
        <f>+[1]Caledonia!$BE$199</f>
        <v>154805710.9593333</v>
      </c>
      <c r="S55" s="18">
        <f>+R55-Q55</f>
        <v>-0.13853746652603149</v>
      </c>
    </row>
    <row r="56" spans="1:25" x14ac:dyDescent="0.2">
      <c r="G56" s="40"/>
      <c r="J56" s="40"/>
      <c r="L56" s="40"/>
      <c r="M56" s="40"/>
      <c r="N56" s="40"/>
      <c r="Q56"/>
    </row>
    <row r="57" spans="1:25" s="4" customFormat="1" x14ac:dyDescent="0.2">
      <c r="A57" s="8" t="s">
        <v>86</v>
      </c>
      <c r="C57" s="35">
        <v>0.1</v>
      </c>
      <c r="D57" s="46">
        <v>6.3675000000000009E-2</v>
      </c>
      <c r="E57" s="46">
        <v>5.68969E-2</v>
      </c>
      <c r="F57" s="46">
        <v>5.6881300000000003E-2</v>
      </c>
      <c r="G57" s="46">
        <v>5.6871900000000003E-2</v>
      </c>
      <c r="H57" s="12">
        <v>6.5000000000000002E-2</v>
      </c>
      <c r="I57" s="12">
        <v>6.5000000000000002E-2</v>
      </c>
      <c r="J57" s="12">
        <v>6.5000000000000002E-2</v>
      </c>
      <c r="K57" s="12">
        <v>6.5000000000000002E-2</v>
      </c>
      <c r="L57" s="12">
        <v>6.5000000000000002E-2</v>
      </c>
      <c r="M57" s="12">
        <v>6.5000000000000002E-2</v>
      </c>
      <c r="N57" s="12">
        <v>6.5000000000000002E-2</v>
      </c>
      <c r="O57" s="12">
        <v>6.5000000000000002E-2</v>
      </c>
      <c r="P57" s="12">
        <v>6.5000000000000002E-2</v>
      </c>
      <c r="Q57" s="38"/>
    </row>
    <row r="58" spans="1:25" s="4" customFormat="1" x14ac:dyDescent="0.2">
      <c r="A58" s="33" t="s">
        <v>123</v>
      </c>
      <c r="C58" s="46">
        <v>1.5E-3</v>
      </c>
      <c r="D58" s="73"/>
      <c r="E58" s="9"/>
      <c r="F58" s="9"/>
      <c r="G58" s="9"/>
      <c r="H58" s="9"/>
      <c r="I58" s="9"/>
      <c r="J58" s="9"/>
      <c r="Q58" s="38"/>
    </row>
    <row r="59" spans="1:25" s="4" customFormat="1" x14ac:dyDescent="0.2">
      <c r="A59" s="8"/>
      <c r="C59" s="4">
        <v>442</v>
      </c>
      <c r="D59" s="4" t="s">
        <v>66</v>
      </c>
      <c r="Q59"/>
    </row>
    <row r="61" spans="1:25" x14ac:dyDescent="0.2">
      <c r="C61" s="36" t="s">
        <v>89</v>
      </c>
      <c r="D61" s="17" t="s">
        <v>90</v>
      </c>
    </row>
    <row r="62" spans="1:25" x14ac:dyDescent="0.2">
      <c r="C62" s="37"/>
      <c r="D62" s="17" t="str">
        <f>+Brownsville!D62</f>
        <v>Input from WestLB statements for each month's actuals (1/99 - 5/99)</v>
      </c>
    </row>
    <row r="64" spans="1:25" s="6" customFormat="1" x14ac:dyDescent="0.2">
      <c r="A64" s="66"/>
      <c r="B64" s="67"/>
      <c r="C64" s="68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69"/>
      <c r="Q64" s="69"/>
      <c r="R64" s="67"/>
      <c r="S64" s="67"/>
      <c r="T64" s="67"/>
      <c r="U64" s="67"/>
      <c r="V64" s="67"/>
      <c r="W64" s="67"/>
      <c r="X64" s="67"/>
      <c r="Y64" s="67"/>
    </row>
    <row r="65" spans="1:25" s="6" customFormat="1" x14ac:dyDescent="0.2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</row>
    <row r="66" spans="1:25" ht="19.5" x14ac:dyDescent="0.55000000000000004">
      <c r="A66" s="70"/>
      <c r="B66" s="20"/>
      <c r="C66" s="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9"/>
      <c r="R66" s="20"/>
      <c r="S66" s="20"/>
      <c r="T66" s="20"/>
      <c r="U66" s="20"/>
      <c r="V66" s="20"/>
      <c r="W66" s="20"/>
      <c r="X66" s="20"/>
      <c r="Y66" s="20"/>
    </row>
    <row r="67" spans="1:25" x14ac:dyDescent="0.2">
      <c r="A67" s="66"/>
      <c r="B67" s="20"/>
      <c r="C67" s="43"/>
      <c r="D67" s="42"/>
      <c r="E67" s="4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9"/>
      <c r="R67" s="20"/>
      <c r="S67" s="20"/>
      <c r="T67" s="20"/>
      <c r="U67" s="20"/>
      <c r="V67" s="20"/>
      <c r="W67" s="20"/>
      <c r="X67" s="20"/>
      <c r="Y67" s="20"/>
    </row>
    <row r="68" spans="1:25" x14ac:dyDescent="0.2">
      <c r="A68" s="71"/>
      <c r="B68" s="20"/>
      <c r="C68" s="43"/>
      <c r="D68" s="42"/>
      <c r="E68" s="42"/>
      <c r="F68" s="20"/>
      <c r="G68" s="20"/>
      <c r="H68" s="20"/>
      <c r="I68" s="20"/>
      <c r="J68" s="20"/>
      <c r="K68" s="20"/>
      <c r="L68" s="28"/>
      <c r="M68" s="28"/>
      <c r="N68" s="28"/>
      <c r="O68" s="28"/>
      <c r="P68" s="28"/>
      <c r="Q68" s="9"/>
      <c r="R68" s="20"/>
      <c r="S68" s="20"/>
      <c r="T68" s="20"/>
      <c r="U68" s="20"/>
      <c r="V68" s="20"/>
      <c r="W68" s="20"/>
      <c r="X68" s="20"/>
      <c r="Y68" s="20"/>
    </row>
    <row r="69" spans="1:25" x14ac:dyDescent="0.2">
      <c r="A69" s="71"/>
      <c r="B69" s="20"/>
      <c r="C69" s="43"/>
      <c r="D69" s="42"/>
      <c r="E69" s="4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9"/>
      <c r="R69" s="20"/>
      <c r="S69" s="20"/>
      <c r="T69" s="20"/>
      <c r="U69" s="20"/>
      <c r="V69" s="20"/>
      <c r="W69" s="20"/>
      <c r="X69" s="20"/>
      <c r="Y69" s="20"/>
    </row>
    <row r="70" spans="1:25" x14ac:dyDescent="0.2">
      <c r="A70" s="20"/>
      <c r="B70" s="20"/>
      <c r="C70" s="43"/>
      <c r="D70" s="42"/>
      <c r="E70" s="4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9"/>
      <c r="R70" s="20"/>
      <c r="S70" s="20"/>
      <c r="T70" s="20"/>
      <c r="U70" s="20"/>
      <c r="V70" s="20"/>
      <c r="W70" s="20"/>
      <c r="X70" s="20"/>
      <c r="Y70" s="20"/>
    </row>
    <row r="71" spans="1:25" x14ac:dyDescent="0.2">
      <c r="A71" s="9"/>
      <c r="B71" s="20"/>
      <c r="C71" s="43"/>
      <c r="D71" s="43"/>
      <c r="E71" s="4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20"/>
      <c r="S71" s="20"/>
      <c r="T71" s="20"/>
      <c r="U71" s="20"/>
      <c r="V71" s="20"/>
      <c r="W71" s="20"/>
      <c r="X71" s="20"/>
      <c r="Y71" s="20"/>
    </row>
    <row r="72" spans="1:25" x14ac:dyDescent="0.2">
      <c r="A72" s="20"/>
      <c r="B72" s="20"/>
      <c r="C72" s="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72"/>
      <c r="R72" s="20"/>
      <c r="S72" s="20"/>
      <c r="T72" s="20"/>
      <c r="U72" s="20"/>
      <c r="V72" s="20"/>
      <c r="W72" s="20"/>
      <c r="X72" s="20"/>
      <c r="Y72" s="20"/>
    </row>
  </sheetData>
  <mergeCells count="2">
    <mergeCell ref="D5:O5"/>
    <mergeCell ref="D64:O64"/>
  </mergeCells>
  <printOptions horizontalCentered="1"/>
  <pageMargins left="0.25" right="0.25" top="0.25" bottom="0.25" header="0.25" footer="0.5"/>
  <pageSetup scale="50" orientation="landscape" cellComments="asDisplayed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2"/>
  <sheetViews>
    <sheetView workbookViewId="0">
      <pane xSplit="2" ySplit="6" topLeftCell="O28" activePane="bottomRight" state="frozen"/>
      <selection activeCell="D3" sqref="D3"/>
      <selection pane="topRight" activeCell="D3" sqref="D3"/>
      <selection pane="bottomLeft" activeCell="D3" sqref="D3"/>
      <selection pane="bottomRight" activeCell="R56" sqref="R56"/>
    </sheetView>
  </sheetViews>
  <sheetFormatPr defaultRowHeight="12.75" x14ac:dyDescent="0.2"/>
  <cols>
    <col min="1" max="1" width="47.5703125" style="18" bestFit="1" customWidth="1"/>
    <col min="2" max="2" width="1.7109375" style="18" customWidth="1"/>
    <col min="3" max="3" width="13.140625" style="4" customWidth="1"/>
    <col min="4" max="4" width="15" style="18" customWidth="1"/>
    <col min="5" max="5" width="14.28515625" style="18" customWidth="1"/>
    <col min="6" max="7" width="12.28515625" style="18" customWidth="1"/>
    <col min="8" max="8" width="13.42578125" style="18" customWidth="1"/>
    <col min="9" max="9" width="13.5703125" style="18" customWidth="1"/>
    <col min="10" max="10" width="14.28515625" style="18" customWidth="1"/>
    <col min="11" max="11" width="14.85546875" style="18" customWidth="1"/>
    <col min="12" max="14" width="14.140625" style="18" customWidth="1"/>
    <col min="15" max="15" width="13.7109375" style="18" customWidth="1"/>
    <col min="16" max="16" width="15.28515625" style="18" customWidth="1"/>
    <col min="17" max="17" width="14.42578125" style="4" customWidth="1"/>
    <col min="18" max="18" width="12.28515625" style="18" bestFit="1" customWidth="1"/>
    <col min="19" max="19" width="13.7109375" style="18" customWidth="1"/>
    <col min="20" max="16384" width="9.140625" style="18"/>
  </cols>
  <sheetData>
    <row r="1" spans="1:19" s="2" customFormat="1" ht="15.75" x14ac:dyDescent="0.25">
      <c r="A1" s="1" t="s">
        <v>0</v>
      </c>
    </row>
    <row r="2" spans="1:19" s="2" customFormat="1" ht="15.75" x14ac:dyDescent="0.25">
      <c r="A2" s="1" t="s">
        <v>1</v>
      </c>
      <c r="D2" s="1" t="str">
        <f>+Brownsville!D2</f>
        <v>Last updated:  Actuals through January 7, 2000</v>
      </c>
      <c r="Q2" s="25" t="str">
        <f ca="1">CELL("filename")</f>
        <v>C:\Users\Felienne\Enron\EnronSpreadsheets\[benjamin_rogers__1154__TVADraw011100.xls]Brownsville</v>
      </c>
    </row>
    <row r="3" spans="1:19" s="2" customFormat="1" ht="15.75" x14ac:dyDescent="0.25">
      <c r="A3" s="1" t="s">
        <v>76</v>
      </c>
      <c r="D3" s="26"/>
      <c r="F3" s="3"/>
      <c r="Q3" s="24">
        <f ca="1">NOW()</f>
        <v>41885.555205208337</v>
      </c>
    </row>
    <row r="4" spans="1:19" ht="15" x14ac:dyDescent="0.2">
      <c r="C4" s="12"/>
      <c r="D4" s="27"/>
    </row>
    <row r="5" spans="1:19" s="6" customFormat="1" x14ac:dyDescent="0.2">
      <c r="A5" s="5"/>
      <c r="C5" s="7">
        <v>1998</v>
      </c>
      <c r="D5" s="31"/>
      <c r="E5" s="31"/>
      <c r="F5" s="31"/>
      <c r="G5" s="31"/>
      <c r="H5" s="31"/>
      <c r="I5" s="31" t="s">
        <v>3</v>
      </c>
      <c r="J5" s="31"/>
      <c r="K5" s="31"/>
      <c r="L5" s="31"/>
      <c r="M5" s="31"/>
      <c r="N5" s="31"/>
      <c r="O5" s="31"/>
      <c r="P5" s="31"/>
      <c r="Q5" s="31"/>
    </row>
    <row r="6" spans="1:19" s="6" customFormat="1" x14ac:dyDescent="0.2">
      <c r="C6" s="6" t="s">
        <v>5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75" t="s">
        <v>126</v>
      </c>
      <c r="Q6" s="14" t="s">
        <v>5</v>
      </c>
    </row>
    <row r="7" spans="1:19" s="6" customFormat="1" ht="19.5" x14ac:dyDescent="0.55000000000000004">
      <c r="A7" s="34" t="s">
        <v>125</v>
      </c>
      <c r="H7" s="62"/>
      <c r="Q7" s="10"/>
    </row>
    <row r="8" spans="1:19" s="6" customFormat="1" x14ac:dyDescent="0.2">
      <c r="A8" s="5" t="s">
        <v>91</v>
      </c>
      <c r="H8" s="62"/>
      <c r="N8" s="62"/>
      <c r="Q8" s="10"/>
    </row>
    <row r="9" spans="1:19" s="6" customFormat="1" x14ac:dyDescent="0.2">
      <c r="A9" s="5" t="s">
        <v>61</v>
      </c>
      <c r="H9" s="62"/>
      <c r="N9" s="62"/>
      <c r="Q9" s="10"/>
    </row>
    <row r="10" spans="1:19" x14ac:dyDescent="0.2">
      <c r="A10" s="17" t="s">
        <v>88</v>
      </c>
      <c r="C10" s="36">
        <f>52751407</f>
        <v>52751407</v>
      </c>
      <c r="D10" s="40">
        <v>13627541</v>
      </c>
      <c r="E10" s="40">
        <f>-700000-200500-100000</f>
        <v>-1000500</v>
      </c>
      <c r="F10" s="40">
        <f>946610+268110.4</f>
        <v>1214720.3999999999</v>
      </c>
      <c r="G10" s="40">
        <v>5942931</v>
      </c>
      <c r="H10" s="40">
        <v>5639430</v>
      </c>
      <c r="I10" s="40">
        <v>518483</v>
      </c>
      <c r="J10" s="40">
        <v>761820</v>
      </c>
      <c r="K10" s="40">
        <v>807720</v>
      </c>
      <c r="L10" s="40">
        <v>295000</v>
      </c>
      <c r="M10" s="40">
        <v>115737</v>
      </c>
      <c r="N10" s="40">
        <f>56819+1500000</f>
        <v>1556819</v>
      </c>
      <c r="O10" s="8">
        <v>0</v>
      </c>
      <c r="P10" s="8">
        <f>2023482-1500000</f>
        <v>523482</v>
      </c>
      <c r="Q10" s="11">
        <f>SUM(C10:P10)</f>
        <v>82754590.400000006</v>
      </c>
      <c r="R10" s="18">
        <f>+[1]NewAlbany!BE25</f>
        <v>82754588.730000004</v>
      </c>
      <c r="S10" s="18">
        <f t="shared" ref="S10:S27" si="0">+R10-Q10</f>
        <v>-1.6700000017881393</v>
      </c>
    </row>
    <row r="11" spans="1:19" x14ac:dyDescent="0.2">
      <c r="A11" s="17" t="s">
        <v>22</v>
      </c>
      <c r="C11" s="36">
        <v>7430171</v>
      </c>
      <c r="D11" s="40">
        <v>3111381</v>
      </c>
      <c r="E11" s="40">
        <v>0</v>
      </c>
      <c r="F11" s="40">
        <v>-5415746</v>
      </c>
      <c r="G11" s="40">
        <v>248257</v>
      </c>
      <c r="H11" s="40">
        <v>1334950</v>
      </c>
      <c r="I11" s="40">
        <v>92004</v>
      </c>
      <c r="J11" s="40">
        <v>13613</v>
      </c>
      <c r="K11" s="40">
        <v>20000</v>
      </c>
      <c r="L11" s="40">
        <v>1036626</v>
      </c>
      <c r="M11" s="40">
        <v>20000</v>
      </c>
      <c r="N11" s="40">
        <v>0</v>
      </c>
      <c r="O11" s="18">
        <v>0</v>
      </c>
      <c r="P11" s="18">
        <v>0</v>
      </c>
      <c r="Q11" s="11">
        <f t="shared" ref="Q11:Q27" si="1">SUM(C11:P11)</f>
        <v>7891256</v>
      </c>
      <c r="R11" s="18">
        <f>+[1]NewAlbany!BE27</f>
        <v>7891256.5300000003</v>
      </c>
      <c r="S11" s="18">
        <f t="shared" si="0"/>
        <v>0.53000000026077032</v>
      </c>
    </row>
    <row r="12" spans="1:19" x14ac:dyDescent="0.2">
      <c r="A12" s="17" t="s">
        <v>19</v>
      </c>
      <c r="C12" s="36">
        <f>9471199-7430171</f>
        <v>2041028</v>
      </c>
      <c r="D12" s="40">
        <v>985050</v>
      </c>
      <c r="E12" s="40">
        <v>293815</v>
      </c>
      <c r="F12" s="40">
        <f>1230000+587629</f>
        <v>1817629</v>
      </c>
      <c r="G12" s="40">
        <f>168550+615000</f>
        <v>783550</v>
      </c>
      <c r="H12" s="40">
        <v>3531431</v>
      </c>
      <c r="I12" s="40">
        <v>853259</v>
      </c>
      <c r="J12" s="40">
        <v>300000</v>
      </c>
      <c r="K12" s="40">
        <v>6600</v>
      </c>
      <c r="L12" s="40">
        <v>724514</v>
      </c>
      <c r="M12" s="40">
        <v>0</v>
      </c>
      <c r="N12" s="40">
        <v>0</v>
      </c>
      <c r="O12" s="18">
        <v>0</v>
      </c>
      <c r="P12" s="18">
        <v>0</v>
      </c>
      <c r="Q12" s="11">
        <f t="shared" si="1"/>
        <v>11336876</v>
      </c>
      <c r="R12" s="18">
        <f>+[1]NewAlbany!BE41</f>
        <v>11336875.91</v>
      </c>
      <c r="S12" s="18">
        <f t="shared" si="0"/>
        <v>-8.9999999850988388E-2</v>
      </c>
    </row>
    <row r="13" spans="1:19" x14ac:dyDescent="0.2">
      <c r="A13" s="17" t="s">
        <v>20</v>
      </c>
      <c r="C13" s="36">
        <v>134978</v>
      </c>
      <c r="D13" s="40">
        <v>36683</v>
      </c>
      <c r="E13" s="40">
        <v>0</v>
      </c>
      <c r="F13" s="8">
        <v>0</v>
      </c>
      <c r="G13" s="40">
        <v>15908</v>
      </c>
      <c r="H13" s="40">
        <v>0</v>
      </c>
      <c r="I13" s="40">
        <v>541378</v>
      </c>
      <c r="J13" s="40">
        <v>174321</v>
      </c>
      <c r="K13" s="40">
        <f>66961</f>
        <v>66961</v>
      </c>
      <c r="L13" s="40">
        <v>0</v>
      </c>
      <c r="M13" s="40">
        <v>107095</v>
      </c>
      <c r="N13" s="40">
        <v>8577</v>
      </c>
      <c r="O13" s="18">
        <v>51445</v>
      </c>
      <c r="P13" s="18">
        <v>62332</v>
      </c>
      <c r="Q13" s="11">
        <f t="shared" si="1"/>
        <v>1199678</v>
      </c>
      <c r="R13" s="18">
        <f>+[1]NewAlbany!BE51</f>
        <v>1199679</v>
      </c>
      <c r="S13" s="18">
        <f t="shared" si="0"/>
        <v>1</v>
      </c>
    </row>
    <row r="14" spans="1:19" x14ac:dyDescent="0.2">
      <c r="A14" s="17" t="s">
        <v>21</v>
      </c>
      <c r="C14" s="36">
        <v>270744</v>
      </c>
      <c r="D14" s="40">
        <v>392941</v>
      </c>
      <c r="E14" s="40">
        <v>674363</v>
      </c>
      <c r="F14" s="40">
        <v>1756963</v>
      </c>
      <c r="G14" s="40">
        <v>0</v>
      </c>
      <c r="H14" s="40">
        <v>4390660</v>
      </c>
      <c r="I14" s="40">
        <v>4408350</v>
      </c>
      <c r="J14" s="40">
        <v>7502651</v>
      </c>
      <c r="K14" s="40">
        <v>5239722</v>
      </c>
      <c r="L14" s="40">
        <v>3901236</v>
      </c>
      <c r="M14" s="40">
        <v>1735395</v>
      </c>
      <c r="N14" s="40">
        <v>1149530</v>
      </c>
      <c r="O14" s="18">
        <v>2109089</v>
      </c>
      <c r="P14" s="18">
        <v>0</v>
      </c>
      <c r="Q14" s="11">
        <f t="shared" si="1"/>
        <v>33531644</v>
      </c>
      <c r="R14" s="18">
        <f>+[1]NewAlbany!BE141</f>
        <v>33531645.170000002</v>
      </c>
      <c r="S14" s="18">
        <f t="shared" si="0"/>
        <v>1.1700000017881393</v>
      </c>
    </row>
    <row r="15" spans="1:19" x14ac:dyDescent="0.2">
      <c r="A15" s="17" t="s">
        <v>42</v>
      </c>
      <c r="C15" s="36">
        <v>6111</v>
      </c>
      <c r="D15" s="40">
        <v>11487</v>
      </c>
      <c r="E15" s="40">
        <v>0</v>
      </c>
      <c r="F15" s="8">
        <v>0</v>
      </c>
      <c r="G15" s="40">
        <v>91858</v>
      </c>
      <c r="H15" s="40">
        <v>166373</v>
      </c>
      <c r="I15" s="40">
        <v>242196</v>
      </c>
      <c r="J15" s="40">
        <v>108546</v>
      </c>
      <c r="K15" s="40">
        <v>112784</v>
      </c>
      <c r="L15" s="40">
        <v>37105</v>
      </c>
      <c r="M15" s="40">
        <v>7825</v>
      </c>
      <c r="N15" s="40">
        <v>2323</v>
      </c>
      <c r="O15" s="18">
        <v>0</v>
      </c>
      <c r="P15" s="18">
        <v>0</v>
      </c>
      <c r="Q15" s="11">
        <f t="shared" si="1"/>
        <v>786608</v>
      </c>
      <c r="R15" s="18">
        <f>+[1]NewAlbany!BE147</f>
        <v>786608.59</v>
      </c>
      <c r="S15" s="18">
        <f t="shared" si="0"/>
        <v>0.58999999996740371</v>
      </c>
    </row>
    <row r="16" spans="1:19" x14ac:dyDescent="0.2">
      <c r="A16" s="17" t="s">
        <v>92</v>
      </c>
      <c r="C16" s="36">
        <v>0</v>
      </c>
      <c r="D16" s="40">
        <v>0</v>
      </c>
      <c r="E16" s="40">
        <v>0</v>
      </c>
      <c r="F16" s="8">
        <v>0</v>
      </c>
      <c r="G16" s="40">
        <v>0</v>
      </c>
      <c r="H16" s="40">
        <v>0</v>
      </c>
      <c r="I16" s="18">
        <v>0</v>
      </c>
      <c r="J16" s="40">
        <v>0</v>
      </c>
      <c r="K16" s="40">
        <v>39923</v>
      </c>
      <c r="L16" s="40">
        <v>689524</v>
      </c>
      <c r="M16" s="40">
        <v>18842</v>
      </c>
      <c r="N16" s="40">
        <v>0</v>
      </c>
      <c r="O16" s="18">
        <v>0</v>
      </c>
      <c r="P16" s="18">
        <v>64762</v>
      </c>
      <c r="Q16" s="11">
        <f t="shared" si="1"/>
        <v>813051</v>
      </c>
      <c r="R16" s="18">
        <f>+[1]NewAlbany!BE149</f>
        <v>813050</v>
      </c>
      <c r="S16" s="18">
        <f t="shared" si="0"/>
        <v>-1</v>
      </c>
    </row>
    <row r="17" spans="1:19" x14ac:dyDescent="0.2">
      <c r="A17" s="17" t="s">
        <v>23</v>
      </c>
      <c r="C17" s="36">
        <v>169276</v>
      </c>
      <c r="D17" s="40">
        <v>0</v>
      </c>
      <c r="E17" s="40">
        <v>0</v>
      </c>
      <c r="F17" s="8">
        <v>0</v>
      </c>
      <c r="G17" s="40">
        <v>0</v>
      </c>
      <c r="H17" s="40">
        <v>3333</v>
      </c>
      <c r="I17" s="17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18">
        <v>0</v>
      </c>
      <c r="P17" s="18">
        <v>0</v>
      </c>
      <c r="Q17" s="11">
        <f t="shared" si="1"/>
        <v>172609</v>
      </c>
      <c r="R17" s="18">
        <f>+[1]NewAlbany!BE153</f>
        <v>172609.34</v>
      </c>
      <c r="S17" s="18">
        <f t="shared" si="0"/>
        <v>0.33999999999650754</v>
      </c>
    </row>
    <row r="18" spans="1:19" x14ac:dyDescent="0.2">
      <c r="A18" s="17" t="s">
        <v>24</v>
      </c>
      <c r="C18" s="36">
        <v>209531</v>
      </c>
      <c r="D18" s="40">
        <v>205</v>
      </c>
      <c r="E18" s="40">
        <v>12317</v>
      </c>
      <c r="F18" s="8">
        <v>0</v>
      </c>
      <c r="G18" s="40">
        <v>0</v>
      </c>
      <c r="H18" s="40">
        <v>11450</v>
      </c>
      <c r="I18" s="17"/>
      <c r="J18" s="40">
        <v>14830</v>
      </c>
      <c r="K18" s="40">
        <v>130</v>
      </c>
      <c r="L18" s="40">
        <v>0</v>
      </c>
      <c r="M18" s="40">
        <v>106440</v>
      </c>
      <c r="N18" s="40">
        <v>0</v>
      </c>
      <c r="O18" s="18">
        <v>0</v>
      </c>
      <c r="P18" s="18">
        <v>0</v>
      </c>
      <c r="Q18" s="11">
        <f t="shared" si="1"/>
        <v>354903</v>
      </c>
      <c r="R18" s="18">
        <f>+[1]NewAlbany!BE157</f>
        <v>354903.46</v>
      </c>
      <c r="S18" s="18">
        <f t="shared" si="0"/>
        <v>0.46000000002095476</v>
      </c>
    </row>
    <row r="19" spans="1:19" x14ac:dyDescent="0.2">
      <c r="A19" s="17" t="s">
        <v>25</v>
      </c>
      <c r="C19" s="36">
        <v>0</v>
      </c>
      <c r="D19" s="40">
        <v>0</v>
      </c>
      <c r="E19" s="40">
        <v>0</v>
      </c>
      <c r="F19" s="8">
        <v>0</v>
      </c>
      <c r="G19" s="40">
        <v>0</v>
      </c>
      <c r="H19" s="40">
        <v>0</v>
      </c>
      <c r="I19" s="18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18">
        <v>0</v>
      </c>
      <c r="P19" s="18">
        <v>0</v>
      </c>
      <c r="Q19" s="11">
        <f t="shared" si="1"/>
        <v>0</v>
      </c>
      <c r="R19" s="18">
        <f>+[1]NewAlbany!BE159</f>
        <v>0</v>
      </c>
      <c r="S19" s="18">
        <f t="shared" si="0"/>
        <v>0</v>
      </c>
    </row>
    <row r="20" spans="1:19" x14ac:dyDescent="0.2">
      <c r="A20" s="17" t="s">
        <v>26</v>
      </c>
      <c r="C20" s="36">
        <v>0</v>
      </c>
      <c r="D20" s="40">
        <v>71060</v>
      </c>
      <c r="E20" s="40">
        <v>0</v>
      </c>
      <c r="F20" s="8">
        <v>0</v>
      </c>
      <c r="G20" s="40">
        <v>719016</v>
      </c>
      <c r="H20" s="40">
        <v>0</v>
      </c>
      <c r="I20" s="40">
        <v>644133</v>
      </c>
      <c r="J20" s="40">
        <v>169598</v>
      </c>
      <c r="K20" s="40">
        <v>185299</v>
      </c>
      <c r="L20" s="40">
        <v>72188</v>
      </c>
      <c r="M20" s="40">
        <v>12905</v>
      </c>
      <c r="N20" s="40">
        <v>156684</v>
      </c>
      <c r="O20" s="18">
        <v>5257</v>
      </c>
      <c r="P20" s="18">
        <v>114666</v>
      </c>
      <c r="Q20" s="11">
        <f t="shared" si="1"/>
        <v>2150806</v>
      </c>
      <c r="R20" s="18">
        <f>+[1]NewAlbany!BE166</f>
        <v>2150806.6639999999</v>
      </c>
      <c r="S20" s="18">
        <f t="shared" si="0"/>
        <v>0.66399999987334013</v>
      </c>
    </row>
    <row r="21" spans="1:19" x14ac:dyDescent="0.2">
      <c r="A21" s="17" t="s">
        <v>27</v>
      </c>
      <c r="C21" s="36">
        <v>0</v>
      </c>
      <c r="D21" s="40">
        <v>0</v>
      </c>
      <c r="E21" s="40">
        <v>0</v>
      </c>
      <c r="F21" s="8">
        <v>0</v>
      </c>
      <c r="G21" s="40">
        <v>50000</v>
      </c>
      <c r="H21" s="40">
        <v>54684</v>
      </c>
      <c r="I21" s="40">
        <v>131581</v>
      </c>
      <c r="J21" s="40">
        <v>138751</v>
      </c>
      <c r="K21" s="40">
        <v>0</v>
      </c>
      <c r="L21" s="40">
        <v>0</v>
      </c>
      <c r="M21" s="40">
        <v>0</v>
      </c>
      <c r="N21" s="40">
        <v>0</v>
      </c>
      <c r="O21" s="18">
        <v>0</v>
      </c>
      <c r="P21" s="18">
        <v>0</v>
      </c>
      <c r="Q21" s="11">
        <f t="shared" si="1"/>
        <v>375016</v>
      </c>
      <c r="R21" s="18">
        <f>+[1]NewAlbany!BE217</f>
        <v>375015.74</v>
      </c>
      <c r="S21" s="18">
        <f>+R21-Q21</f>
        <v>-0.26000000000931323</v>
      </c>
    </row>
    <row r="22" spans="1:19" x14ac:dyDescent="0.2">
      <c r="A22" s="17" t="s">
        <v>28</v>
      </c>
      <c r="C22" s="36">
        <v>162185.68</v>
      </c>
      <c r="D22" s="40">
        <v>64952</v>
      </c>
      <c r="E22" s="40">
        <v>4730</v>
      </c>
      <c r="F22" s="8">
        <v>0</v>
      </c>
      <c r="G22" s="40">
        <v>0</v>
      </c>
      <c r="H22" s="40">
        <v>0</v>
      </c>
      <c r="I22" s="18">
        <v>0</v>
      </c>
      <c r="J22" s="40">
        <v>85968</v>
      </c>
      <c r="K22" s="40">
        <v>0</v>
      </c>
      <c r="L22" s="40">
        <v>0</v>
      </c>
      <c r="M22" s="40">
        <v>0</v>
      </c>
      <c r="N22" s="40">
        <v>0</v>
      </c>
      <c r="O22" s="18">
        <v>0</v>
      </c>
      <c r="P22" s="18">
        <v>-217836</v>
      </c>
      <c r="Q22" s="11">
        <f t="shared" si="1"/>
        <v>99999.679999999993</v>
      </c>
      <c r="R22" s="18">
        <f>+[1]NewAlbany!BE168</f>
        <v>100000</v>
      </c>
      <c r="S22" s="18">
        <f t="shared" si="0"/>
        <v>0.32000000000698492</v>
      </c>
    </row>
    <row r="23" spans="1:19" x14ac:dyDescent="0.2">
      <c r="A23" s="17" t="s">
        <v>48</v>
      </c>
      <c r="C23" s="36">
        <v>63535</v>
      </c>
      <c r="D23" s="40">
        <v>0</v>
      </c>
      <c r="E23" s="40">
        <v>0</v>
      </c>
      <c r="F23" s="8">
        <v>0</v>
      </c>
      <c r="G23" s="40">
        <v>-826</v>
      </c>
      <c r="H23" s="40">
        <v>0</v>
      </c>
      <c r="I23" s="18">
        <v>0</v>
      </c>
      <c r="J23" s="17">
        <v>0</v>
      </c>
      <c r="K23" s="40">
        <v>0</v>
      </c>
      <c r="L23" s="40">
        <v>0</v>
      </c>
      <c r="M23" s="40">
        <v>0</v>
      </c>
      <c r="N23" s="40">
        <v>0</v>
      </c>
      <c r="O23" s="18">
        <v>0</v>
      </c>
      <c r="P23" s="18">
        <v>0</v>
      </c>
      <c r="Q23" s="11">
        <f t="shared" si="1"/>
        <v>62709</v>
      </c>
      <c r="R23" s="18">
        <f>+[1]NewAlbany!BE191</f>
        <v>62709.15</v>
      </c>
      <c r="S23" s="18">
        <f t="shared" si="0"/>
        <v>0.15000000000145519</v>
      </c>
    </row>
    <row r="24" spans="1:19" x14ac:dyDescent="0.2">
      <c r="A24" s="17" t="s">
        <v>29</v>
      </c>
      <c r="C24" s="36">
        <v>0</v>
      </c>
      <c r="D24" s="40">
        <v>0</v>
      </c>
      <c r="E24" s="40">
        <v>0</v>
      </c>
      <c r="F24" s="40">
        <v>201497</v>
      </c>
      <c r="G24" s="40">
        <v>0</v>
      </c>
      <c r="H24" s="40">
        <v>22112</v>
      </c>
      <c r="I24" s="18">
        <v>0</v>
      </c>
      <c r="J24" s="18">
        <v>0</v>
      </c>
      <c r="K24" s="40">
        <v>0</v>
      </c>
      <c r="L24" s="40">
        <v>67030</v>
      </c>
      <c r="M24" s="40">
        <v>0</v>
      </c>
      <c r="N24" s="40">
        <v>0</v>
      </c>
      <c r="O24" s="18">
        <v>0</v>
      </c>
      <c r="P24" s="18">
        <v>35888</v>
      </c>
      <c r="Q24" s="11">
        <f t="shared" si="1"/>
        <v>326527</v>
      </c>
      <c r="R24" s="18">
        <f>+[1]NewAlbany!BE170</f>
        <v>326527</v>
      </c>
      <c r="S24" s="18">
        <f t="shared" si="0"/>
        <v>0</v>
      </c>
    </row>
    <row r="25" spans="1:19" x14ac:dyDescent="0.2">
      <c r="A25" s="17" t="s">
        <v>30</v>
      </c>
      <c r="C25" s="36">
        <v>0</v>
      </c>
      <c r="D25" s="40">
        <v>0</v>
      </c>
      <c r="E25" s="40">
        <v>11127</v>
      </c>
      <c r="F25" s="8">
        <v>0</v>
      </c>
      <c r="G25" s="40">
        <v>3775</v>
      </c>
      <c r="H25" s="40">
        <v>29108</v>
      </c>
      <c r="I25" s="40">
        <f>13553+1</f>
        <v>13554</v>
      </c>
      <c r="J25" s="40">
        <f>6061-1</f>
        <v>6060</v>
      </c>
      <c r="K25" s="40">
        <v>0</v>
      </c>
      <c r="L25" s="40">
        <v>0</v>
      </c>
      <c r="M25" s="40">
        <v>0</v>
      </c>
      <c r="N25" s="40">
        <v>0</v>
      </c>
      <c r="O25" s="18">
        <v>0</v>
      </c>
      <c r="P25" s="18">
        <v>0</v>
      </c>
      <c r="Q25" s="11">
        <f t="shared" si="1"/>
        <v>63624</v>
      </c>
      <c r="R25" s="18">
        <f>+[1]NewAlbany!BE172</f>
        <v>63623.9</v>
      </c>
      <c r="S25" s="18">
        <f t="shared" si="0"/>
        <v>-9.9999999998544808E-2</v>
      </c>
    </row>
    <row r="26" spans="1:19" x14ac:dyDescent="0.2">
      <c r="A26" s="17" t="s">
        <v>32</v>
      </c>
      <c r="C26" s="36">
        <v>186836</v>
      </c>
      <c r="D26" s="40">
        <v>29347</v>
      </c>
      <c r="E26" s="40">
        <f>3334+1465-1</f>
        <v>4798</v>
      </c>
      <c r="F26" s="40">
        <v>-13959</v>
      </c>
      <c r="G26" s="40">
        <f>5323+1</f>
        <v>5324</v>
      </c>
      <c r="H26" s="40">
        <v>148591</v>
      </c>
      <c r="I26" s="40">
        <v>42813</v>
      </c>
      <c r="J26" s="40">
        <v>89041</v>
      </c>
      <c r="K26" s="40">
        <v>78710</v>
      </c>
      <c r="L26" s="40">
        <v>55226</v>
      </c>
      <c r="M26" s="40">
        <f>3979+4115</f>
        <v>8094</v>
      </c>
      <c r="N26" s="40">
        <v>3363</v>
      </c>
      <c r="O26" s="18">
        <v>0</v>
      </c>
      <c r="P26" s="18">
        <v>0</v>
      </c>
      <c r="Q26" s="11">
        <f t="shared" si="1"/>
        <v>638184</v>
      </c>
      <c r="R26" s="18">
        <f>+[1]NewAlbany!BE205</f>
        <v>638181.84999999986</v>
      </c>
      <c r="S26" s="18">
        <f t="shared" si="0"/>
        <v>-2.1500000001396984</v>
      </c>
    </row>
    <row r="27" spans="1:19" x14ac:dyDescent="0.2">
      <c r="A27" s="17" t="s">
        <v>33</v>
      </c>
      <c r="C27" s="36">
        <v>112431</v>
      </c>
      <c r="D27" s="40">
        <v>5498</v>
      </c>
      <c r="E27" s="40">
        <v>133167</v>
      </c>
      <c r="F27" s="8">
        <v>0</v>
      </c>
      <c r="G27" s="40">
        <v>0</v>
      </c>
      <c r="H27" s="40">
        <v>190115</v>
      </c>
      <c r="I27" s="17">
        <f>111151-111151</f>
        <v>0</v>
      </c>
      <c r="J27" s="40">
        <v>54871</v>
      </c>
      <c r="K27" s="40">
        <v>0</v>
      </c>
      <c r="L27" s="40">
        <f>5095+3575+23047+2014</f>
        <v>33731</v>
      </c>
      <c r="M27" s="40">
        <f>533+2441</f>
        <v>2974</v>
      </c>
      <c r="N27" s="40">
        <v>6180</v>
      </c>
      <c r="O27" s="18">
        <v>252208</v>
      </c>
      <c r="Q27" s="11">
        <f t="shared" si="1"/>
        <v>791175</v>
      </c>
      <c r="R27" s="18">
        <f>+[1]NewAlbany!BE215</f>
        <v>791174.84</v>
      </c>
      <c r="S27" s="18">
        <f t="shared" si="0"/>
        <v>-0.16000000003259629</v>
      </c>
    </row>
    <row r="28" spans="1:19" x14ac:dyDescent="0.2">
      <c r="A28" s="17" t="s">
        <v>81</v>
      </c>
      <c r="C28" s="36">
        <v>0</v>
      </c>
      <c r="D28" s="40">
        <v>0</v>
      </c>
      <c r="E28" s="40">
        <v>0</v>
      </c>
      <c r="F28" s="8">
        <v>0</v>
      </c>
      <c r="G28" s="40">
        <v>0</v>
      </c>
      <c r="H28" s="40">
        <v>0</v>
      </c>
      <c r="I28" s="18">
        <v>0</v>
      </c>
      <c r="L28" s="40">
        <v>0</v>
      </c>
      <c r="M28" s="40">
        <v>0</v>
      </c>
      <c r="N28" s="40">
        <v>0</v>
      </c>
      <c r="O28" s="18">
        <v>0</v>
      </c>
      <c r="P28" s="18">
        <v>0</v>
      </c>
      <c r="Q28" s="11">
        <f>SUM(C28:O28)</f>
        <v>0</v>
      </c>
    </row>
    <row r="29" spans="1:19" x14ac:dyDescent="0.2">
      <c r="A29" s="17" t="s">
        <v>63</v>
      </c>
      <c r="C29" s="41">
        <f t="shared" ref="C29:O29" si="2">SUM(C10:C28)</f>
        <v>63538233.68</v>
      </c>
      <c r="D29" s="41">
        <f t="shared" si="2"/>
        <v>18336145</v>
      </c>
      <c r="E29" s="41">
        <f t="shared" si="2"/>
        <v>133817</v>
      </c>
      <c r="F29" s="41">
        <f t="shared" si="2"/>
        <v>-438895.59999999963</v>
      </c>
      <c r="G29" s="41">
        <f t="shared" si="2"/>
        <v>7859793</v>
      </c>
      <c r="H29" s="41">
        <f t="shared" si="2"/>
        <v>15522237</v>
      </c>
      <c r="I29" s="41">
        <f t="shared" si="2"/>
        <v>7487751</v>
      </c>
      <c r="J29" s="41">
        <f t="shared" si="2"/>
        <v>9420070</v>
      </c>
      <c r="K29" s="41">
        <f t="shared" si="2"/>
        <v>6557849</v>
      </c>
      <c r="L29" s="41">
        <f t="shared" si="2"/>
        <v>6912180</v>
      </c>
      <c r="M29" s="41">
        <f t="shared" si="2"/>
        <v>2135307</v>
      </c>
      <c r="N29" s="41">
        <f t="shared" si="2"/>
        <v>2883476</v>
      </c>
      <c r="O29" s="21">
        <f t="shared" si="2"/>
        <v>2417999</v>
      </c>
      <c r="P29" s="21">
        <f>SUM(P10:P28)</f>
        <v>583294</v>
      </c>
      <c r="Q29" s="22">
        <f>SUM(C29:P29)</f>
        <v>143349256.08000001</v>
      </c>
    </row>
    <row r="30" spans="1:19" x14ac:dyDescent="0.2">
      <c r="A30" s="17" t="s">
        <v>67</v>
      </c>
      <c r="C30" s="41">
        <f>+C29</f>
        <v>63538233.68</v>
      </c>
      <c r="D30" s="41">
        <f t="shared" ref="D30:O30" si="3">+C30+D29</f>
        <v>81874378.680000007</v>
      </c>
      <c r="E30" s="41">
        <f t="shared" si="3"/>
        <v>82008195.680000007</v>
      </c>
      <c r="F30" s="41">
        <f t="shared" si="3"/>
        <v>81569300.080000013</v>
      </c>
      <c r="G30" s="41">
        <f t="shared" si="3"/>
        <v>89429093.080000013</v>
      </c>
      <c r="H30" s="41">
        <f t="shared" si="3"/>
        <v>104951330.08000001</v>
      </c>
      <c r="I30" s="41">
        <f t="shared" si="3"/>
        <v>112439081.08000001</v>
      </c>
      <c r="J30" s="41">
        <f t="shared" si="3"/>
        <v>121859151.08000001</v>
      </c>
      <c r="K30" s="41">
        <f t="shared" si="3"/>
        <v>128417000.08000001</v>
      </c>
      <c r="L30" s="41">
        <f t="shared" si="3"/>
        <v>135329180.08000001</v>
      </c>
      <c r="M30" s="41">
        <f t="shared" si="3"/>
        <v>137464487.08000001</v>
      </c>
      <c r="N30" s="41">
        <f t="shared" si="3"/>
        <v>140347963.08000001</v>
      </c>
      <c r="O30" s="21">
        <f t="shared" si="3"/>
        <v>142765962.08000001</v>
      </c>
      <c r="P30" s="21">
        <f>+O29+P29</f>
        <v>3001293</v>
      </c>
      <c r="Q30" s="13"/>
    </row>
    <row r="31" spans="1:19" x14ac:dyDescent="0.2">
      <c r="A31" s="17" t="s">
        <v>64</v>
      </c>
      <c r="C31" s="36"/>
      <c r="D31" s="40"/>
      <c r="E31" s="40"/>
      <c r="F31" s="8"/>
      <c r="G31" s="40"/>
      <c r="H31" s="40"/>
      <c r="I31" s="40"/>
      <c r="J31" s="40"/>
      <c r="K31" s="40"/>
      <c r="L31" s="40"/>
      <c r="M31" s="40"/>
      <c r="N31" s="40"/>
      <c r="Q31" s="16">
        <f>+Q29/C59/1000</f>
        <v>370.41151441860467</v>
      </c>
    </row>
    <row r="32" spans="1:19" x14ac:dyDescent="0.2">
      <c r="C32" s="36"/>
      <c r="D32" s="40"/>
      <c r="E32" s="40"/>
      <c r="F32" s="8"/>
      <c r="G32" s="40"/>
      <c r="H32" s="40"/>
      <c r="I32" s="40"/>
      <c r="J32" s="40"/>
      <c r="K32" s="40"/>
      <c r="L32" s="40"/>
      <c r="M32" s="40"/>
      <c r="N32" s="40"/>
      <c r="Q32" s="11"/>
    </row>
    <row r="33" spans="1:19" x14ac:dyDescent="0.2">
      <c r="A33" s="17" t="s">
        <v>44</v>
      </c>
      <c r="C33" s="42">
        <f>913875+384382+63984</f>
        <v>1362241</v>
      </c>
      <c r="D33" s="42">
        <f>40682+395397-1</f>
        <v>436078</v>
      </c>
      <c r="E33" s="42">
        <f>SUM($C49:D49)*E57/360*30</f>
        <v>434033.21756899171</v>
      </c>
      <c r="F33" s="42">
        <f>SUM($C49:E49)*F57/360*28</f>
        <v>422737.69960179337</v>
      </c>
      <c r="G33" s="42">
        <f>SUM($C49:F49)*G57/360*33</f>
        <v>505583.13556929753</v>
      </c>
      <c r="H33" s="42">
        <v>264883</v>
      </c>
      <c r="I33" s="42">
        <v>738348</v>
      </c>
      <c r="J33" s="42">
        <f>659904+0.5</f>
        <v>659904.5</v>
      </c>
      <c r="K33" s="42">
        <v>-659904</v>
      </c>
      <c r="L33" s="42"/>
      <c r="M33" s="42"/>
      <c r="N33" s="42"/>
      <c r="O33" s="28"/>
      <c r="P33" s="18">
        <v>0</v>
      </c>
      <c r="Q33" s="11">
        <f>SUM(C33:P33)</f>
        <v>4163904.5527400821</v>
      </c>
      <c r="R33" s="18">
        <f>+[1]NewAlbany!BE174</f>
        <v>4163904.83</v>
      </c>
      <c r="S33" s="18">
        <f>+Q33-R33</f>
        <v>-0.27725991792976856</v>
      </c>
    </row>
    <row r="34" spans="1:19" x14ac:dyDescent="0.2">
      <c r="A34" s="17" t="s">
        <v>93</v>
      </c>
      <c r="C34" s="42"/>
      <c r="D34" s="42"/>
      <c r="E34" s="42"/>
      <c r="F34" s="42">
        <v>-94899</v>
      </c>
      <c r="G34" s="42">
        <v>-64384</v>
      </c>
      <c r="H34" s="42"/>
      <c r="I34" s="42"/>
      <c r="J34" s="42"/>
      <c r="K34" s="42"/>
      <c r="L34" s="40"/>
      <c r="M34" s="40"/>
      <c r="N34" s="40"/>
      <c r="Q34" s="11">
        <f>SUM(C34:P34)</f>
        <v>-159283</v>
      </c>
      <c r="R34" s="18">
        <f>+[1]NewAlbany!BE175</f>
        <v>-159283</v>
      </c>
      <c r="S34" s="18">
        <f>+Q34-R34</f>
        <v>0</v>
      </c>
    </row>
    <row r="35" spans="1:19" x14ac:dyDescent="0.2">
      <c r="A35" s="17" t="s">
        <v>75</v>
      </c>
      <c r="C35" s="42">
        <v>0</v>
      </c>
      <c r="D35" s="42">
        <v>7392.7297499999995</v>
      </c>
      <c r="E35" s="42">
        <v>4682.3761249999998</v>
      </c>
      <c r="F35" s="42">
        <v>4180.8307500000001</v>
      </c>
      <c r="G35" s="42">
        <v>4002</v>
      </c>
      <c r="H35" s="42">
        <v>3814</v>
      </c>
      <c r="I35" s="42"/>
      <c r="J35" s="42"/>
      <c r="K35" s="42"/>
      <c r="L35" s="42">
        <v>0</v>
      </c>
      <c r="M35" s="42"/>
      <c r="N35" s="42">
        <v>0</v>
      </c>
      <c r="O35" s="28">
        <v>0</v>
      </c>
      <c r="P35" s="28">
        <v>0</v>
      </c>
      <c r="Q35" s="11">
        <f>SUM(C35:P35)</f>
        <v>24071.936624999998</v>
      </c>
      <c r="R35" s="18">
        <f>+[1]NewAlbany!BE176</f>
        <v>24072.18</v>
      </c>
      <c r="S35" s="18">
        <f>+Q35-R35</f>
        <v>-0.24337500000183354</v>
      </c>
    </row>
    <row r="36" spans="1:19" x14ac:dyDescent="0.2">
      <c r="A36" s="17" t="s">
        <v>31</v>
      </c>
      <c r="C36" s="40">
        <v>68386</v>
      </c>
      <c r="D36" s="40">
        <v>811038</v>
      </c>
      <c r="E36" s="40">
        <v>0</v>
      </c>
      <c r="F36" s="40">
        <v>0</v>
      </c>
      <c r="G36" s="40">
        <v>0</v>
      </c>
      <c r="H36" s="40">
        <v>83333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83333</v>
      </c>
      <c r="O36" s="17">
        <f>107680-41667</f>
        <v>66013</v>
      </c>
      <c r="P36" s="28">
        <v>0</v>
      </c>
      <c r="Q36" s="11">
        <f>SUM(C36:P36)</f>
        <v>1112103</v>
      </c>
      <c r="R36" s="18">
        <f>+[1]NewAlbany!BE189</f>
        <v>1112102.7033333334</v>
      </c>
      <c r="S36" s="18">
        <f>+Q36-R36</f>
        <v>0.29666666663251817</v>
      </c>
    </row>
    <row r="37" spans="1:19" x14ac:dyDescent="0.2">
      <c r="A37" s="17" t="s">
        <v>119</v>
      </c>
      <c r="C37" s="40">
        <v>0</v>
      </c>
      <c r="D37" s="40"/>
      <c r="E37" s="40"/>
      <c r="F37" s="40"/>
      <c r="G37" s="40">
        <v>2666</v>
      </c>
      <c r="H37" s="40">
        <v>-18334</v>
      </c>
      <c r="I37" s="40"/>
      <c r="J37" s="40">
        <v>0</v>
      </c>
      <c r="K37" s="40">
        <v>0</v>
      </c>
      <c r="L37" s="40"/>
      <c r="M37" s="40"/>
      <c r="N37" s="40"/>
      <c r="P37" s="18">
        <v>0</v>
      </c>
      <c r="Q37" s="11">
        <f>SUM(C37:P37)</f>
        <v>-15668</v>
      </c>
      <c r="R37" s="18">
        <f>+[1]NewAlbany!BE177</f>
        <v>-15668</v>
      </c>
      <c r="S37" s="18">
        <f>+Q37-R37</f>
        <v>0</v>
      </c>
    </row>
    <row r="38" spans="1:19" x14ac:dyDescent="0.2">
      <c r="A38" s="17" t="s">
        <v>80</v>
      </c>
      <c r="C38" s="43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20">
        <v>0</v>
      </c>
      <c r="P38" s="20">
        <v>0</v>
      </c>
      <c r="Q38" s="11">
        <f>SUM(C38:O38)</f>
        <v>0</v>
      </c>
    </row>
    <row r="39" spans="1:19" x14ac:dyDescent="0.2">
      <c r="A39" s="17" t="s">
        <v>65</v>
      </c>
      <c r="C39" s="41">
        <f t="shared" ref="C39:O39" si="4">SUM(C33:C38)</f>
        <v>1430627</v>
      </c>
      <c r="D39" s="41">
        <f t="shared" si="4"/>
        <v>1254508.7297499999</v>
      </c>
      <c r="E39" s="41">
        <f t="shared" si="4"/>
        <v>438715.59369399172</v>
      </c>
      <c r="F39" s="41">
        <f t="shared" si="4"/>
        <v>332019.53035179339</v>
      </c>
      <c r="G39" s="41">
        <f t="shared" si="4"/>
        <v>447867.13556929753</v>
      </c>
      <c r="H39" s="41">
        <f t="shared" si="4"/>
        <v>333696</v>
      </c>
      <c r="I39" s="41">
        <f t="shared" si="4"/>
        <v>738348</v>
      </c>
      <c r="J39" s="41">
        <f t="shared" si="4"/>
        <v>659904.5</v>
      </c>
      <c r="K39" s="41">
        <f t="shared" si="4"/>
        <v>-659904</v>
      </c>
      <c r="L39" s="41">
        <f t="shared" si="4"/>
        <v>0</v>
      </c>
      <c r="M39" s="41">
        <f t="shared" si="4"/>
        <v>0</v>
      </c>
      <c r="N39" s="41">
        <f t="shared" si="4"/>
        <v>83333</v>
      </c>
      <c r="O39" s="21">
        <f t="shared" si="4"/>
        <v>66013</v>
      </c>
      <c r="P39" s="21">
        <f>SUM(P33:P38)</f>
        <v>0</v>
      </c>
      <c r="Q39" s="22">
        <f>SUM(C39:P39)</f>
        <v>5125128.4893650822</v>
      </c>
    </row>
    <row r="40" spans="1:19" x14ac:dyDescent="0.2">
      <c r="A40" s="17" t="s">
        <v>68</v>
      </c>
      <c r="C40" s="41">
        <f>+C39</f>
        <v>1430627</v>
      </c>
      <c r="D40" s="41">
        <f t="shared" ref="D40:O40" si="5">+D39+C40</f>
        <v>2685135.7297499999</v>
      </c>
      <c r="E40" s="41">
        <f t="shared" si="5"/>
        <v>3123851.3234439916</v>
      </c>
      <c r="F40" s="41">
        <f t="shared" si="5"/>
        <v>3455870.853795785</v>
      </c>
      <c r="G40" s="41">
        <f t="shared" si="5"/>
        <v>3903737.9893650827</v>
      </c>
      <c r="H40" s="41">
        <f t="shared" si="5"/>
        <v>4237433.9893650822</v>
      </c>
      <c r="I40" s="41">
        <f t="shared" si="5"/>
        <v>4975781.9893650822</v>
      </c>
      <c r="J40" s="41">
        <f t="shared" si="5"/>
        <v>5635686.4893650822</v>
      </c>
      <c r="K40" s="41">
        <f t="shared" si="5"/>
        <v>4975782.4893650822</v>
      </c>
      <c r="L40" s="41">
        <f t="shared" si="5"/>
        <v>4975782.4893650822</v>
      </c>
      <c r="M40" s="41">
        <f t="shared" si="5"/>
        <v>4975782.4893650822</v>
      </c>
      <c r="N40" s="41">
        <f t="shared" si="5"/>
        <v>5059115.4893650822</v>
      </c>
      <c r="O40" s="21">
        <f t="shared" si="5"/>
        <v>5125128.4893650822</v>
      </c>
      <c r="P40" s="21">
        <f>+P39+O39</f>
        <v>66013</v>
      </c>
      <c r="Q40" s="11"/>
    </row>
    <row r="41" spans="1:19" x14ac:dyDescent="0.2">
      <c r="A41" s="17"/>
      <c r="C41" s="43"/>
      <c r="D41" s="42"/>
      <c r="E41" s="42"/>
      <c r="F41" s="20"/>
      <c r="G41" s="42"/>
      <c r="H41" s="42"/>
      <c r="I41" s="42"/>
      <c r="J41" s="42"/>
      <c r="K41" s="42"/>
      <c r="L41" s="42"/>
      <c r="M41" s="42"/>
      <c r="N41" s="42"/>
      <c r="O41" s="20"/>
      <c r="P41" s="20"/>
      <c r="Q41" s="11"/>
    </row>
    <row r="42" spans="1:19" s="4" customFormat="1" x14ac:dyDescent="0.2">
      <c r="A42" s="4" t="s">
        <v>85</v>
      </c>
      <c r="C42" s="36">
        <f t="shared" ref="C42:K42" si="6">+C29+C39</f>
        <v>64968860.68</v>
      </c>
      <c r="D42" s="36">
        <f t="shared" si="6"/>
        <v>19590653.72975</v>
      </c>
      <c r="E42" s="36">
        <f t="shared" si="6"/>
        <v>572532.59369399166</v>
      </c>
      <c r="F42" s="36">
        <f t="shared" si="6"/>
        <v>-106876.06964820623</v>
      </c>
      <c r="G42" s="36">
        <f t="shared" si="6"/>
        <v>8307660.1355692977</v>
      </c>
      <c r="H42" s="36">
        <f t="shared" si="6"/>
        <v>15855933</v>
      </c>
      <c r="I42" s="36">
        <f t="shared" si="6"/>
        <v>8226099</v>
      </c>
      <c r="J42" s="36">
        <f t="shared" si="6"/>
        <v>10079974.5</v>
      </c>
      <c r="K42" s="36">
        <f t="shared" si="6"/>
        <v>5897945</v>
      </c>
      <c r="L42" s="36">
        <f>+L29+L39</f>
        <v>6912180</v>
      </c>
      <c r="M42" s="36">
        <f>+M29+M39</f>
        <v>2135307</v>
      </c>
      <c r="N42" s="36">
        <f>+N29+N39</f>
        <v>2966809</v>
      </c>
      <c r="O42" s="4">
        <f>+O29+O39</f>
        <v>2484012</v>
      </c>
      <c r="P42" s="4">
        <f>+P29+P39</f>
        <v>583294</v>
      </c>
      <c r="Q42" s="11">
        <f>SUM(C42:P42)</f>
        <v>148474384.56936508</v>
      </c>
    </row>
    <row r="43" spans="1:19" s="4" customFormat="1" x14ac:dyDescent="0.2">
      <c r="A43" s="4" t="s">
        <v>45</v>
      </c>
      <c r="C43" s="36">
        <f>C42</f>
        <v>64968860.68</v>
      </c>
      <c r="D43" s="36">
        <f t="shared" ref="D43:O43" si="7">C43+D42</f>
        <v>84559514.40975</v>
      </c>
      <c r="E43" s="36">
        <f t="shared" si="7"/>
        <v>85132047.003443986</v>
      </c>
      <c r="F43" s="36">
        <f t="shared" si="7"/>
        <v>85025170.93379578</v>
      </c>
      <c r="G43" s="36">
        <f t="shared" si="7"/>
        <v>93332831.069365084</v>
      </c>
      <c r="H43" s="36">
        <f t="shared" si="7"/>
        <v>109188764.06936508</v>
      </c>
      <c r="I43" s="36">
        <f t="shared" si="7"/>
        <v>117414863.06936508</v>
      </c>
      <c r="J43" s="36">
        <f t="shared" si="7"/>
        <v>127494837.56936508</v>
      </c>
      <c r="K43" s="36">
        <f t="shared" si="7"/>
        <v>133392782.56936508</v>
      </c>
      <c r="L43" s="36">
        <f t="shared" si="7"/>
        <v>140304962.56936508</v>
      </c>
      <c r="M43" s="36">
        <f t="shared" si="7"/>
        <v>142440269.56936508</v>
      </c>
      <c r="N43" s="36">
        <f t="shared" si="7"/>
        <v>145407078.56936508</v>
      </c>
      <c r="O43" s="4">
        <f t="shared" si="7"/>
        <v>147891090.56936508</v>
      </c>
      <c r="P43" s="4">
        <f>O42+P42</f>
        <v>3067306</v>
      </c>
      <c r="Q43" s="11"/>
    </row>
    <row r="44" spans="1:19" s="4" customFormat="1" x14ac:dyDescent="0.2">
      <c r="A44" s="17" t="s">
        <v>64</v>
      </c>
      <c r="C44" s="36"/>
      <c r="D44" s="36"/>
      <c r="E44" s="36"/>
      <c r="G44" s="36"/>
      <c r="H44" s="36"/>
      <c r="J44" s="36"/>
      <c r="K44" s="36"/>
      <c r="L44" s="36"/>
      <c r="M44" s="36"/>
      <c r="N44" s="36"/>
      <c r="Q44" s="16">
        <f>+Q42/C59/1000</f>
        <v>383.65474048931549</v>
      </c>
    </row>
    <row r="45" spans="1:19" x14ac:dyDescent="0.2">
      <c r="C45" s="36"/>
      <c r="D45" s="40"/>
      <c r="E45" s="40"/>
      <c r="G45" s="40"/>
      <c r="H45" s="40"/>
      <c r="J45" s="40"/>
      <c r="K45" s="40"/>
      <c r="L45" s="40"/>
      <c r="M45" s="40"/>
      <c r="N45" s="40"/>
      <c r="Q45" s="11"/>
    </row>
    <row r="46" spans="1:19" x14ac:dyDescent="0.2">
      <c r="A46" s="17" t="s">
        <v>39</v>
      </c>
      <c r="C46" s="36">
        <v>0</v>
      </c>
      <c r="D46" s="40"/>
      <c r="E46" s="40"/>
      <c r="G46" s="40"/>
      <c r="H46" s="40"/>
      <c r="I46" s="18">
        <v>0</v>
      </c>
      <c r="J46" s="40"/>
      <c r="K46" s="40"/>
      <c r="L46" s="40"/>
      <c r="M46" s="40"/>
      <c r="N46" s="40"/>
      <c r="Q46" s="22">
        <f>SUM(C46:O46)</f>
        <v>0</v>
      </c>
    </row>
    <row r="47" spans="1:19" s="4" customFormat="1" x14ac:dyDescent="0.2">
      <c r="A47" s="8"/>
      <c r="C47" s="35"/>
      <c r="D47" s="36"/>
      <c r="E47" s="36"/>
      <c r="G47" s="36"/>
      <c r="H47" s="36"/>
      <c r="J47" s="36"/>
      <c r="K47" s="36"/>
      <c r="L47" s="36"/>
      <c r="M47" s="36"/>
      <c r="N47" s="36"/>
      <c r="Q47" s="11"/>
    </row>
    <row r="48" spans="1:19" x14ac:dyDescent="0.2">
      <c r="A48" s="17" t="s">
        <v>69</v>
      </c>
      <c r="C48" s="36">
        <f t="shared" ref="C48:K48" si="8">+C42-C33</f>
        <v>63606619.68</v>
      </c>
      <c r="D48" s="36">
        <f t="shared" si="8"/>
        <v>19154575.72975</v>
      </c>
      <c r="E48" s="36">
        <f t="shared" si="8"/>
        <v>138499.37612499995</v>
      </c>
      <c r="F48" s="36">
        <f t="shared" si="8"/>
        <v>-529613.76924999966</v>
      </c>
      <c r="G48" s="36">
        <f t="shared" si="8"/>
        <v>7802077</v>
      </c>
      <c r="H48" s="36">
        <f t="shared" si="8"/>
        <v>15591050</v>
      </c>
      <c r="I48" s="36">
        <f t="shared" si="8"/>
        <v>7487751</v>
      </c>
      <c r="J48" s="36">
        <f t="shared" si="8"/>
        <v>9420070</v>
      </c>
      <c r="K48" s="36">
        <f t="shared" si="8"/>
        <v>6557849</v>
      </c>
      <c r="L48" s="36">
        <f>ROUND(+L42-L33,0)</f>
        <v>6912180</v>
      </c>
      <c r="M48" s="36">
        <f>+M42-M33</f>
        <v>2135307</v>
      </c>
      <c r="N48" s="36">
        <f>+N42-N33</f>
        <v>2966809</v>
      </c>
      <c r="O48" s="4">
        <f>+O42-O33</f>
        <v>2484012</v>
      </c>
      <c r="P48" s="4">
        <f>+P42-P33</f>
        <v>583294</v>
      </c>
      <c r="Q48" s="11">
        <f>SUM(C48:P48)</f>
        <v>144310480.01662499</v>
      </c>
    </row>
    <row r="49" spans="1:19" hidden="1" x14ac:dyDescent="0.2">
      <c r="A49" s="17" t="s">
        <v>82</v>
      </c>
      <c r="C49" s="37">
        <f>63865968+5818345+133167+40682</f>
        <v>69858162</v>
      </c>
      <c r="D49" s="37">
        <f>20473789+806250+395397+7393</f>
        <v>21682829</v>
      </c>
      <c r="E49" s="37">
        <f>3573648+434033+4682</f>
        <v>4012363</v>
      </c>
      <c r="F49" s="37">
        <f>1000000+422738+4181</f>
        <v>1426919</v>
      </c>
      <c r="G49" s="36">
        <f>IF(+G43-F50-G48&gt;0,G43-F50-G48,250000)</f>
        <v>250000</v>
      </c>
      <c r="H49" s="36">
        <v>0</v>
      </c>
      <c r="I49" s="36">
        <v>0</v>
      </c>
      <c r="J49" s="36">
        <v>0</v>
      </c>
      <c r="K49" s="36">
        <v>0</v>
      </c>
      <c r="L49" s="36"/>
      <c r="M49" s="36"/>
      <c r="N49" s="36"/>
      <c r="O49" s="4"/>
      <c r="P49" s="4"/>
      <c r="Q49" s="11"/>
    </row>
    <row r="50" spans="1:19" hidden="1" x14ac:dyDescent="0.2">
      <c r="A50" s="17" t="s">
        <v>83</v>
      </c>
      <c r="C50" s="36">
        <f>+C49</f>
        <v>69858162</v>
      </c>
      <c r="D50" s="36">
        <f t="shared" ref="D50:K50" si="9">+D49+C50</f>
        <v>91540991</v>
      </c>
      <c r="E50" s="36">
        <f t="shared" si="9"/>
        <v>95553354</v>
      </c>
      <c r="F50" s="36">
        <f t="shared" si="9"/>
        <v>96980273</v>
      </c>
      <c r="G50" s="36">
        <f t="shared" si="9"/>
        <v>97230273</v>
      </c>
      <c r="H50" s="36">
        <v>0</v>
      </c>
      <c r="I50" s="36">
        <f t="shared" si="9"/>
        <v>0</v>
      </c>
      <c r="J50" s="36">
        <f t="shared" si="9"/>
        <v>0</v>
      </c>
      <c r="K50" s="36">
        <f t="shared" si="9"/>
        <v>0</v>
      </c>
      <c r="L50" s="36"/>
      <c r="M50" s="36"/>
      <c r="N50" s="36"/>
      <c r="O50" s="4"/>
      <c r="P50" s="4"/>
      <c r="Q50" s="11"/>
    </row>
    <row r="51" spans="1:19" x14ac:dyDescent="0.2">
      <c r="C51" s="36"/>
      <c r="D51" s="40"/>
      <c r="E51" s="40"/>
      <c r="G51" s="40"/>
      <c r="H51" s="40"/>
      <c r="I51" s="40"/>
      <c r="J51" s="40"/>
      <c r="K51" s="40"/>
      <c r="L51" s="40"/>
      <c r="M51" s="40"/>
      <c r="N51" s="40"/>
      <c r="Q51" s="11"/>
    </row>
    <row r="52" spans="1:19" ht="13.5" thickBot="1" x14ac:dyDescent="0.25">
      <c r="A52" s="4" t="s">
        <v>74</v>
      </c>
      <c r="C52" s="44">
        <f>+C42</f>
        <v>64968860.68</v>
      </c>
      <c r="D52" s="44">
        <f t="shared" ref="D52:O52" si="10">+D42</f>
        <v>19590653.72975</v>
      </c>
      <c r="E52" s="44">
        <f t="shared" si="10"/>
        <v>572532.59369399166</v>
      </c>
      <c r="F52" s="44">
        <f t="shared" si="10"/>
        <v>-106876.06964820623</v>
      </c>
      <c r="G52" s="44">
        <f>+G42</f>
        <v>8307660.1355692977</v>
      </c>
      <c r="H52" s="44">
        <f t="shared" si="10"/>
        <v>15855933</v>
      </c>
      <c r="I52" s="44">
        <f t="shared" si="10"/>
        <v>8226099</v>
      </c>
      <c r="J52" s="44">
        <f t="shared" si="10"/>
        <v>10079974.5</v>
      </c>
      <c r="K52" s="44">
        <f t="shared" si="10"/>
        <v>5897945</v>
      </c>
      <c r="L52" s="44">
        <f t="shared" si="10"/>
        <v>6912180</v>
      </c>
      <c r="M52" s="44">
        <f t="shared" si="10"/>
        <v>2135307</v>
      </c>
      <c r="N52" s="44">
        <f t="shared" si="10"/>
        <v>2966809</v>
      </c>
      <c r="O52" s="44">
        <f t="shared" si="10"/>
        <v>2484012</v>
      </c>
      <c r="P52" s="44">
        <f>+P42</f>
        <v>583294</v>
      </c>
      <c r="Q52" s="30">
        <f>SUM(C52:P52)</f>
        <v>148474384.56936508</v>
      </c>
      <c r="S52" s="18">
        <f>SUM(S9:S51)</f>
        <v>-0.42996825120280846</v>
      </c>
    </row>
    <row r="53" spans="1:19" ht="13.5" thickBot="1" x14ac:dyDescent="0.25">
      <c r="A53" s="4" t="s">
        <v>84</v>
      </c>
      <c r="C53" s="45">
        <f>+C52</f>
        <v>64968860.68</v>
      </c>
      <c r="D53" s="45">
        <f t="shared" ref="D53:O53" si="11">+D52+C53</f>
        <v>84559514.40975</v>
      </c>
      <c r="E53" s="45">
        <f t="shared" si="11"/>
        <v>85132047.003443986</v>
      </c>
      <c r="F53" s="45">
        <f t="shared" si="11"/>
        <v>85025170.93379578</v>
      </c>
      <c r="G53" s="45">
        <f t="shared" si="11"/>
        <v>93332831.069365084</v>
      </c>
      <c r="H53" s="45">
        <f t="shared" si="11"/>
        <v>109188764.06936508</v>
      </c>
      <c r="I53" s="45">
        <f t="shared" si="11"/>
        <v>117414863.06936508</v>
      </c>
      <c r="J53" s="45">
        <f t="shared" si="11"/>
        <v>127494837.56936508</v>
      </c>
      <c r="K53" s="45">
        <f t="shared" si="11"/>
        <v>133392782.56936508</v>
      </c>
      <c r="L53" s="45">
        <f t="shared" si="11"/>
        <v>140304962.56936508</v>
      </c>
      <c r="M53" s="45">
        <f t="shared" si="11"/>
        <v>142440269.56936508</v>
      </c>
      <c r="N53" s="45">
        <f t="shared" si="11"/>
        <v>145407078.56936508</v>
      </c>
      <c r="O53" s="32">
        <f t="shared" si="11"/>
        <v>147891090.56936508</v>
      </c>
      <c r="P53" s="32">
        <f>+P52+O53</f>
        <v>148474384.56936508</v>
      </c>
      <c r="Q53" s="11"/>
    </row>
    <row r="54" spans="1:19" x14ac:dyDescent="0.2">
      <c r="C54" s="36"/>
      <c r="D54" s="40"/>
      <c r="E54" s="40"/>
      <c r="F54" s="40"/>
      <c r="G54" s="40"/>
      <c r="H54" s="40"/>
      <c r="I54" s="40"/>
      <c r="L54" s="40"/>
      <c r="M54" s="40"/>
      <c r="N54" s="40"/>
      <c r="Q54" s="39"/>
    </row>
    <row r="55" spans="1:19" ht="13.5" thickBot="1" x14ac:dyDescent="0.25">
      <c r="A55" s="4" t="s">
        <v>73</v>
      </c>
      <c r="C55" s="44">
        <f t="shared" ref="C55:Q55" si="12">+C52+C46</f>
        <v>64968860.68</v>
      </c>
      <c r="D55" s="44">
        <f t="shared" si="12"/>
        <v>19590653.72975</v>
      </c>
      <c r="E55" s="44">
        <f t="shared" si="12"/>
        <v>572532.59369399166</v>
      </c>
      <c r="F55" s="44">
        <f t="shared" si="12"/>
        <v>-106876.06964820623</v>
      </c>
      <c r="G55" s="44">
        <f t="shared" si="12"/>
        <v>8307660.1355692977</v>
      </c>
      <c r="H55" s="44">
        <f t="shared" si="12"/>
        <v>15855933</v>
      </c>
      <c r="I55" s="44">
        <f t="shared" si="12"/>
        <v>8226099</v>
      </c>
      <c r="J55" s="29">
        <f t="shared" si="12"/>
        <v>10079974.5</v>
      </c>
      <c r="K55" s="29">
        <f t="shared" si="12"/>
        <v>5897945</v>
      </c>
      <c r="L55" s="44">
        <f t="shared" si="12"/>
        <v>6912180</v>
      </c>
      <c r="M55" s="44">
        <f t="shared" si="12"/>
        <v>2135307</v>
      </c>
      <c r="N55" s="44">
        <f t="shared" si="12"/>
        <v>2966809</v>
      </c>
      <c r="O55" s="29">
        <f t="shared" si="12"/>
        <v>2484012</v>
      </c>
      <c r="P55" s="29">
        <f>+P52+P46</f>
        <v>583294</v>
      </c>
      <c r="Q55" s="30">
        <f t="shared" si="12"/>
        <v>148474384.56936508</v>
      </c>
      <c r="R55" s="18">
        <f>+[1]NewAlbany!BE221</f>
        <v>148474384.58733332</v>
      </c>
      <c r="S55" s="18">
        <f>+R55-Q55</f>
        <v>1.7968237400054932E-2</v>
      </c>
    </row>
    <row r="56" spans="1:19" x14ac:dyDescent="0.2">
      <c r="G56" s="40"/>
      <c r="I56" s="40"/>
      <c r="L56" s="40"/>
      <c r="M56" s="40"/>
      <c r="Q56"/>
    </row>
    <row r="57" spans="1:19" s="4" customFormat="1" x14ac:dyDescent="0.2">
      <c r="A57" s="8" t="s">
        <v>86</v>
      </c>
      <c r="C57" s="35">
        <v>0.1</v>
      </c>
      <c r="D57" s="46">
        <v>6.3675000000000009E-2</v>
      </c>
      <c r="E57" s="46">
        <v>5.68969E-2</v>
      </c>
      <c r="F57" s="46">
        <v>5.6881300000000003E-2</v>
      </c>
      <c r="G57" s="46">
        <v>5.6871900000000003E-2</v>
      </c>
      <c r="H57" s="35">
        <v>6.5000000000000002E-2</v>
      </c>
      <c r="I57" s="35">
        <v>6.5000000000000002E-2</v>
      </c>
      <c r="J57" s="12">
        <v>6.5000000000000002E-2</v>
      </c>
      <c r="K57" s="12">
        <v>6.5000000000000002E-2</v>
      </c>
      <c r="L57" s="12">
        <v>6.5000000000000002E-2</v>
      </c>
      <c r="M57" s="12">
        <v>6.5000000000000002E-2</v>
      </c>
      <c r="N57" s="12">
        <v>6.5000000000000002E-2</v>
      </c>
      <c r="O57" s="12">
        <v>6.5000000000000002E-2</v>
      </c>
      <c r="P57" s="12">
        <v>6.5000000000000002E-2</v>
      </c>
      <c r="Q57" s="38"/>
    </row>
    <row r="58" spans="1:19" s="4" customFormat="1" x14ac:dyDescent="0.2">
      <c r="A58" s="33" t="s">
        <v>123</v>
      </c>
      <c r="C58" s="46">
        <v>1.5E-3</v>
      </c>
      <c r="D58" s="73"/>
      <c r="E58" s="9"/>
      <c r="F58" s="9"/>
      <c r="G58" s="9"/>
      <c r="H58" s="9"/>
      <c r="I58" s="43"/>
      <c r="J58" s="9"/>
      <c r="Q58" s="38"/>
    </row>
    <row r="59" spans="1:19" s="4" customFormat="1" x14ac:dyDescent="0.2">
      <c r="A59" s="8"/>
      <c r="C59" s="4">
        <v>387</v>
      </c>
      <c r="D59" s="4" t="s">
        <v>66</v>
      </c>
      <c r="I59" s="36"/>
      <c r="Q59" s="38"/>
    </row>
    <row r="61" spans="1:19" x14ac:dyDescent="0.2">
      <c r="C61" s="36" t="s">
        <v>89</v>
      </c>
      <c r="D61" s="17" t="s">
        <v>90</v>
      </c>
    </row>
    <row r="62" spans="1:19" x14ac:dyDescent="0.2">
      <c r="C62" s="37"/>
      <c r="D62" s="17" t="s">
        <v>124</v>
      </c>
    </row>
    <row r="64" spans="1:19" s="6" customFormat="1" x14ac:dyDescent="0.2">
      <c r="A64" s="66"/>
      <c r="B64" s="67"/>
      <c r="C64" s="68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7"/>
    </row>
    <row r="65" spans="1:18" s="6" customFormat="1" x14ac:dyDescent="0.2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</row>
    <row r="66" spans="1:18" ht="19.5" x14ac:dyDescent="0.55000000000000004">
      <c r="A66" s="70"/>
      <c r="B66" s="20"/>
      <c r="C66" s="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9"/>
      <c r="R66" s="20"/>
    </row>
    <row r="67" spans="1:18" x14ac:dyDescent="0.2">
      <c r="A67" s="66"/>
      <c r="B67" s="20"/>
      <c r="C67" s="43"/>
      <c r="D67" s="42"/>
      <c r="E67" s="4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9"/>
      <c r="R67" s="20"/>
    </row>
    <row r="68" spans="1:18" x14ac:dyDescent="0.2">
      <c r="A68" s="71"/>
      <c r="B68" s="20"/>
      <c r="C68" s="43"/>
      <c r="D68" s="42"/>
      <c r="E68" s="42"/>
      <c r="F68" s="20"/>
      <c r="G68" s="20"/>
      <c r="H68" s="20"/>
      <c r="I68" s="20"/>
      <c r="J68" s="20"/>
      <c r="K68" s="20"/>
      <c r="L68" s="28"/>
      <c r="M68" s="28"/>
      <c r="N68" s="28"/>
      <c r="O68" s="28"/>
      <c r="P68" s="28"/>
      <c r="Q68" s="9"/>
      <c r="R68" s="20"/>
    </row>
    <row r="69" spans="1:18" x14ac:dyDescent="0.2">
      <c r="A69" s="71"/>
      <c r="B69" s="20"/>
      <c r="C69" s="43"/>
      <c r="D69" s="42"/>
      <c r="E69" s="4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9"/>
      <c r="R69" s="20"/>
    </row>
    <row r="70" spans="1:18" x14ac:dyDescent="0.2">
      <c r="A70" s="20"/>
      <c r="B70" s="20"/>
      <c r="C70" s="43"/>
      <c r="D70" s="42"/>
      <c r="E70" s="4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9"/>
      <c r="R70" s="20"/>
    </row>
    <row r="71" spans="1:18" x14ac:dyDescent="0.2">
      <c r="A71" s="9"/>
      <c r="B71" s="20"/>
      <c r="C71" s="43"/>
      <c r="D71" s="43"/>
      <c r="E71" s="4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20"/>
    </row>
    <row r="72" spans="1:18" x14ac:dyDescent="0.2">
      <c r="A72" s="20"/>
      <c r="B72" s="20"/>
      <c r="C72" s="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72"/>
      <c r="R72" s="20"/>
    </row>
  </sheetData>
  <printOptions horizontalCentered="1"/>
  <pageMargins left="0.25" right="0.25" top="0.25" bottom="0.25" header="0.25" footer="0.5"/>
  <pageSetup scale="52" orientation="landscape" cellComments="asDisplayed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2"/>
  <sheetViews>
    <sheetView topLeftCell="A34" workbookViewId="0">
      <selection activeCell="B43" sqref="B43"/>
    </sheetView>
  </sheetViews>
  <sheetFormatPr defaultRowHeight="12.75" x14ac:dyDescent="0.2"/>
  <cols>
    <col min="1" max="1" width="20.85546875" bestFit="1" customWidth="1"/>
    <col min="2" max="2" width="10.140625" bestFit="1" customWidth="1"/>
    <col min="3" max="3" width="13.140625" style="47" customWidth="1"/>
    <col min="4" max="4" width="17.7109375" style="48" customWidth="1"/>
    <col min="5" max="5" width="17.5703125" style="48" customWidth="1"/>
    <col min="6" max="6" width="17.7109375" style="48" customWidth="1"/>
    <col min="7" max="7" width="18.140625" style="48" customWidth="1"/>
  </cols>
  <sheetData>
    <row r="1" spans="1:7" ht="15.75" x14ac:dyDescent="0.25">
      <c r="A1" s="1" t="s">
        <v>0</v>
      </c>
    </row>
    <row r="2" spans="1:7" ht="15.75" x14ac:dyDescent="0.25">
      <c r="A2" s="1" t="s">
        <v>1</v>
      </c>
    </row>
    <row r="3" spans="1:7" s="49" customFormat="1" ht="15.75" x14ac:dyDescent="0.25">
      <c r="A3" s="1" t="s">
        <v>95</v>
      </c>
      <c r="D3" s="50"/>
      <c r="E3" s="50"/>
      <c r="F3" s="50"/>
      <c r="G3" s="50"/>
    </row>
    <row r="4" spans="1:7" s="49" customFormat="1" ht="15.75" x14ac:dyDescent="0.25">
      <c r="A4" s="1" t="s">
        <v>96</v>
      </c>
      <c r="D4" s="50"/>
      <c r="E4" s="50"/>
      <c r="F4" s="50"/>
      <c r="G4" s="50"/>
    </row>
    <row r="5" spans="1:7" s="49" customFormat="1" ht="15.75" x14ac:dyDescent="0.25">
      <c r="A5" s="1"/>
      <c r="D5" s="50"/>
      <c r="E5" s="50"/>
      <c r="F5" s="50"/>
      <c r="G5" s="50"/>
    </row>
    <row r="6" spans="1:7" s="49" customFormat="1" ht="15.75" x14ac:dyDescent="0.25">
      <c r="A6" s="1"/>
      <c r="C6" s="51"/>
      <c r="D6" s="50"/>
      <c r="E6" s="50"/>
      <c r="F6" s="50"/>
      <c r="G6" s="50"/>
    </row>
    <row r="7" spans="1:7" s="49" customFormat="1" ht="15.75" x14ac:dyDescent="0.25">
      <c r="A7" s="1"/>
      <c r="B7" s="49" t="s">
        <v>97</v>
      </c>
      <c r="C7" s="51" t="s">
        <v>98</v>
      </c>
      <c r="D7" s="50"/>
      <c r="E7" s="50"/>
      <c r="F7" s="50"/>
      <c r="G7" s="50"/>
    </row>
    <row r="8" spans="1:7" s="52" customFormat="1" x14ac:dyDescent="0.2">
      <c r="A8" s="52" t="s">
        <v>99</v>
      </c>
      <c r="B8" s="52" t="s">
        <v>100</v>
      </c>
      <c r="C8" s="53" t="s">
        <v>101</v>
      </c>
      <c r="D8" s="54" t="s">
        <v>102</v>
      </c>
      <c r="E8" s="54" t="s">
        <v>103</v>
      </c>
      <c r="F8" s="54" t="s">
        <v>104</v>
      </c>
      <c r="G8" s="54" t="s">
        <v>5</v>
      </c>
    </row>
    <row r="9" spans="1:7" x14ac:dyDescent="0.2">
      <c r="C9" s="55" t="s">
        <v>105</v>
      </c>
    </row>
    <row r="10" spans="1:7" x14ac:dyDescent="0.2">
      <c r="C10" s="56" t="s">
        <v>106</v>
      </c>
    </row>
    <row r="11" spans="1:7" x14ac:dyDescent="0.2">
      <c r="C11" s="57"/>
    </row>
    <row r="12" spans="1:7" x14ac:dyDescent="0.2">
      <c r="A12" t="s">
        <v>107</v>
      </c>
      <c r="B12" s="58">
        <v>36150</v>
      </c>
      <c r="D12" s="48">
        <v>61516763</v>
      </c>
      <c r="E12" s="48">
        <v>43104549</v>
      </c>
      <c r="F12" s="48">
        <v>63865968</v>
      </c>
      <c r="G12" s="48">
        <f>SUM(D12:F12)</f>
        <v>168487280</v>
      </c>
    </row>
    <row r="13" spans="1:7" x14ac:dyDescent="0.2">
      <c r="B13" s="58"/>
    </row>
    <row r="14" spans="1:7" x14ac:dyDescent="0.2">
      <c r="A14" t="s">
        <v>108</v>
      </c>
      <c r="B14" s="58">
        <v>36153</v>
      </c>
      <c r="D14" s="48">
        <v>9309496</v>
      </c>
      <c r="E14" s="48">
        <v>12435707</v>
      </c>
      <c r="F14" s="48">
        <v>5818345</v>
      </c>
      <c r="G14" s="48">
        <f>SUM(D14:F14)</f>
        <v>27563548</v>
      </c>
    </row>
    <row r="15" spans="1:7" x14ac:dyDescent="0.2">
      <c r="A15" t="s">
        <v>109</v>
      </c>
      <c r="B15" s="58"/>
      <c r="D15" s="48">
        <v>126458.5</v>
      </c>
      <c r="E15" s="48">
        <v>150775</v>
      </c>
      <c r="F15" s="48">
        <v>133166.5</v>
      </c>
      <c r="G15" s="48">
        <f>SUM(D15:F15)</f>
        <v>410400</v>
      </c>
    </row>
    <row r="16" spans="1:7" x14ac:dyDescent="0.2">
      <c r="A16" t="s">
        <v>98</v>
      </c>
      <c r="B16" s="58"/>
      <c r="C16" s="47">
        <v>7.7499999999999999E-2</v>
      </c>
      <c r="D16" s="48">
        <v>39185.339999999997</v>
      </c>
      <c r="E16" s="48">
        <v>27457.01</v>
      </c>
      <c r="F16" s="48">
        <v>40681.75</v>
      </c>
      <c r="G16" s="48">
        <f>SUM(D16:F16)</f>
        <v>107324.09999999999</v>
      </c>
    </row>
    <row r="17" spans="1:7" x14ac:dyDescent="0.2">
      <c r="A17" t="s">
        <v>110</v>
      </c>
      <c r="B17" s="58"/>
      <c r="D17" s="59">
        <f>SUM(D14:D16)</f>
        <v>9475139.8399999999</v>
      </c>
      <c r="E17" s="59">
        <f>SUM(E14:E16)</f>
        <v>12613939.01</v>
      </c>
      <c r="F17" s="59">
        <f>SUM(F14:F16)</f>
        <v>5992193.25</v>
      </c>
      <c r="G17" s="59">
        <f>SUM(G14:G16)</f>
        <v>28081272.100000001</v>
      </c>
    </row>
    <row r="18" spans="1:7" x14ac:dyDescent="0.2">
      <c r="A18" t="s">
        <v>111</v>
      </c>
      <c r="B18" s="58"/>
      <c r="D18" s="59">
        <f>+D12+D17</f>
        <v>70991902.840000004</v>
      </c>
      <c r="E18" s="59">
        <f>+E12+E17</f>
        <v>55718488.009999998</v>
      </c>
      <c r="F18" s="59">
        <f>+F12+F17</f>
        <v>69858161.25</v>
      </c>
      <c r="G18" s="59">
        <f>+G12+G17</f>
        <v>196568552.09999999</v>
      </c>
    </row>
    <row r="19" spans="1:7" x14ac:dyDescent="0.2">
      <c r="B19" s="58"/>
    </row>
    <row r="20" spans="1:7" x14ac:dyDescent="0.2">
      <c r="A20" t="s">
        <v>112</v>
      </c>
      <c r="B20" s="58">
        <v>36185</v>
      </c>
      <c r="D20" s="48">
        <v>6803830</v>
      </c>
      <c r="E20" s="48">
        <v>10781519</v>
      </c>
      <c r="F20" s="48">
        <v>20473789</v>
      </c>
      <c r="G20" s="48">
        <f>SUM(D20:F20)</f>
        <v>38059138</v>
      </c>
    </row>
    <row r="21" spans="1:7" x14ac:dyDescent="0.2">
      <c r="A21" t="s">
        <v>109</v>
      </c>
      <c r="B21" s="58"/>
      <c r="D21" s="48">
        <v>756250</v>
      </c>
      <c r="E21" s="48">
        <v>937500</v>
      </c>
      <c r="F21" s="48">
        <v>806250</v>
      </c>
      <c r="G21" s="48">
        <f>SUM(D21:F21)</f>
        <v>2500000</v>
      </c>
    </row>
    <row r="22" spans="1:7" x14ac:dyDescent="0.2">
      <c r="A22" t="s">
        <v>98</v>
      </c>
      <c r="B22" s="58"/>
      <c r="C22" s="47">
        <v>6.3674999999999995E-2</v>
      </c>
      <c r="D22" s="48">
        <v>401814.17</v>
      </c>
      <c r="E22" s="48">
        <v>315366.64</v>
      </c>
      <c r="F22" s="48">
        <v>395397.19</v>
      </c>
      <c r="G22" s="48">
        <f>SUM(D22:F22)</f>
        <v>1112578</v>
      </c>
    </row>
    <row r="23" spans="1:7" x14ac:dyDescent="0.2">
      <c r="A23" t="s">
        <v>75</v>
      </c>
      <c r="B23" s="58"/>
      <c r="C23" s="47">
        <v>3.5000000000000001E-3</v>
      </c>
      <c r="D23" s="48">
        <v>6251.01</v>
      </c>
      <c r="E23" s="48">
        <v>11785.19</v>
      </c>
      <c r="F23" s="48">
        <v>7392.73</v>
      </c>
      <c r="G23" s="48">
        <f>SUM(D23:F23)</f>
        <v>25428.93</v>
      </c>
    </row>
    <row r="24" spans="1:7" x14ac:dyDescent="0.2">
      <c r="A24" t="s">
        <v>110</v>
      </c>
      <c r="B24" s="58"/>
      <c r="D24" s="59">
        <f>SUM(D20:D23)</f>
        <v>7968145.1799999997</v>
      </c>
      <c r="E24" s="59">
        <f>SUM(E20:E23)</f>
        <v>12046170.83</v>
      </c>
      <c r="F24" s="59">
        <f>SUM(F20:F23)</f>
        <v>21682828.920000002</v>
      </c>
      <c r="G24" s="59">
        <f>SUM(G20:G23)</f>
        <v>41697144.93</v>
      </c>
    </row>
    <row r="25" spans="1:7" x14ac:dyDescent="0.2">
      <c r="A25" t="s">
        <v>111</v>
      </c>
      <c r="B25" s="58"/>
      <c r="D25" s="59">
        <f>+D18+D24</f>
        <v>78960048.020000011</v>
      </c>
      <c r="E25" s="59">
        <f>+E18+E24</f>
        <v>67764658.840000004</v>
      </c>
      <c r="F25" s="59">
        <f>+F18+F24</f>
        <v>91540990.170000002</v>
      </c>
      <c r="G25" s="59">
        <f>+G18+G24</f>
        <v>238265697.03</v>
      </c>
    </row>
    <row r="27" spans="1:7" x14ac:dyDescent="0.2">
      <c r="A27" t="s">
        <v>113</v>
      </c>
      <c r="B27" s="58">
        <v>36215</v>
      </c>
      <c r="D27" s="48">
        <v>9173314</v>
      </c>
      <c r="E27" s="48">
        <v>32244564</v>
      </c>
      <c r="F27" s="48">
        <v>3573648</v>
      </c>
      <c r="G27" s="48">
        <f>SUM(D27:F27)</f>
        <v>44991526</v>
      </c>
    </row>
    <row r="28" spans="1:7" x14ac:dyDescent="0.2">
      <c r="A28" t="s">
        <v>109</v>
      </c>
      <c r="B28" s="58"/>
      <c r="D28" s="48">
        <v>0</v>
      </c>
      <c r="E28" s="48">
        <v>0</v>
      </c>
      <c r="F28" s="48">
        <v>0</v>
      </c>
      <c r="G28" s="48">
        <f>SUM(D28:F28)</f>
        <v>0</v>
      </c>
    </row>
    <row r="29" spans="1:7" x14ac:dyDescent="0.2">
      <c r="A29" t="s">
        <v>98</v>
      </c>
      <c r="B29" s="58"/>
      <c r="C29" s="47">
        <v>5.68969E-2</v>
      </c>
      <c r="D29" s="48">
        <v>374381.83</v>
      </c>
      <c r="E29" s="48">
        <v>321299.92</v>
      </c>
      <c r="F29" s="48">
        <v>434033.21</v>
      </c>
      <c r="G29" s="48">
        <f>SUM(D29:F29)</f>
        <v>1129714.96</v>
      </c>
    </row>
    <row r="30" spans="1:7" x14ac:dyDescent="0.2">
      <c r="A30" t="s">
        <v>75</v>
      </c>
      <c r="B30" s="58"/>
      <c r="C30" s="47">
        <v>3.5000000000000001E-3</v>
      </c>
      <c r="D30" s="48">
        <v>5254.99</v>
      </c>
      <c r="E30" s="48">
        <v>10279.42</v>
      </c>
      <c r="F30" s="48">
        <v>4682.38</v>
      </c>
      <c r="G30" s="48">
        <f>SUM(D30:F30)</f>
        <v>20216.79</v>
      </c>
    </row>
    <row r="31" spans="1:7" x14ac:dyDescent="0.2">
      <c r="A31" t="s">
        <v>110</v>
      </c>
      <c r="B31" s="58"/>
      <c r="D31" s="59">
        <f>SUM(D27:D30)</f>
        <v>9552950.8200000003</v>
      </c>
      <c r="E31" s="59">
        <f>SUM(E27:E30)</f>
        <v>32576143.340000004</v>
      </c>
      <c r="F31" s="59">
        <f>SUM(F27:F30)</f>
        <v>4012363.59</v>
      </c>
      <c r="G31" s="59">
        <f>SUM(G27:G30)</f>
        <v>46141457.75</v>
      </c>
    </row>
    <row r="32" spans="1:7" x14ac:dyDescent="0.2">
      <c r="A32" t="s">
        <v>111</v>
      </c>
      <c r="B32" s="58"/>
      <c r="D32" s="59">
        <f>+D25+D31</f>
        <v>88512998.840000004</v>
      </c>
      <c r="E32" s="59">
        <f>+E25+E31</f>
        <v>100340802.18000001</v>
      </c>
      <c r="F32" s="59">
        <f>+F25+F31</f>
        <v>95553353.760000005</v>
      </c>
      <c r="G32" s="59">
        <f>+G25+G31</f>
        <v>284407154.77999997</v>
      </c>
    </row>
    <row r="34" spans="1:7" x14ac:dyDescent="0.2">
      <c r="A34" t="s">
        <v>114</v>
      </c>
      <c r="B34" s="58">
        <v>36243</v>
      </c>
      <c r="D34" s="48">
        <v>800000</v>
      </c>
      <c r="E34" s="48">
        <v>500000</v>
      </c>
      <c r="F34" s="48">
        <v>1000000</v>
      </c>
      <c r="G34" s="48">
        <f>SUM(D34:F34)</f>
        <v>2300000</v>
      </c>
    </row>
    <row r="35" spans="1:7" x14ac:dyDescent="0.2">
      <c r="A35" t="s">
        <v>109</v>
      </c>
      <c r="B35" s="58"/>
      <c r="D35" s="48">
        <v>0</v>
      </c>
      <c r="E35" s="48">
        <v>0</v>
      </c>
      <c r="F35" s="48">
        <v>0</v>
      </c>
      <c r="G35" s="48">
        <f>SUM(D35:F35)</f>
        <v>0</v>
      </c>
    </row>
    <row r="36" spans="1:7" x14ac:dyDescent="0.2">
      <c r="A36" t="s">
        <v>98</v>
      </c>
      <c r="B36" s="58"/>
      <c r="C36" s="47">
        <v>5.6881300000000003E-2</v>
      </c>
      <c r="D36" s="48">
        <v>391590.46</v>
      </c>
      <c r="E36" s="48">
        <v>443917.85</v>
      </c>
      <c r="F36" s="48">
        <v>422737.7</v>
      </c>
      <c r="G36" s="48">
        <f>SUM(D36:F36)</f>
        <v>1258246.01</v>
      </c>
    </row>
    <row r="37" spans="1:7" x14ac:dyDescent="0.2">
      <c r="A37" t="s">
        <v>75</v>
      </c>
      <c r="B37" s="58"/>
      <c r="C37" s="47">
        <v>3.5000000000000001E-3</v>
      </c>
      <c r="D37" s="48">
        <v>4060.88</v>
      </c>
      <c r="E37" s="48">
        <v>6207.4</v>
      </c>
      <c r="F37" s="48">
        <v>4180.83</v>
      </c>
      <c r="G37" s="48">
        <f>SUM(D37:F37)</f>
        <v>14449.109999999999</v>
      </c>
    </row>
    <row r="38" spans="1:7" x14ac:dyDescent="0.2">
      <c r="A38" t="s">
        <v>110</v>
      </c>
      <c r="B38" s="58"/>
      <c r="D38" s="59">
        <f>SUM(D34:D37)</f>
        <v>1195651.3399999999</v>
      </c>
      <c r="E38" s="59">
        <f>SUM(E34:E37)</f>
        <v>950125.25</v>
      </c>
      <c r="F38" s="59">
        <f>SUM(F34:F37)</f>
        <v>1426918.53</v>
      </c>
      <c r="G38" s="59">
        <f>SUM(G34:G37)</f>
        <v>3572695.1199999996</v>
      </c>
    </row>
    <row r="39" spans="1:7" x14ac:dyDescent="0.2">
      <c r="A39" t="s">
        <v>111</v>
      </c>
      <c r="B39" s="58"/>
      <c r="D39" s="59">
        <f>+D32+D38</f>
        <v>89708650.180000007</v>
      </c>
      <c r="E39" s="59">
        <f>+E32+E38</f>
        <v>101290927.43000001</v>
      </c>
      <c r="F39" s="59">
        <f>+F32+F38</f>
        <v>96980272.290000007</v>
      </c>
      <c r="G39" s="59">
        <f>+G32+G38</f>
        <v>287979849.89999998</v>
      </c>
    </row>
    <row r="41" spans="1:7" x14ac:dyDescent="0.2">
      <c r="A41" t="s">
        <v>115</v>
      </c>
      <c r="B41" s="58">
        <v>36276</v>
      </c>
      <c r="D41" s="48">
        <v>1000000</v>
      </c>
      <c r="E41" s="48">
        <v>1000000</v>
      </c>
      <c r="F41" s="48">
        <v>1000000</v>
      </c>
      <c r="G41" s="48">
        <f>SUM(D41:F41)</f>
        <v>3000000</v>
      </c>
    </row>
    <row r="42" spans="1:7" x14ac:dyDescent="0.2">
      <c r="A42" t="s">
        <v>109</v>
      </c>
      <c r="B42" s="58"/>
      <c r="G42" s="48">
        <f>SUM(D42:F42)</f>
        <v>0</v>
      </c>
    </row>
    <row r="43" spans="1:7" x14ac:dyDescent="0.2">
      <c r="A43" t="s">
        <v>98</v>
      </c>
      <c r="B43" s="58"/>
      <c r="D43" s="48">
        <v>467674.29</v>
      </c>
      <c r="E43" s="48">
        <v>528055.68999999994</v>
      </c>
      <c r="F43" s="48">
        <v>505583.13</v>
      </c>
      <c r="G43" s="48">
        <f>SUM(D43:F43)</f>
        <v>1501313.1099999999</v>
      </c>
    </row>
    <row r="44" spans="1:7" x14ac:dyDescent="0.2">
      <c r="A44" t="s">
        <v>75</v>
      </c>
      <c r="B44" s="58"/>
      <c r="C44" s="47">
        <v>3.5000000000000001E-3</v>
      </c>
      <c r="D44" s="48">
        <v>3911.42</v>
      </c>
      <c r="E44" s="48">
        <v>6088.63</v>
      </c>
      <c r="F44" s="48">
        <v>4002.47</v>
      </c>
      <c r="G44" s="48">
        <f>SUM(D44:F44)</f>
        <v>14002.519999999999</v>
      </c>
    </row>
    <row r="45" spans="1:7" x14ac:dyDescent="0.2">
      <c r="A45" t="s">
        <v>110</v>
      </c>
      <c r="B45" s="58"/>
      <c r="D45" s="59">
        <f>SUM(D41:D44)</f>
        <v>1471585.71</v>
      </c>
      <c r="E45" s="59">
        <f>SUM(E41:E44)</f>
        <v>1534144.3199999998</v>
      </c>
      <c r="F45" s="59">
        <f>SUM(F41:F44)</f>
        <v>1509585.5999999999</v>
      </c>
      <c r="G45" s="59">
        <f>SUM(G41:G44)</f>
        <v>4515315.629999999</v>
      </c>
    </row>
    <row r="46" spans="1:7" x14ac:dyDescent="0.2">
      <c r="A46" t="s">
        <v>111</v>
      </c>
      <c r="B46" s="58"/>
      <c r="D46" s="59">
        <f>+D39+D45</f>
        <v>91180235.890000001</v>
      </c>
      <c r="E46" s="59">
        <f>+E39+E45</f>
        <v>102825071.75</v>
      </c>
      <c r="F46" s="59">
        <f>+F39+F45</f>
        <v>98489857.890000001</v>
      </c>
      <c r="G46" s="59">
        <f>+G39+G45</f>
        <v>292495165.52999997</v>
      </c>
    </row>
    <row r="48" spans="1:7" x14ac:dyDescent="0.2">
      <c r="A48" t="s">
        <v>120</v>
      </c>
      <c r="B48" s="58">
        <v>36301</v>
      </c>
      <c r="D48" s="48">
        <v>0</v>
      </c>
      <c r="E48" s="48">
        <v>0</v>
      </c>
      <c r="F48" s="48">
        <v>0</v>
      </c>
      <c r="G48" s="48">
        <f>SUM(D48:F48)</f>
        <v>0</v>
      </c>
    </row>
    <row r="49" spans="1:7" x14ac:dyDescent="0.2">
      <c r="A49" t="s">
        <v>109</v>
      </c>
      <c r="B49" s="58"/>
      <c r="D49" s="48">
        <v>0</v>
      </c>
      <c r="E49" s="48">
        <v>0</v>
      </c>
      <c r="F49" s="48">
        <v>0</v>
      </c>
      <c r="G49" s="48">
        <f>SUM(D49:F49)</f>
        <v>0</v>
      </c>
    </row>
    <row r="50" spans="1:7" x14ac:dyDescent="0.2">
      <c r="A50" t="s">
        <v>98</v>
      </c>
      <c r="B50" s="58"/>
      <c r="D50" s="48">
        <v>358547.28</v>
      </c>
      <c r="E50" s="48">
        <v>404338.17</v>
      </c>
      <c r="F50" s="48">
        <v>387290.85</v>
      </c>
      <c r="G50" s="48">
        <f>SUM(D50:F50)</f>
        <v>1150176.2999999998</v>
      </c>
    </row>
    <row r="51" spans="1:7" x14ac:dyDescent="0.2">
      <c r="A51" t="s">
        <v>75</v>
      </c>
      <c r="B51" s="58"/>
      <c r="C51" s="47">
        <v>3.5000000000000001E-3</v>
      </c>
      <c r="D51" s="48">
        <v>3727.47</v>
      </c>
      <c r="E51" s="48">
        <v>5896.87</v>
      </c>
      <c r="F51" s="48">
        <v>3813.77</v>
      </c>
      <c r="G51" s="48">
        <f>SUM(D51:F51)</f>
        <v>13438.11</v>
      </c>
    </row>
    <row r="52" spans="1:7" x14ac:dyDescent="0.2">
      <c r="A52" s="63" t="s">
        <v>121</v>
      </c>
      <c r="B52" s="64"/>
      <c r="C52" s="65"/>
      <c r="D52" s="48">
        <f>(8223.78/3)+(241776.22/3)</f>
        <v>83333.333333333328</v>
      </c>
      <c r="E52" s="48">
        <f>(8223.78/3)+(241776.22/3)</f>
        <v>83333.333333333328</v>
      </c>
      <c r="F52" s="48">
        <f>(8223.78/3)+(241776.22/3)</f>
        <v>83333.333333333328</v>
      </c>
      <c r="G52" s="48">
        <f>SUM(D52:F52)</f>
        <v>250000</v>
      </c>
    </row>
    <row r="53" spans="1:7" x14ac:dyDescent="0.2">
      <c r="A53" t="s">
        <v>110</v>
      </c>
      <c r="B53" s="58"/>
      <c r="D53" s="59">
        <f>SUM(D48:D52)</f>
        <v>445608.08333333331</v>
      </c>
      <c r="E53" s="59">
        <f>SUM(E48:E52)</f>
        <v>493568.37333333329</v>
      </c>
      <c r="F53" s="59">
        <f>SUM(F48:F52)</f>
        <v>474437.95333333331</v>
      </c>
      <c r="G53" s="59">
        <f>SUM(G48:G52)</f>
        <v>1413614.41</v>
      </c>
    </row>
    <row r="54" spans="1:7" x14ac:dyDescent="0.2">
      <c r="A54" t="s">
        <v>111</v>
      </c>
      <c r="B54" s="58"/>
      <c r="D54" s="59">
        <f>+D46+D53</f>
        <v>91625843.973333329</v>
      </c>
      <c r="E54" s="59">
        <f>+E46+E53</f>
        <v>103318640.12333333</v>
      </c>
      <c r="F54" s="59">
        <f>+F46+F53</f>
        <v>98964295.843333334</v>
      </c>
      <c r="G54" s="59">
        <f>+G46+G53</f>
        <v>293908779.94</v>
      </c>
    </row>
    <row r="55" spans="1:7" x14ac:dyDescent="0.2">
      <c r="A55" t="s">
        <v>122</v>
      </c>
      <c r="D55" s="48">
        <v>-91550734.420000002</v>
      </c>
      <c r="E55" s="48">
        <v>-103477083.01000001</v>
      </c>
      <c r="F55" s="48">
        <v>-98880962.510000005</v>
      </c>
      <c r="G55" s="48">
        <f>SUM(D55:F55)</f>
        <v>-293908779.94</v>
      </c>
    </row>
    <row r="56" spans="1:7" x14ac:dyDescent="0.2">
      <c r="A56" s="63"/>
    </row>
    <row r="59" spans="1:7" s="60" customFormat="1" x14ac:dyDescent="0.2">
      <c r="A59" s="60" t="s">
        <v>116</v>
      </c>
      <c r="C59" s="47"/>
      <c r="D59" s="60">
        <v>121000000</v>
      </c>
      <c r="E59" s="60">
        <v>150000000</v>
      </c>
      <c r="F59" s="60">
        <v>129000000</v>
      </c>
      <c r="G59" s="60">
        <f>SUM(D59:F59)</f>
        <v>400000000</v>
      </c>
    </row>
    <row r="61" spans="1:7" ht="13.5" thickBot="1" x14ac:dyDescent="0.25">
      <c r="A61" t="s">
        <v>117</v>
      </c>
      <c r="D61" s="61">
        <f>+D59-D54</f>
        <v>29374156.026666671</v>
      </c>
      <c r="E61" s="61">
        <f>+E59-E54</f>
        <v>46681359.876666665</v>
      </c>
      <c r="F61" s="61">
        <f>+F59-F54</f>
        <v>30035704.156666666</v>
      </c>
      <c r="G61" s="61">
        <f>+G59-G54</f>
        <v>106091220.06</v>
      </c>
    </row>
    <row r="62" spans="1:7" ht="13.5" thickTop="1" x14ac:dyDescent="0.2"/>
  </sheetData>
  <pageMargins left="0.75" right="0.75" top="1" bottom="1" header="0.5" footer="0.5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6.5% - Swap</vt:lpstr>
      <vt:lpstr>Brownsville</vt:lpstr>
      <vt:lpstr>Caledonia</vt:lpstr>
      <vt:lpstr>New Albany</vt:lpstr>
      <vt:lpstr>Draw Summary</vt:lpstr>
      <vt:lpstr>Brownsville!Print_Area</vt:lpstr>
      <vt:lpstr>Caledonia!Print_Area</vt:lpstr>
      <vt:lpstr>'Draw Summary'!Print_Area</vt:lpstr>
      <vt:lpstr>'New Albany'!Print_Area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2000-01-10T22:06:24Z</cp:lastPrinted>
  <dcterms:created xsi:type="dcterms:W3CDTF">1999-02-09T14:03:00Z</dcterms:created>
  <dcterms:modified xsi:type="dcterms:W3CDTF">2014-09-03T11:19:30Z</dcterms:modified>
</cp:coreProperties>
</file>