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811" activeTab="3"/>
  </bookViews>
  <sheets>
    <sheet name="Notes" sheetId="23" r:id="rId1"/>
    <sheet name="Tracking Sheet" sheetId="16" r:id="rId2"/>
    <sheet name="Compare" sheetId="26" r:id="rId3"/>
    <sheet name="Assumptions" sheetId="2" r:id="rId4"/>
    <sheet name="Price_Technical Assumption" sheetId="3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nnualHours" localSheetId="2">[5]Assumptions!#REF!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2">[5]Assumptions!#REF!</definedName>
    <definedName name="Maint_Accrual">Assumptions!#REF!</definedName>
    <definedName name="PERIOD1" localSheetId="2">'[6]Project Assumptions'!#REF!</definedName>
    <definedName name="PERIOD1">'[2]Project Assumptions'!#REF!</definedName>
    <definedName name="PERIOD2" localSheetId="2">'[6]Project Assumptions'!#REF!</definedName>
    <definedName name="PERIOD2">'[2]Project Assumptions'!#REF!</definedName>
    <definedName name="principal" localSheetId="2">'[6]Debt Amortization'!#REF!</definedName>
    <definedName name="principal">'[2]Debt Amortization'!#REF!</definedName>
    <definedName name="_xlnm.Print_Area" localSheetId="3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IS!$A$2:$AG$45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4">'Price_Technical Assumption'!$A:$B</definedName>
    <definedName name="_xlnm.Print_Titles" localSheetId="7">'Returns Analysis'!$A:$A</definedName>
    <definedName name="_xlnm.Print_Titles" localSheetId="10">Taxes!$A:$A</definedName>
    <definedName name="StartMWh" localSheetId="2">'[6]Project Assumptions'!#REF!</definedName>
    <definedName name="StartMWh">'[2]Project Assumptions'!#REF!</definedName>
    <definedName name="Variable" localSheetId="2">[5]Assumptions!#REF!</definedName>
    <definedName name="Variable">Assumptions!#REF!</definedName>
    <definedName name="WaterTreatmentVar" localSheetId="2">[5]Assumptions!#REF!</definedName>
    <definedName name="WaterTreatmentVar">Assumptions!#REF!</definedName>
    <definedName name="wrn.test1." localSheetId="2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2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2" hidden="1">{"SourcesUses",#N/A,TRUE,#N/A;"TransOverview",#N/A,TRUE,"CFMODEL"}</definedName>
    <definedName name="wrn.test3." hidden="1">{"SourcesUses",#N/A,TRUE,#N/A;"TransOverview",#N/A,TRUE,"CFMODEL"}</definedName>
    <definedName name="wrn.test4." localSheetId="2" hidden="1">{"SourcesUses",#N/A,TRUE,"FundsFlow";"TransOverview",#N/A,TRUE,"FundsFlow"}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X14" i="2"/>
  <c r="Y14" i="2"/>
  <c r="Z14" i="2"/>
  <c r="AB14" i="2"/>
  <c r="N17" i="2"/>
  <c r="P17" i="2"/>
  <c r="H18" i="2"/>
  <c r="D8" i="19" s="1"/>
  <c r="E8" i="19" s="1"/>
  <c r="C20" i="2"/>
  <c r="D20" i="2" s="1"/>
  <c r="C21" i="2"/>
  <c r="N25" i="2"/>
  <c r="D26" i="2"/>
  <c r="G32" i="2"/>
  <c r="C34" i="2"/>
  <c r="H35" i="2"/>
  <c r="H39" i="2"/>
  <c r="D43" i="2"/>
  <c r="C48" i="2"/>
  <c r="G48" i="2"/>
  <c r="C56" i="2"/>
  <c r="H57" i="2"/>
  <c r="H60" i="2"/>
  <c r="H66" i="2"/>
  <c r="H68" i="2" s="1"/>
  <c r="D21" i="2" s="1"/>
  <c r="A69" i="2"/>
  <c r="A70" i="2"/>
  <c r="A71" i="2"/>
  <c r="A2" i="19"/>
  <c r="F8" i="19"/>
  <c r="G8" i="19" s="1"/>
  <c r="H8" i="19" s="1"/>
  <c r="I8" i="19" s="1"/>
  <c r="J8" i="19" s="1"/>
  <c r="K8" i="19" s="1"/>
  <c r="L8" i="19" s="1"/>
  <c r="M8" i="19" s="1"/>
  <c r="N8" i="19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E9" i="26"/>
  <c r="E17" i="26" s="1"/>
  <c r="C13" i="26"/>
  <c r="C16" i="26" s="1"/>
  <c r="C17" i="26" s="1"/>
  <c r="C20" i="26" s="1"/>
  <c r="A2" i="6"/>
  <c r="B8" i="6"/>
  <c r="C8" i="6"/>
  <c r="D8" i="6"/>
  <c r="E8" i="6"/>
  <c r="F8" i="6"/>
  <c r="G8" i="6"/>
  <c r="G41" i="6" s="1"/>
  <c r="H8" i="6"/>
  <c r="I8" i="6"/>
  <c r="J8" i="6"/>
  <c r="K8" i="6"/>
  <c r="L8" i="6"/>
  <c r="M8" i="6"/>
  <c r="N8" i="6"/>
  <c r="O8" i="6"/>
  <c r="O41" i="6" s="1"/>
  <c r="P8" i="6"/>
  <c r="Q8" i="6"/>
  <c r="R8" i="6"/>
  <c r="S8" i="6"/>
  <c r="T8" i="6"/>
  <c r="U8" i="6"/>
  <c r="V8" i="6"/>
  <c r="W8" i="6"/>
  <c r="W41" i="6" s="1"/>
  <c r="X8" i="6"/>
  <c r="Y8" i="6"/>
  <c r="Z8" i="6"/>
  <c r="AA8" i="6"/>
  <c r="AB8" i="6"/>
  <c r="AC8" i="6"/>
  <c r="AD8" i="6"/>
  <c r="AE8" i="6"/>
  <c r="AE41" i="6" s="1"/>
  <c r="AF8" i="6"/>
  <c r="AN11" i="6"/>
  <c r="AN12" i="6"/>
  <c r="B33" i="6"/>
  <c r="B41" i="6"/>
  <c r="C41" i="6"/>
  <c r="D41" i="6"/>
  <c r="E41" i="6"/>
  <c r="F41" i="6"/>
  <c r="H41" i="6"/>
  <c r="I41" i="6"/>
  <c r="J41" i="6"/>
  <c r="K41" i="6"/>
  <c r="L41" i="6"/>
  <c r="M41" i="6"/>
  <c r="N41" i="6"/>
  <c r="P41" i="6"/>
  <c r="Q41" i="6"/>
  <c r="R41" i="6"/>
  <c r="S41" i="6"/>
  <c r="T41" i="6"/>
  <c r="U41" i="6"/>
  <c r="V41" i="6"/>
  <c r="X41" i="6"/>
  <c r="Y41" i="6"/>
  <c r="Z41" i="6"/>
  <c r="AA41" i="6"/>
  <c r="AB41" i="6"/>
  <c r="AC41" i="6"/>
  <c r="AD41" i="6"/>
  <c r="AF41" i="6"/>
  <c r="E62" i="6"/>
  <c r="E63" i="6"/>
  <c r="E64" i="6" s="1"/>
  <c r="G39" i="2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7" i="18"/>
  <c r="C8" i="18"/>
  <c r="D8" i="18" s="1"/>
  <c r="C15" i="18"/>
  <c r="A16" i="18"/>
  <c r="C16" i="18"/>
  <c r="E16" i="18" s="1"/>
  <c r="F16" i="18" s="1"/>
  <c r="C17" i="18"/>
  <c r="E17" i="18" s="1"/>
  <c r="F17" i="18" s="1"/>
  <c r="C18" i="18"/>
  <c r="E18" i="18"/>
  <c r="F18" i="18" s="1"/>
  <c r="C19" i="18"/>
  <c r="E19" i="18"/>
  <c r="F19" i="18"/>
  <c r="C20" i="18"/>
  <c r="E20" i="18" s="1"/>
  <c r="F20" i="18" s="1"/>
  <c r="C21" i="18"/>
  <c r="E21" i="18" s="1"/>
  <c r="F21" i="18" s="1"/>
  <c r="C22" i="18"/>
  <c r="E22" i="18" s="1"/>
  <c r="F22" i="18" s="1"/>
  <c r="C23" i="18"/>
  <c r="E23" i="18"/>
  <c r="F23" i="18" s="1"/>
  <c r="C24" i="18"/>
  <c r="E24" i="18" s="1"/>
  <c r="F24" i="18" s="1"/>
  <c r="C25" i="18"/>
  <c r="E25" i="18" s="1"/>
  <c r="F25" i="18" s="1"/>
  <c r="C26" i="18"/>
  <c r="E26" i="18" s="1"/>
  <c r="F26" i="18" s="1"/>
  <c r="C27" i="18"/>
  <c r="E27" i="18"/>
  <c r="F27" i="18"/>
  <c r="C28" i="18"/>
  <c r="E28" i="18" s="1"/>
  <c r="F28" i="18" s="1"/>
  <c r="C29" i="18"/>
  <c r="E29" i="18"/>
  <c r="F29" i="18" s="1"/>
  <c r="E30" i="18"/>
  <c r="F30" i="18"/>
  <c r="E31" i="18"/>
  <c r="F31" i="18" s="1"/>
  <c r="E32" i="18"/>
  <c r="F32" i="18"/>
  <c r="E33" i="18"/>
  <c r="F33" i="18" s="1"/>
  <c r="H57" i="18"/>
  <c r="I57" i="18"/>
  <c r="J57" i="18"/>
  <c r="K57" i="18"/>
  <c r="L57" i="18"/>
  <c r="D59" i="18"/>
  <c r="D15" i="18" s="1"/>
  <c r="D34" i="18" s="1"/>
  <c r="A2" i="4"/>
  <c r="D17" i="4"/>
  <c r="E17" i="4" s="1"/>
  <c r="F17" i="4"/>
  <c r="G17" i="4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/>
  <c r="F20" i="4"/>
  <c r="G20" i="4"/>
  <c r="H20" i="4" s="1"/>
  <c r="I20" i="4" s="1"/>
  <c r="J20" i="4" s="1"/>
  <c r="K20" i="4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3" i="4"/>
  <c r="E23" i="4"/>
  <c r="F23" i="4" s="1"/>
  <c r="G23" i="4" s="1"/>
  <c r="H23" i="4" s="1"/>
  <c r="I23" i="4" s="1"/>
  <c r="J23" i="4" s="1"/>
  <c r="K23" i="4" s="1"/>
  <c r="L23" i="4" s="1"/>
  <c r="M23" i="4" s="1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/>
  <c r="H29" i="4" s="1"/>
  <c r="I29" i="4" s="1"/>
  <c r="J29" i="4"/>
  <c r="K29" i="4" s="1"/>
  <c r="L29" i="4" s="1"/>
  <c r="M29" i="4" s="1"/>
  <c r="N29" i="4" s="1"/>
  <c r="O29" i="4" s="1"/>
  <c r="P29" i="4" s="1"/>
  <c r="Q29" i="4" s="1"/>
  <c r="R29" i="4" s="1"/>
  <c r="S29" i="4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D8" i="3"/>
  <c r="E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8" i="3"/>
  <c r="E28" i="3"/>
  <c r="F28" i="3"/>
  <c r="F30" i="3" s="1"/>
  <c r="G28" i="3"/>
  <c r="G30" i="3" s="1"/>
  <c r="H28" i="3"/>
  <c r="I28" i="3"/>
  <c r="J28" i="3"/>
  <c r="K28" i="3"/>
  <c r="K30" i="3" s="1"/>
  <c r="L28" i="3"/>
  <c r="M28" i="3"/>
  <c r="N28" i="3"/>
  <c r="N30" i="3" s="1"/>
  <c r="O28" i="3"/>
  <c r="P28" i="3"/>
  <c r="Q28" i="3"/>
  <c r="R28" i="3"/>
  <c r="S28" i="3"/>
  <c r="S30" i="3" s="1"/>
  <c r="T28" i="3"/>
  <c r="U28" i="3"/>
  <c r="V28" i="3"/>
  <c r="V30" i="3" s="1"/>
  <c r="W28" i="3"/>
  <c r="W30" i="3" s="1"/>
  <c r="X28" i="3"/>
  <c r="Y28" i="3"/>
  <c r="Z28" i="3"/>
  <c r="AA28" i="3"/>
  <c r="AA30" i="3" s="1"/>
  <c r="AB28" i="3"/>
  <c r="AC28" i="3"/>
  <c r="AD28" i="3"/>
  <c r="AD30" i="3" s="1"/>
  <c r="AE28" i="3"/>
  <c r="AE30" i="3" s="1"/>
  <c r="AF28" i="3"/>
  <c r="AG28" i="3"/>
  <c r="AH28" i="3"/>
  <c r="D30" i="3"/>
  <c r="E30" i="3"/>
  <c r="H30" i="3"/>
  <c r="I30" i="3"/>
  <c r="J30" i="3"/>
  <c r="L30" i="3"/>
  <c r="M30" i="3"/>
  <c r="O30" i="3"/>
  <c r="P30" i="3"/>
  <c r="Q30" i="3"/>
  <c r="R30" i="3"/>
  <c r="T30" i="3"/>
  <c r="U30" i="3"/>
  <c r="X30" i="3"/>
  <c r="Y30" i="3"/>
  <c r="Z30" i="3"/>
  <c r="AB30" i="3"/>
  <c r="AC30" i="3"/>
  <c r="AF30" i="3"/>
  <c r="AG30" i="3"/>
  <c r="AH30" i="3"/>
  <c r="J34" i="3"/>
  <c r="R34" i="3"/>
  <c r="AH34" i="3"/>
  <c r="A38" i="3"/>
  <c r="D42" i="3"/>
  <c r="D44" i="3" s="1"/>
  <c r="D34" i="3" s="1"/>
  <c r="E42" i="3"/>
  <c r="E44" i="3" s="1"/>
  <c r="E34" i="3" s="1"/>
  <c r="F42" i="3"/>
  <c r="G42" i="3"/>
  <c r="H42" i="3"/>
  <c r="H44" i="3" s="1"/>
  <c r="H34" i="3" s="1"/>
  <c r="I42" i="3"/>
  <c r="J42" i="3"/>
  <c r="K42" i="3"/>
  <c r="L42" i="3"/>
  <c r="L44" i="3" s="1"/>
  <c r="L34" i="3" s="1"/>
  <c r="M42" i="3"/>
  <c r="M44" i="3" s="1"/>
  <c r="M34" i="3" s="1"/>
  <c r="N42" i="3"/>
  <c r="O42" i="3"/>
  <c r="P42" i="3"/>
  <c r="P44" i="3" s="1"/>
  <c r="P34" i="3" s="1"/>
  <c r="Q42" i="3"/>
  <c r="R42" i="3"/>
  <c r="S42" i="3"/>
  <c r="T42" i="3"/>
  <c r="T44" i="3" s="1"/>
  <c r="T34" i="3" s="1"/>
  <c r="U42" i="3"/>
  <c r="U44" i="3" s="1"/>
  <c r="U34" i="3" s="1"/>
  <c r="V42" i="3"/>
  <c r="W42" i="3"/>
  <c r="X42" i="3"/>
  <c r="X44" i="3" s="1"/>
  <c r="X34" i="3" s="1"/>
  <c r="Y42" i="3"/>
  <c r="Z42" i="3"/>
  <c r="AA42" i="3"/>
  <c r="AB42" i="3"/>
  <c r="AB44" i="3" s="1"/>
  <c r="AB34" i="3" s="1"/>
  <c r="AC42" i="3"/>
  <c r="AC44" i="3" s="1"/>
  <c r="AC34" i="3" s="1"/>
  <c r="AD42" i="3"/>
  <c r="AD44" i="3" s="1"/>
  <c r="AD34" i="3" s="1"/>
  <c r="AE42" i="3"/>
  <c r="AF42" i="3"/>
  <c r="AF44" i="3" s="1"/>
  <c r="AF34" i="3" s="1"/>
  <c r="AG42" i="3"/>
  <c r="AH42" i="3"/>
  <c r="F44" i="3"/>
  <c r="F34" i="3" s="1"/>
  <c r="G44" i="3"/>
  <c r="G34" i="3" s="1"/>
  <c r="I44" i="3"/>
  <c r="I34" i="3" s="1"/>
  <c r="J44" i="3"/>
  <c r="K44" i="3"/>
  <c r="K34" i="3" s="1"/>
  <c r="N44" i="3"/>
  <c r="N34" i="3" s="1"/>
  <c r="O44" i="3"/>
  <c r="Q44" i="3"/>
  <c r="Q34" i="3" s="1"/>
  <c r="R44" i="3"/>
  <c r="S44" i="3"/>
  <c r="S34" i="3" s="1"/>
  <c r="V44" i="3"/>
  <c r="V34" i="3" s="1"/>
  <c r="W44" i="3"/>
  <c r="Y44" i="3"/>
  <c r="Y34" i="3" s="1"/>
  <c r="Z44" i="3"/>
  <c r="Z34" i="3" s="1"/>
  <c r="AA44" i="3"/>
  <c r="AA34" i="3" s="1"/>
  <c r="AE44" i="3"/>
  <c r="AG44" i="3"/>
  <c r="AG34" i="3" s="1"/>
  <c r="AH44" i="3"/>
  <c r="A2" i="25"/>
  <c r="C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/>
  <c r="A41" i="25"/>
  <c r="A48" i="25"/>
  <c r="A55" i="25"/>
  <c r="AG58" i="25"/>
  <c r="W58" i="25" s="1"/>
  <c r="A2" i="8"/>
  <c r="B7" i="8"/>
  <c r="C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6" i="19" l="1"/>
  <c r="D6" i="7"/>
  <c r="C6" i="4"/>
  <c r="D21" i="3"/>
  <c r="E7" i="3"/>
  <c r="D35" i="3"/>
  <c r="D36" i="3" s="1"/>
  <c r="D38" i="3" s="1"/>
  <c r="C11" i="4" s="1"/>
  <c r="C6" i="25"/>
  <c r="B6" i="8"/>
  <c r="B57" i="25"/>
  <c r="B27" i="25"/>
  <c r="B37" i="25"/>
  <c r="B50" i="25"/>
  <c r="B43" i="25"/>
  <c r="W34" i="3"/>
  <c r="AE34" i="3"/>
  <c r="E7" i="19"/>
  <c r="E7" i="7"/>
  <c r="D7" i="4"/>
  <c r="C73" i="2" s="1"/>
  <c r="F8" i="3"/>
  <c r="D7" i="25"/>
  <c r="O34" i="3"/>
  <c r="D7" i="19"/>
  <c r="D7" i="7"/>
  <c r="C7" i="4"/>
  <c r="C34" i="18"/>
  <c r="E15" i="18"/>
  <c r="A17" i="18"/>
  <c r="G13" i="7"/>
  <c r="H13" i="7"/>
  <c r="F13" i="7"/>
  <c r="D13" i="7"/>
  <c r="E13" i="7"/>
  <c r="I13" i="7"/>
  <c r="B36" i="6"/>
  <c r="D54" i="2"/>
  <c r="O22" i="2"/>
  <c r="D25" i="2"/>
  <c r="D27" i="2"/>
  <c r="D30" i="2"/>
  <c r="D32" i="2"/>
  <c r="D38" i="2"/>
  <c r="D41" i="2"/>
  <c r="D45" i="2"/>
  <c r="H62" i="2"/>
  <c r="O20" i="2"/>
  <c r="D48" i="2"/>
  <c r="D56" i="2"/>
  <c r="D23" i="2"/>
  <c r="D28" i="2"/>
  <c r="D39" i="2"/>
  <c r="D42" i="2"/>
  <c r="D53" i="2"/>
  <c r="O23" i="2"/>
  <c r="O19" i="2"/>
  <c r="O21" i="2"/>
  <c r="D24" i="2"/>
  <c r="D33" i="2"/>
  <c r="D47" i="2"/>
  <c r="D49" i="2"/>
  <c r="O24" i="2"/>
  <c r="D37" i="2"/>
  <c r="D40" i="2"/>
  <c r="D44" i="2"/>
  <c r="D55" i="2"/>
  <c r="D22" i="2"/>
  <c r="D31" i="2"/>
  <c r="D34" i="2" s="1"/>
  <c r="D29" i="2"/>
  <c r="O25" i="2"/>
  <c r="D12" i="2"/>
  <c r="C34" i="19"/>
  <c r="C37" i="19" s="1"/>
  <c r="N26" i="2"/>
  <c r="G27" i="7" l="1"/>
  <c r="G42" i="7"/>
  <c r="B49" i="6"/>
  <c r="C12" i="25"/>
  <c r="E6" i="19"/>
  <c r="E6" i="7"/>
  <c r="F7" i="3"/>
  <c r="E35" i="3"/>
  <c r="E36" i="3" s="1"/>
  <c r="E38" i="3" s="1"/>
  <c r="D11" i="4" s="1"/>
  <c r="F21" i="3"/>
  <c r="D6" i="4"/>
  <c r="D6" i="25"/>
  <c r="C6" i="8"/>
  <c r="E27" i="7"/>
  <c r="E42" i="7"/>
  <c r="A18" i="18"/>
  <c r="N30" i="2"/>
  <c r="O30" i="2" s="1"/>
  <c r="N32" i="2"/>
  <c r="O32" i="2" s="1"/>
  <c r="C17" i="4"/>
  <c r="C26" i="4"/>
  <c r="N33" i="2" s="1"/>
  <c r="O33" i="2" s="1"/>
  <c r="C10" i="4"/>
  <c r="C13" i="4" s="1"/>
  <c r="W26" i="4"/>
  <c r="O26" i="2"/>
  <c r="D42" i="7"/>
  <c r="D27" i="7"/>
  <c r="F15" i="18"/>
  <c r="E34" i="18"/>
  <c r="B73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41" i="7"/>
  <c r="D43" i="7"/>
  <c r="D47" i="7" s="1"/>
  <c r="D14" i="7"/>
  <c r="G27" i="4"/>
  <c r="O27" i="4"/>
  <c r="W27" i="4"/>
  <c r="AE27" i="4"/>
  <c r="J27" i="4"/>
  <c r="R27" i="4"/>
  <c r="Z27" i="4"/>
  <c r="C27" i="4"/>
  <c r="K27" i="4"/>
  <c r="S27" i="4"/>
  <c r="AA27" i="4"/>
  <c r="D27" i="4"/>
  <c r="L27" i="4"/>
  <c r="T27" i="4"/>
  <c r="AB27" i="4"/>
  <c r="F27" i="4"/>
  <c r="N27" i="4"/>
  <c r="V27" i="4"/>
  <c r="AD27" i="4"/>
  <c r="X27" i="4"/>
  <c r="E27" i="4"/>
  <c r="Y27" i="4"/>
  <c r="I27" i="4"/>
  <c r="AF27" i="4"/>
  <c r="M27" i="4"/>
  <c r="AG27" i="4"/>
  <c r="P27" i="4"/>
  <c r="U27" i="4"/>
  <c r="AC27" i="4"/>
  <c r="Q27" i="4"/>
  <c r="H27" i="4"/>
  <c r="F42" i="7"/>
  <c r="F27" i="7"/>
  <c r="I27" i="7"/>
  <c r="I42" i="7"/>
  <c r="D16" i="4"/>
  <c r="L16" i="4"/>
  <c r="T16" i="4"/>
  <c r="AB16" i="4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16" i="4"/>
  <c r="K16" i="4"/>
  <c r="S16" i="4"/>
  <c r="AA16" i="4"/>
  <c r="E16" i="4"/>
  <c r="Q16" i="4"/>
  <c r="AD16" i="4"/>
  <c r="I16" i="4"/>
  <c r="V16" i="4"/>
  <c r="J16" i="4"/>
  <c r="W16" i="4"/>
  <c r="M16" i="4"/>
  <c r="Y16" i="4"/>
  <c r="O16" i="4"/>
  <c r="AC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F16" i="4"/>
  <c r="G16" i="4"/>
  <c r="R16" i="4"/>
  <c r="U16" i="4"/>
  <c r="Z16" i="4"/>
  <c r="AG16" i="4"/>
  <c r="N16" i="4"/>
  <c r="AE16" i="4"/>
  <c r="H42" i="7"/>
  <c r="H27" i="7"/>
  <c r="F7" i="19"/>
  <c r="F7" i="7"/>
  <c r="E7" i="4"/>
  <c r="D73" i="2" s="1"/>
  <c r="G8" i="3"/>
  <c r="E7" i="25"/>
  <c r="D7" i="8"/>
  <c r="E21" i="3"/>
  <c r="G7" i="19" l="1"/>
  <c r="G7" i="7"/>
  <c r="F7" i="4"/>
  <c r="H8" i="3"/>
  <c r="E7" i="8"/>
  <c r="F7" i="25"/>
  <c r="E14" i="7"/>
  <c r="E41" i="7"/>
  <c r="E43" i="7"/>
  <c r="E47" i="7" s="1"/>
  <c r="D28" i="7"/>
  <c r="D33" i="7" s="1"/>
  <c r="D18" i="7"/>
  <c r="G15" i="18"/>
  <c r="F34" i="18"/>
  <c r="D10" i="4"/>
  <c r="D13" i="4" s="1"/>
  <c r="N29" i="2"/>
  <c r="O29" i="2" s="1"/>
  <c r="A19" i="18"/>
  <c r="F6" i="19"/>
  <c r="F6" i="7"/>
  <c r="E6" i="4"/>
  <c r="E10" i="4" s="1"/>
  <c r="G21" i="3"/>
  <c r="G7" i="3"/>
  <c r="D6" i="8"/>
  <c r="F35" i="3"/>
  <c r="F36" i="3" s="1"/>
  <c r="F38" i="3" s="1"/>
  <c r="E11" i="4" s="1"/>
  <c r="E6" i="25"/>
  <c r="E28" i="7" l="1"/>
  <c r="E33" i="7" s="1"/>
  <c r="E18" i="7"/>
  <c r="A20" i="18"/>
  <c r="H16" i="18"/>
  <c r="G16" i="18" s="1"/>
  <c r="H7" i="19"/>
  <c r="H7" i="7"/>
  <c r="G7" i="4"/>
  <c r="I8" i="3"/>
  <c r="F7" i="8"/>
  <c r="G7" i="25"/>
  <c r="F41" i="7"/>
  <c r="F14" i="7"/>
  <c r="F43" i="7"/>
  <c r="F47" i="7" s="1"/>
  <c r="G6" i="19"/>
  <c r="G6" i="7"/>
  <c r="F6" i="4"/>
  <c r="F10" i="4" s="1"/>
  <c r="H7" i="3"/>
  <c r="H21" i="3" s="1"/>
  <c r="G35" i="3"/>
  <c r="G36" i="3" s="1"/>
  <c r="G38" i="3" s="1"/>
  <c r="F11" i="4" s="1"/>
  <c r="E6" i="8"/>
  <c r="F6" i="25"/>
  <c r="E13" i="4"/>
  <c r="H17" i="18" l="1"/>
  <c r="F28" i="7"/>
  <c r="F33" i="7" s="1"/>
  <c r="F18" i="7"/>
  <c r="I16" i="18"/>
  <c r="A21" i="18"/>
  <c r="H6" i="19"/>
  <c r="H6" i="7"/>
  <c r="G6" i="4"/>
  <c r="G10" i="4" s="1"/>
  <c r="I7" i="3"/>
  <c r="H35" i="3"/>
  <c r="H36" i="3" s="1"/>
  <c r="H38" i="3" s="1"/>
  <c r="G11" i="4" s="1"/>
  <c r="I21" i="3"/>
  <c r="G6" i="25"/>
  <c r="F6" i="8"/>
  <c r="F13" i="4"/>
  <c r="I7" i="19"/>
  <c r="H7" i="4"/>
  <c r="I7" i="7"/>
  <c r="J8" i="3"/>
  <c r="H7" i="25"/>
  <c r="G7" i="8"/>
  <c r="G14" i="7"/>
  <c r="G41" i="7"/>
  <c r="G43" i="7"/>
  <c r="G47" i="7" s="1"/>
  <c r="I6" i="19" l="1"/>
  <c r="I6" i="7"/>
  <c r="H6" i="4"/>
  <c r="H10" i="4" s="1"/>
  <c r="H13" i="4" s="1"/>
  <c r="H6" i="25"/>
  <c r="J7" i="3"/>
  <c r="I35" i="3"/>
  <c r="I36" i="3" s="1"/>
  <c r="I38" i="3" s="1"/>
  <c r="H11" i="4" s="1"/>
  <c r="G6" i="8"/>
  <c r="J21" i="3"/>
  <c r="H14" i="7"/>
  <c r="H41" i="7"/>
  <c r="H43" i="7"/>
  <c r="H47" i="7" s="1"/>
  <c r="G28" i="7"/>
  <c r="G33" i="7" s="1"/>
  <c r="G18" i="7"/>
  <c r="J7" i="19"/>
  <c r="J7" i="7"/>
  <c r="I7" i="4"/>
  <c r="I7" i="25"/>
  <c r="K8" i="3"/>
  <c r="H7" i="8"/>
  <c r="G13" i="4"/>
  <c r="I17" i="18"/>
  <c r="A22" i="18"/>
  <c r="H21" i="18"/>
  <c r="G17" i="18"/>
  <c r="J6" i="19" l="1"/>
  <c r="J6" i="7"/>
  <c r="I6" i="4"/>
  <c r="I10" i="4" s="1"/>
  <c r="J35" i="3"/>
  <c r="J36" i="3" s="1"/>
  <c r="J38" i="3" s="1"/>
  <c r="I11" i="4" s="1"/>
  <c r="I6" i="25"/>
  <c r="H6" i="8"/>
  <c r="K7" i="3"/>
  <c r="A23" i="18"/>
  <c r="H22" i="18"/>
  <c r="H18" i="18"/>
  <c r="K7" i="19"/>
  <c r="K7" i="7"/>
  <c r="J7" i="4"/>
  <c r="J7" i="25"/>
  <c r="I7" i="8"/>
  <c r="L8" i="3"/>
  <c r="H28" i="7"/>
  <c r="H33" i="7" s="1"/>
  <c r="H18" i="7"/>
  <c r="I14" i="7"/>
  <c r="I41" i="7"/>
  <c r="I43" i="7"/>
  <c r="I47" i="7" s="1"/>
  <c r="L7" i="19" l="1"/>
  <c r="L7" i="7"/>
  <c r="K7" i="4"/>
  <c r="J7" i="8"/>
  <c r="M8" i="3"/>
  <c r="K7" i="25"/>
  <c r="H23" i="18"/>
  <c r="A24" i="18"/>
  <c r="K6" i="19"/>
  <c r="K6" i="7"/>
  <c r="J6" i="4"/>
  <c r="L21" i="3"/>
  <c r="K35" i="3"/>
  <c r="K36" i="3" s="1"/>
  <c r="K38" i="3" s="1"/>
  <c r="J11" i="4" s="1"/>
  <c r="J6" i="25"/>
  <c r="L7" i="3"/>
  <c r="I6" i="8"/>
  <c r="I28" i="7"/>
  <c r="I33" i="7" s="1"/>
  <c r="I18" i="7"/>
  <c r="I18" i="18"/>
  <c r="G18" i="18"/>
  <c r="K21" i="3"/>
  <c r="I13" i="4"/>
  <c r="J43" i="7"/>
  <c r="J47" i="7" s="1"/>
  <c r="J41" i="7"/>
  <c r="J14" i="7"/>
  <c r="L6" i="19" l="1"/>
  <c r="K6" i="4"/>
  <c r="K10" i="4" s="1"/>
  <c r="L6" i="7"/>
  <c r="M7" i="3"/>
  <c r="M21" i="3" s="1"/>
  <c r="L35" i="3"/>
  <c r="L36" i="3" s="1"/>
  <c r="L38" i="3" s="1"/>
  <c r="K11" i="4" s="1"/>
  <c r="K6" i="25"/>
  <c r="J6" i="8"/>
  <c r="G19" i="18"/>
  <c r="H19" i="18"/>
  <c r="J28" i="7"/>
  <c r="J33" i="7" s="1"/>
  <c r="J18" i="7"/>
  <c r="J10" i="4"/>
  <c r="J13" i="4" s="1"/>
  <c r="M7" i="19"/>
  <c r="M7" i="7"/>
  <c r="L7" i="4"/>
  <c r="N8" i="3"/>
  <c r="L7" i="25"/>
  <c r="K7" i="8"/>
  <c r="K14" i="7"/>
  <c r="K41" i="7"/>
  <c r="K43" i="7"/>
  <c r="K47" i="7" s="1"/>
  <c r="A25" i="18"/>
  <c r="H24" i="18"/>
  <c r="M6" i="19" l="1"/>
  <c r="M6" i="7"/>
  <c r="L6" i="4"/>
  <c r="L10" i="4" s="1"/>
  <c r="N7" i="3"/>
  <c r="N21" i="3" s="1"/>
  <c r="M35" i="3"/>
  <c r="M36" i="3" s="1"/>
  <c r="M38" i="3" s="1"/>
  <c r="L11" i="4" s="1"/>
  <c r="L6" i="25"/>
  <c r="K6" i="8"/>
  <c r="L41" i="7"/>
  <c r="L43" i="7"/>
  <c r="L47" i="7" s="1"/>
  <c r="L14" i="7"/>
  <c r="K28" i="7"/>
  <c r="K33" i="7" s="1"/>
  <c r="K18" i="7"/>
  <c r="I19" i="18"/>
  <c r="K13" i="4"/>
  <c r="A26" i="18"/>
  <c r="H25" i="18"/>
  <c r="N7" i="19"/>
  <c r="N7" i="7"/>
  <c r="M7" i="4"/>
  <c r="O8" i="3"/>
  <c r="M7" i="25"/>
  <c r="L7" i="8"/>
  <c r="H20" i="18"/>
  <c r="I20" i="18" s="1"/>
  <c r="I21" i="18" s="1"/>
  <c r="I22" i="18" s="1"/>
  <c r="I23" i="18" s="1"/>
  <c r="I24" i="18" s="1"/>
  <c r="I25" i="18" s="1"/>
  <c r="L28" i="7" l="1"/>
  <c r="L33" i="7" s="1"/>
  <c r="L18" i="7"/>
  <c r="L13" i="4"/>
  <c r="M14" i="7"/>
  <c r="M43" i="7"/>
  <c r="M47" i="7" s="1"/>
  <c r="M41" i="7"/>
  <c r="N6" i="19"/>
  <c r="N6" i="7"/>
  <c r="M6" i="4"/>
  <c r="M10" i="4" s="1"/>
  <c r="O21" i="3"/>
  <c r="O7" i="3"/>
  <c r="L6" i="8"/>
  <c r="M6" i="25"/>
  <c r="N35" i="3"/>
  <c r="N36" i="3" s="1"/>
  <c r="N38" i="3" s="1"/>
  <c r="M11" i="4" s="1"/>
  <c r="G20" i="18"/>
  <c r="G21" i="18" s="1"/>
  <c r="G22" i="18" s="1"/>
  <c r="G23" i="18" s="1"/>
  <c r="G24" i="18" s="1"/>
  <c r="G25" i="18" s="1"/>
  <c r="G26" i="18" s="1"/>
  <c r="A27" i="18"/>
  <c r="H26" i="18"/>
  <c r="I26" i="18"/>
  <c r="O7" i="19"/>
  <c r="O7" i="7"/>
  <c r="N7" i="4"/>
  <c r="P8" i="3"/>
  <c r="M7" i="8"/>
  <c r="N7" i="25"/>
  <c r="P7" i="19" l="1"/>
  <c r="P7" i="7"/>
  <c r="O7" i="4"/>
  <c r="Q8" i="3"/>
  <c r="N7" i="8"/>
  <c r="O7" i="25"/>
  <c r="G27" i="18"/>
  <c r="O6" i="19"/>
  <c r="O6" i="7"/>
  <c r="N6" i="4"/>
  <c r="N10" i="4" s="1"/>
  <c r="P7" i="3"/>
  <c r="O35" i="3"/>
  <c r="O36" i="3" s="1"/>
  <c r="O38" i="3" s="1"/>
  <c r="N11" i="4" s="1"/>
  <c r="M6" i="8"/>
  <c r="N6" i="25"/>
  <c r="M28" i="7"/>
  <c r="M33" i="7" s="1"/>
  <c r="M18" i="7"/>
  <c r="M13" i="4"/>
  <c r="H27" i="18"/>
  <c r="A28" i="18"/>
  <c r="I27" i="18"/>
  <c r="N41" i="7"/>
  <c r="N14" i="7"/>
  <c r="N43" i="7"/>
  <c r="N47" i="7" s="1"/>
  <c r="N28" i="7" l="1"/>
  <c r="N33" i="7" s="1"/>
  <c r="N18" i="7"/>
  <c r="P6" i="19"/>
  <c r="O6" i="4"/>
  <c r="P6" i="7"/>
  <c r="Q7" i="3"/>
  <c r="P35" i="3"/>
  <c r="P36" i="3" s="1"/>
  <c r="P38" i="3" s="1"/>
  <c r="O11" i="4" s="1"/>
  <c r="O6" i="25"/>
  <c r="N6" i="8"/>
  <c r="P21" i="3"/>
  <c r="Q7" i="19"/>
  <c r="P7" i="4"/>
  <c r="R8" i="3"/>
  <c r="Q7" i="7"/>
  <c r="P7" i="25"/>
  <c r="O7" i="8"/>
  <c r="H28" i="18"/>
  <c r="G28" i="18" s="1"/>
  <c r="I28" i="18"/>
  <c r="A29" i="18"/>
  <c r="N13" i="4"/>
  <c r="O14" i="7"/>
  <c r="O41" i="7"/>
  <c r="O43" i="7"/>
  <c r="O47" i="7" s="1"/>
  <c r="G29" i="18" l="1"/>
  <c r="I29" i="18"/>
  <c r="A30" i="18"/>
  <c r="H29" i="18"/>
  <c r="Q6" i="19"/>
  <c r="Q6" i="7"/>
  <c r="R7" i="3"/>
  <c r="P6" i="25"/>
  <c r="Q35" i="3"/>
  <c r="Q36" i="3" s="1"/>
  <c r="Q38" i="3" s="1"/>
  <c r="P11" i="4" s="1"/>
  <c r="P6" i="4"/>
  <c r="P10" i="4" s="1"/>
  <c r="O6" i="8"/>
  <c r="P14" i="7"/>
  <c r="P43" i="7"/>
  <c r="P47" i="7" s="1"/>
  <c r="P41" i="7"/>
  <c r="O28" i="7"/>
  <c r="O33" i="7" s="1"/>
  <c r="O18" i="7"/>
  <c r="Q21" i="3"/>
  <c r="O10" i="4"/>
  <c r="O13" i="4" s="1"/>
  <c r="R7" i="19"/>
  <c r="R7" i="7"/>
  <c r="Q7" i="4"/>
  <c r="S8" i="3"/>
  <c r="Q7" i="25"/>
  <c r="P7" i="8"/>
  <c r="R6" i="19" l="1"/>
  <c r="R6" i="7"/>
  <c r="S7" i="3"/>
  <c r="S21" i="3" s="1"/>
  <c r="Q6" i="25"/>
  <c r="P6" i="8"/>
  <c r="R35" i="3"/>
  <c r="R36" i="3" s="1"/>
  <c r="R38" i="3" s="1"/>
  <c r="Q11" i="4" s="1"/>
  <c r="Q6" i="4"/>
  <c r="Q14" i="7"/>
  <c r="Q41" i="7"/>
  <c r="Q43" i="7"/>
  <c r="Q47" i="7" s="1"/>
  <c r="P28" i="7"/>
  <c r="P33" i="7" s="1"/>
  <c r="P18" i="7"/>
  <c r="R21" i="3"/>
  <c r="S7" i="19"/>
  <c r="S7" i="7"/>
  <c r="R7" i="4"/>
  <c r="T8" i="3"/>
  <c r="R7" i="25"/>
  <c r="Q7" i="8"/>
  <c r="H30" i="18"/>
  <c r="G30" i="18" s="1"/>
  <c r="I30" i="18"/>
  <c r="A31" i="18"/>
  <c r="P13" i="4"/>
  <c r="T7" i="19" l="1"/>
  <c r="T7" i="7"/>
  <c r="S7" i="4"/>
  <c r="U8" i="3"/>
  <c r="S7" i="25"/>
  <c r="R7" i="8"/>
  <c r="R41" i="7"/>
  <c r="R14" i="7"/>
  <c r="R43" i="7"/>
  <c r="R47" i="7" s="1"/>
  <c r="Q28" i="7"/>
  <c r="Q33" i="7" s="1"/>
  <c r="Q18" i="7"/>
  <c r="S6" i="19"/>
  <c r="S6" i="7"/>
  <c r="R6" i="4"/>
  <c r="R10" i="4" s="1"/>
  <c r="S35" i="3"/>
  <c r="S36" i="3" s="1"/>
  <c r="S38" i="3" s="1"/>
  <c r="R11" i="4" s="1"/>
  <c r="Q6" i="8"/>
  <c r="R6" i="25"/>
  <c r="T7" i="3"/>
  <c r="A32" i="18"/>
  <c r="H31" i="18"/>
  <c r="G31" i="18" s="1"/>
  <c r="I31" i="18"/>
  <c r="Q10" i="4"/>
  <c r="Q13" i="4" s="1"/>
  <c r="G32" i="18" l="1"/>
  <c r="H32" i="18"/>
  <c r="I32" i="18"/>
  <c r="A33" i="18"/>
  <c r="S14" i="7"/>
  <c r="S41" i="7"/>
  <c r="S43" i="7"/>
  <c r="S47" i="7" s="1"/>
  <c r="U7" i="19"/>
  <c r="T7" i="4"/>
  <c r="U7" i="7"/>
  <c r="V8" i="3"/>
  <c r="T7" i="25"/>
  <c r="S7" i="8"/>
  <c r="T6" i="19"/>
  <c r="S6" i="4"/>
  <c r="U7" i="3"/>
  <c r="T35" i="3"/>
  <c r="T36" i="3" s="1"/>
  <c r="T38" i="3" s="1"/>
  <c r="S11" i="4" s="1"/>
  <c r="T6" i="7"/>
  <c r="S6" i="25"/>
  <c r="R6" i="8"/>
  <c r="T21" i="3"/>
  <c r="R28" i="7"/>
  <c r="R33" i="7" s="1"/>
  <c r="R18" i="7"/>
  <c r="R13" i="4"/>
  <c r="U6" i="19" l="1"/>
  <c r="U6" i="7"/>
  <c r="T6" i="4"/>
  <c r="V7" i="3"/>
  <c r="U35" i="3"/>
  <c r="U36" i="3" s="1"/>
  <c r="U38" i="3" s="1"/>
  <c r="T11" i="4" s="1"/>
  <c r="V21" i="3"/>
  <c r="T6" i="25"/>
  <c r="S6" i="8"/>
  <c r="S28" i="7"/>
  <c r="S33" i="7" s="1"/>
  <c r="S18" i="7"/>
  <c r="U21" i="3"/>
  <c r="I33" i="18"/>
  <c r="H33" i="18"/>
  <c r="H34" i="18" s="1"/>
  <c r="C46" i="2" s="1"/>
  <c r="S10" i="4"/>
  <c r="S13" i="4" s="1"/>
  <c r="V7" i="19"/>
  <c r="V7" i="7"/>
  <c r="U7" i="4"/>
  <c r="W8" i="3"/>
  <c r="U7" i="25"/>
  <c r="T7" i="8"/>
  <c r="T41" i="7"/>
  <c r="T43" i="7"/>
  <c r="T47" i="7" s="1"/>
  <c r="T14" i="7"/>
  <c r="V6" i="19" l="1"/>
  <c r="V6" i="7"/>
  <c r="U6" i="4"/>
  <c r="U10" i="4" s="1"/>
  <c r="U13" i="4" s="1"/>
  <c r="W7" i="3"/>
  <c r="T6" i="8"/>
  <c r="U6" i="25"/>
  <c r="V35" i="3"/>
  <c r="V36" i="3" s="1"/>
  <c r="V38" i="3" s="1"/>
  <c r="U11" i="4" s="1"/>
  <c r="T10" i="4"/>
  <c r="T13" i="4" s="1"/>
  <c r="G33" i="18"/>
  <c r="W7" i="19"/>
  <c r="W7" i="7"/>
  <c r="V7" i="4"/>
  <c r="X8" i="3"/>
  <c r="U7" i="8"/>
  <c r="V7" i="25"/>
  <c r="U14" i="7"/>
  <c r="U41" i="7"/>
  <c r="U43" i="7"/>
  <c r="U47" i="7" s="1"/>
  <c r="D46" i="2"/>
  <c r="C50" i="2"/>
  <c r="B16" i="7"/>
  <c r="T28" i="7"/>
  <c r="T33" i="7" s="1"/>
  <c r="T18" i="7"/>
  <c r="D50" i="2" l="1"/>
  <c r="C58" i="2"/>
  <c r="B17" i="7"/>
  <c r="X7" i="19"/>
  <c r="X7" i="7"/>
  <c r="W7" i="4"/>
  <c r="Y8" i="3"/>
  <c r="V7" i="8"/>
  <c r="W7" i="25"/>
  <c r="W6" i="19"/>
  <c r="W6" i="7"/>
  <c r="V6" i="4"/>
  <c r="V10" i="4" s="1"/>
  <c r="X21" i="3"/>
  <c r="X7" i="3"/>
  <c r="W35" i="3"/>
  <c r="W36" i="3" s="1"/>
  <c r="W38" i="3" s="1"/>
  <c r="V11" i="4" s="1"/>
  <c r="U6" i="8"/>
  <c r="V6" i="25"/>
  <c r="W21" i="3"/>
  <c r="U45" i="7"/>
  <c r="V14" i="7"/>
  <c r="V41" i="7"/>
  <c r="V45" i="7" s="1"/>
  <c r="V43" i="7"/>
  <c r="V47" i="7" s="1"/>
  <c r="U28" i="7"/>
  <c r="U33" i="7" s="1"/>
  <c r="U18" i="7"/>
  <c r="H16" i="7"/>
  <c r="P16" i="7"/>
  <c r="X16" i="7"/>
  <c r="AF16" i="7"/>
  <c r="I16" i="7"/>
  <c r="Q16" i="7"/>
  <c r="Y16" i="7"/>
  <c r="AG16" i="7"/>
  <c r="G16" i="7"/>
  <c r="O16" i="7"/>
  <c r="W16" i="7"/>
  <c r="AE16" i="7"/>
  <c r="D16" i="7"/>
  <c r="R16" i="7"/>
  <c r="AC16" i="7"/>
  <c r="E16" i="7"/>
  <c r="S16" i="7"/>
  <c r="AD16" i="7"/>
  <c r="F16" i="7"/>
  <c r="T16" i="7"/>
  <c r="AH16" i="7"/>
  <c r="L16" i="7"/>
  <c r="Z16" i="7"/>
  <c r="J16" i="7"/>
  <c r="K16" i="7"/>
  <c r="V16" i="7"/>
  <c r="AA16" i="7"/>
  <c r="M16" i="7"/>
  <c r="B31" i="7"/>
  <c r="N16" i="7"/>
  <c r="B19" i="7"/>
  <c r="B45" i="7"/>
  <c r="U16" i="7"/>
  <c r="AB16" i="7"/>
  <c r="I31" i="7" l="1"/>
  <c r="G31" i="7"/>
  <c r="O31" i="7"/>
  <c r="L31" i="7"/>
  <c r="U31" i="7"/>
  <c r="AC31" i="7"/>
  <c r="D31" i="7"/>
  <c r="N31" i="7"/>
  <c r="W31" i="7"/>
  <c r="AE31" i="7"/>
  <c r="H31" i="7"/>
  <c r="R31" i="7"/>
  <c r="Z31" i="7"/>
  <c r="AH31" i="7"/>
  <c r="K31" i="7"/>
  <c r="Y31" i="7"/>
  <c r="M31" i="7"/>
  <c r="AA31" i="7"/>
  <c r="E31" i="7"/>
  <c r="T31" i="7"/>
  <c r="AG31" i="7"/>
  <c r="F31" i="7"/>
  <c r="V31" i="7"/>
  <c r="AF31" i="7"/>
  <c r="S31" i="7"/>
  <c r="X31" i="7"/>
  <c r="AD31" i="7"/>
  <c r="P31" i="7"/>
  <c r="Q31" i="7"/>
  <c r="AB31" i="7"/>
  <c r="J31" i="7"/>
  <c r="Y7" i="19"/>
  <c r="Y7" i="7"/>
  <c r="X7" i="4"/>
  <c r="Z8" i="3"/>
  <c r="X7" i="25"/>
  <c r="W7" i="8"/>
  <c r="X6" i="19"/>
  <c r="W6" i="4"/>
  <c r="W10" i="4" s="1"/>
  <c r="W13" i="4" s="1"/>
  <c r="X6" i="7"/>
  <c r="Y7" i="3"/>
  <c r="X35" i="3"/>
  <c r="X36" i="3" s="1"/>
  <c r="X38" i="3" s="1"/>
  <c r="W11" i="4" s="1"/>
  <c r="W6" i="25"/>
  <c r="V6" i="8"/>
  <c r="Q19" i="7"/>
  <c r="F19" i="7"/>
  <c r="V28" i="7"/>
  <c r="V33" i="7" s="1"/>
  <c r="V18" i="7"/>
  <c r="V13" i="4"/>
  <c r="H19" i="7"/>
  <c r="H17" i="7"/>
  <c r="P17" i="7"/>
  <c r="P19" i="7" s="1"/>
  <c r="X17" i="7"/>
  <c r="AF17" i="7"/>
  <c r="I17" i="7"/>
  <c r="I19" i="7" s="1"/>
  <c r="Q17" i="7"/>
  <c r="Y17" i="7"/>
  <c r="AG17" i="7"/>
  <c r="G17" i="7"/>
  <c r="O17" i="7"/>
  <c r="O19" i="7" s="1"/>
  <c r="W17" i="7"/>
  <c r="AE17" i="7"/>
  <c r="K17" i="7"/>
  <c r="K19" i="7" s="1"/>
  <c r="V17" i="7"/>
  <c r="V19" i="7" s="1"/>
  <c r="L17" i="7"/>
  <c r="L19" i="7" s="1"/>
  <c r="Z17" i="7"/>
  <c r="M17" i="7"/>
  <c r="M19" i="7" s="1"/>
  <c r="AA17" i="7"/>
  <c r="E17" i="7"/>
  <c r="E19" i="7" s="1"/>
  <c r="S17" i="7"/>
  <c r="S19" i="7" s="1"/>
  <c r="AD17" i="7"/>
  <c r="AB17" i="7"/>
  <c r="B46" i="7"/>
  <c r="D17" i="7"/>
  <c r="AC17" i="7"/>
  <c r="R17" i="7"/>
  <c r="R19" i="7" s="1"/>
  <c r="T17" i="7"/>
  <c r="T19" i="7" s="1"/>
  <c r="B32" i="7"/>
  <c r="AH17" i="7"/>
  <c r="F17" i="7"/>
  <c r="J17" i="7"/>
  <c r="U17" i="7"/>
  <c r="N17" i="7"/>
  <c r="N19" i="7" s="1"/>
  <c r="U19" i="7"/>
  <c r="G19" i="7"/>
  <c r="W14" i="7"/>
  <c r="W43" i="7"/>
  <c r="W47" i="7" s="1"/>
  <c r="W41" i="7"/>
  <c r="W45" i="7" s="1"/>
  <c r="B48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J19" i="7"/>
  <c r="C18" i="19"/>
  <c r="C20" i="19" s="1"/>
  <c r="C25" i="19" s="1"/>
  <c r="C11" i="2"/>
  <c r="B23" i="2"/>
  <c r="B28" i="2"/>
  <c r="B39" i="2"/>
  <c r="B42" i="2"/>
  <c r="B53" i="2"/>
  <c r="B26" i="2"/>
  <c r="B29" i="2"/>
  <c r="B31" i="2"/>
  <c r="B43" i="2"/>
  <c r="B54" i="2"/>
  <c r="B37" i="2"/>
  <c r="B50" i="2" s="1"/>
  <c r="B40" i="2"/>
  <c r="B44" i="2"/>
  <c r="B55" i="2"/>
  <c r="D58" i="2"/>
  <c r="C62" i="2" s="1"/>
  <c r="B20" i="2"/>
  <c r="B22" i="2"/>
  <c r="B25" i="2"/>
  <c r="B27" i="2"/>
  <c r="B30" i="2"/>
  <c r="B32" i="2"/>
  <c r="B38" i="2"/>
  <c r="B41" i="2"/>
  <c r="B45" i="2"/>
  <c r="B48" i="2"/>
  <c r="B47" i="2"/>
  <c r="B33" i="2"/>
  <c r="B49" i="2"/>
  <c r="B24" i="2"/>
  <c r="AG51" i="25"/>
  <c r="W51" i="25" s="1"/>
  <c r="B21" i="2"/>
  <c r="B46" i="2"/>
  <c r="D19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B21" i="7"/>
  <c r="O32" i="7" l="1"/>
  <c r="W32" i="7"/>
  <c r="W34" i="7" s="1"/>
  <c r="U12" i="8" s="1"/>
  <c r="AE32" i="7"/>
  <c r="J32" i="7"/>
  <c r="R32" i="7"/>
  <c r="R34" i="7" s="1"/>
  <c r="P12" i="8" s="1"/>
  <c r="Z32" i="7"/>
  <c r="AH32" i="7"/>
  <c r="T32" i="7"/>
  <c r="AG32" i="7"/>
  <c r="N32" i="7"/>
  <c r="AA32" i="7"/>
  <c r="AB32" i="7"/>
  <c r="Y32" i="7"/>
  <c r="L32" i="7"/>
  <c r="Q32" i="7"/>
  <c r="K32" i="7"/>
  <c r="AD32" i="7"/>
  <c r="V32" i="7"/>
  <c r="V34" i="7" s="1"/>
  <c r="T12" i="8" s="1"/>
  <c r="X32" i="7"/>
  <c r="AC32" i="7"/>
  <c r="AF32" i="7"/>
  <c r="U32" i="7"/>
  <c r="P32" i="7"/>
  <c r="S32" i="7"/>
  <c r="M32" i="7"/>
  <c r="F32" i="7"/>
  <c r="F34" i="7" s="1"/>
  <c r="D12" i="8" s="1"/>
  <c r="H32" i="7"/>
  <c r="H34" i="7" s="1"/>
  <c r="F12" i="8" s="1"/>
  <c r="I32" i="7"/>
  <c r="E32" i="7"/>
  <c r="G32" i="7"/>
  <c r="D32" i="7"/>
  <c r="M48" i="7"/>
  <c r="L34" i="4" s="1"/>
  <c r="K11" i="8" s="1"/>
  <c r="Y6" i="19"/>
  <c r="Y6" i="7"/>
  <c r="X6" i="4"/>
  <c r="X10" i="4" s="1"/>
  <c r="X6" i="25"/>
  <c r="Z7" i="3"/>
  <c r="Y35" i="3"/>
  <c r="Y36" i="3" s="1"/>
  <c r="Y38" i="3" s="1"/>
  <c r="X11" i="4" s="1"/>
  <c r="Z21" i="3"/>
  <c r="W6" i="8"/>
  <c r="K34" i="7"/>
  <c r="I12" i="8" s="1"/>
  <c r="D34" i="7"/>
  <c r="B12" i="8" s="1"/>
  <c r="X14" i="7"/>
  <c r="X43" i="7"/>
  <c r="X47" i="7" s="1"/>
  <c r="X41" i="7"/>
  <c r="X45" i="7" s="1"/>
  <c r="Z7" i="19"/>
  <c r="Z7" i="7"/>
  <c r="Y7" i="25"/>
  <c r="AA8" i="3"/>
  <c r="X7" i="8"/>
  <c r="Y7" i="4"/>
  <c r="P34" i="7"/>
  <c r="N12" i="8" s="1"/>
  <c r="U34" i="7"/>
  <c r="S12" i="8" s="1"/>
  <c r="Q34" i="7"/>
  <c r="O12" i="8" s="1"/>
  <c r="W48" i="7"/>
  <c r="V34" i="4" s="1"/>
  <c r="U11" i="8" s="1"/>
  <c r="L34" i="7"/>
  <c r="J12" i="8" s="1"/>
  <c r="B34" i="2"/>
  <c r="C14" i="2"/>
  <c r="G41" i="19"/>
  <c r="O41" i="19"/>
  <c r="W41" i="19"/>
  <c r="AE41" i="19"/>
  <c r="D11" i="2"/>
  <c r="I41" i="19"/>
  <c r="Q41" i="19"/>
  <c r="Y41" i="19"/>
  <c r="AG41" i="19"/>
  <c r="C41" i="19"/>
  <c r="C43" i="19" s="1"/>
  <c r="C45" i="19" s="1"/>
  <c r="K41" i="19"/>
  <c r="S41" i="19"/>
  <c r="AA41" i="19"/>
  <c r="H47" i="2"/>
  <c r="E41" i="19"/>
  <c r="M41" i="19"/>
  <c r="U41" i="19"/>
  <c r="AC41" i="19"/>
  <c r="P41" i="19"/>
  <c r="AF41" i="19"/>
  <c r="R41" i="19"/>
  <c r="AH41" i="19"/>
  <c r="D41" i="19"/>
  <c r="T41" i="19"/>
  <c r="F41" i="19"/>
  <c r="V41" i="19"/>
  <c r="J41" i="19"/>
  <c r="Z41" i="19"/>
  <c r="L41" i="19"/>
  <c r="AB41" i="19"/>
  <c r="N41" i="19"/>
  <c r="AD41" i="19"/>
  <c r="H41" i="19"/>
  <c r="X41" i="19"/>
  <c r="B56" i="25"/>
  <c r="B59" i="25" s="1"/>
  <c r="B36" i="25"/>
  <c r="B38" i="25" s="1"/>
  <c r="B49" i="25"/>
  <c r="B52" i="25" s="1"/>
  <c r="B25" i="25"/>
  <c r="B42" i="25"/>
  <c r="B45" i="25" s="1"/>
  <c r="H48" i="2"/>
  <c r="E34" i="7"/>
  <c r="C12" i="8" s="1"/>
  <c r="O34" i="7"/>
  <c r="M12" i="8" s="1"/>
  <c r="D48" i="7"/>
  <c r="D50" i="7" s="1"/>
  <c r="K18" i="19"/>
  <c r="S18" i="19"/>
  <c r="AA18" i="19"/>
  <c r="D18" i="19"/>
  <c r="L18" i="19"/>
  <c r="T18" i="19"/>
  <c r="AB18" i="19"/>
  <c r="E18" i="19"/>
  <c r="M18" i="19"/>
  <c r="U18" i="19"/>
  <c r="AC18" i="19"/>
  <c r="F18" i="19"/>
  <c r="N18" i="19"/>
  <c r="V18" i="19"/>
  <c r="AD18" i="19"/>
  <c r="H18" i="19"/>
  <c r="P18" i="19"/>
  <c r="X18" i="19"/>
  <c r="AF18" i="19"/>
  <c r="I18" i="19"/>
  <c r="Q18" i="19"/>
  <c r="Y18" i="19"/>
  <c r="AG18" i="19"/>
  <c r="J18" i="19"/>
  <c r="R18" i="19"/>
  <c r="Z18" i="19"/>
  <c r="AH18" i="19"/>
  <c r="W18" i="19"/>
  <c r="AE18" i="19"/>
  <c r="G18" i="19"/>
  <c r="O18" i="19"/>
  <c r="B50" i="7"/>
  <c r="C47" i="19"/>
  <c r="W28" i="7"/>
  <c r="W33" i="7" s="1"/>
  <c r="W18" i="7"/>
  <c r="W19" i="7" s="1"/>
  <c r="W21" i="7" s="1"/>
  <c r="S34" i="7"/>
  <c r="Q12" i="8" s="1"/>
  <c r="G34" i="7"/>
  <c r="E12" i="8" s="1"/>
  <c r="T34" i="7"/>
  <c r="R12" i="8" s="1"/>
  <c r="O48" i="7"/>
  <c r="N34" i="4" s="1"/>
  <c r="M11" i="8" s="1"/>
  <c r="L46" i="7"/>
  <c r="L48" i="7" s="1"/>
  <c r="K34" i="4" s="1"/>
  <c r="J11" i="8" s="1"/>
  <c r="T46" i="7"/>
  <c r="T48" i="7" s="1"/>
  <c r="S34" i="4" s="1"/>
  <c r="R11" i="8" s="1"/>
  <c r="AB46" i="7"/>
  <c r="V46" i="7"/>
  <c r="V48" i="7" s="1"/>
  <c r="U34" i="4" s="1"/>
  <c r="T11" i="8" s="1"/>
  <c r="N46" i="7"/>
  <c r="N48" i="7" s="1"/>
  <c r="M34" i="4" s="1"/>
  <c r="L11" i="8" s="1"/>
  <c r="AF46" i="7"/>
  <c r="AA46" i="7"/>
  <c r="S46" i="7"/>
  <c r="S48" i="7" s="1"/>
  <c r="R34" i="4" s="1"/>
  <c r="Q11" i="8" s="1"/>
  <c r="AG46" i="7"/>
  <c r="X46" i="7"/>
  <c r="Y46" i="7"/>
  <c r="K46" i="7"/>
  <c r="K48" i="7" s="1"/>
  <c r="J34" i="4" s="1"/>
  <c r="I11" i="8" s="1"/>
  <c r="AD46" i="7"/>
  <c r="P46" i="7"/>
  <c r="P48" i="7" s="1"/>
  <c r="O34" i="4" s="1"/>
  <c r="N11" i="8" s="1"/>
  <c r="Q46" i="7"/>
  <c r="Q48" i="7" s="1"/>
  <c r="P34" i="4" s="1"/>
  <c r="O11" i="8" s="1"/>
  <c r="U46" i="7"/>
  <c r="U48" i="7" s="1"/>
  <c r="T34" i="4" s="1"/>
  <c r="S11" i="8" s="1"/>
  <c r="AE46" i="7"/>
  <c r="AC46" i="7"/>
  <c r="W46" i="7"/>
  <c r="O46" i="7"/>
  <c r="AH46" i="7"/>
  <c r="R46" i="7"/>
  <c r="Z46" i="7"/>
  <c r="M46" i="7"/>
  <c r="J46" i="7"/>
  <c r="J48" i="7" s="1"/>
  <c r="I34" i="4" s="1"/>
  <c r="H11" i="8" s="1"/>
  <c r="F46" i="7"/>
  <c r="D46" i="7"/>
  <c r="H46" i="7"/>
  <c r="I46" i="7"/>
  <c r="I48" i="7" s="1"/>
  <c r="H34" i="4" s="1"/>
  <c r="G11" i="8" s="1"/>
  <c r="E46" i="7"/>
  <c r="E48" i="7" s="1"/>
  <c r="D34" i="4" s="1"/>
  <c r="C11" i="8" s="1"/>
  <c r="G46" i="7"/>
  <c r="G48" i="7" s="1"/>
  <c r="F34" i="4" s="1"/>
  <c r="E11" i="8" s="1"/>
  <c r="Y21" i="3"/>
  <c r="M34" i="7"/>
  <c r="K12" i="8" s="1"/>
  <c r="I34" i="7"/>
  <c r="G12" i="8" s="1"/>
  <c r="R48" i="7"/>
  <c r="Q34" i="4" s="1"/>
  <c r="P11" i="8" s="1"/>
  <c r="H48" i="7"/>
  <c r="G34" i="4" s="1"/>
  <c r="F11" i="8" s="1"/>
  <c r="B56" i="2"/>
  <c r="B58" i="2" s="1"/>
  <c r="F48" i="7"/>
  <c r="E34" i="4" s="1"/>
  <c r="D11" i="8" s="1"/>
  <c r="J34" i="7"/>
  <c r="H12" i="8" s="1"/>
  <c r="B34" i="7"/>
  <c r="N34" i="7"/>
  <c r="L12" i="8" s="1"/>
  <c r="E50" i="7" l="1"/>
  <c r="C24" i="4"/>
  <c r="Z6" i="19"/>
  <c r="Z6" i="7"/>
  <c r="Y6" i="4"/>
  <c r="Y10" i="4" s="1"/>
  <c r="Y13" i="4" s="1"/>
  <c r="Z35" i="3"/>
  <c r="Z36" i="3" s="1"/>
  <c r="Z38" i="3" s="1"/>
  <c r="Y11" i="4" s="1"/>
  <c r="Y6" i="25"/>
  <c r="X6" i="8"/>
  <c r="AA7" i="3"/>
  <c r="AA21" i="3" s="1"/>
  <c r="L20" i="19"/>
  <c r="L25" i="19" s="1"/>
  <c r="X28" i="7"/>
  <c r="X33" i="7" s="1"/>
  <c r="X34" i="7" s="1"/>
  <c r="V12" i="8" s="1"/>
  <c r="X18" i="7"/>
  <c r="X19" i="7" s="1"/>
  <c r="X21" i="7" s="1"/>
  <c r="S20" i="19"/>
  <c r="S25" i="19" s="1"/>
  <c r="AA7" i="19"/>
  <c r="AA7" i="7"/>
  <c r="Z7" i="4"/>
  <c r="Z7" i="25"/>
  <c r="Y7" i="8"/>
  <c r="AB8" i="3"/>
  <c r="R20" i="19"/>
  <c r="R25" i="19" s="1"/>
  <c r="M20" i="19"/>
  <c r="M25" i="19" s="1"/>
  <c r="D14" i="2"/>
  <c r="B14" i="2"/>
  <c r="B12" i="2"/>
  <c r="X13" i="4"/>
  <c r="E20" i="19"/>
  <c r="E25" i="19" s="1"/>
  <c r="D19" i="19"/>
  <c r="D20" i="19" s="1"/>
  <c r="D25" i="19" s="1"/>
  <c r="L19" i="19"/>
  <c r="T19" i="19"/>
  <c r="T20" i="19" s="1"/>
  <c r="T25" i="19" s="1"/>
  <c r="E19" i="19"/>
  <c r="M19" i="19"/>
  <c r="U19" i="19"/>
  <c r="U20" i="19" s="1"/>
  <c r="U25" i="19" s="1"/>
  <c r="F19" i="19"/>
  <c r="F20" i="19" s="1"/>
  <c r="F25" i="19" s="1"/>
  <c r="N19" i="19"/>
  <c r="V19" i="19"/>
  <c r="G19" i="19"/>
  <c r="O19" i="19"/>
  <c r="W19" i="19"/>
  <c r="I19" i="19"/>
  <c r="I20" i="19" s="1"/>
  <c r="I25" i="19" s="1"/>
  <c r="Q19" i="19"/>
  <c r="J19" i="19"/>
  <c r="J20" i="19" s="1"/>
  <c r="J25" i="19" s="1"/>
  <c r="R19" i="19"/>
  <c r="K19" i="19"/>
  <c r="K20" i="19" s="1"/>
  <c r="K25" i="19" s="1"/>
  <c r="S19" i="19"/>
  <c r="H19" i="19"/>
  <c r="H20" i="19" s="1"/>
  <c r="H25" i="19" s="1"/>
  <c r="P19" i="19"/>
  <c r="P20" i="19" s="1"/>
  <c r="P25" i="19" s="1"/>
  <c r="C34" i="4"/>
  <c r="B11" i="8" s="1"/>
  <c r="B11" i="2"/>
  <c r="Y14" i="7"/>
  <c r="Y41" i="7"/>
  <c r="Y45" i="7" s="1"/>
  <c r="Y43" i="7"/>
  <c r="Y47" i="7" s="1"/>
  <c r="N20" i="19"/>
  <c r="N25" i="19" s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B36" i="7"/>
  <c r="W20" i="19"/>
  <c r="W25" i="19" s="1"/>
  <c r="O20" i="19"/>
  <c r="O25" i="19" s="1"/>
  <c r="B29" i="25"/>
  <c r="C25" i="25" s="1"/>
  <c r="C26" i="25"/>
  <c r="Q20" i="19"/>
  <c r="Q25" i="19" s="1"/>
  <c r="G20" i="19"/>
  <c r="G25" i="19" s="1"/>
  <c r="V20" i="19"/>
  <c r="V25" i="19" s="1"/>
  <c r="X48" i="7"/>
  <c r="W34" i="4" s="1"/>
  <c r="V11" i="8" s="1"/>
  <c r="X36" i="7" l="1"/>
  <c r="Z14" i="7"/>
  <c r="Z41" i="7"/>
  <c r="Z45" i="7" s="1"/>
  <c r="Z48" i="7" s="1"/>
  <c r="Y34" i="4" s="1"/>
  <c r="X11" i="8" s="1"/>
  <c r="Z43" i="7"/>
  <c r="Z47" i="7" s="1"/>
  <c r="Y48" i="7"/>
  <c r="AB7" i="19"/>
  <c r="AB7" i="7"/>
  <c r="AA7" i="4"/>
  <c r="AA7" i="25"/>
  <c r="Z7" i="8"/>
  <c r="AC8" i="3"/>
  <c r="AA6" i="19"/>
  <c r="Z6" i="4"/>
  <c r="Z10" i="4" s="1"/>
  <c r="Z13" i="4" s="1"/>
  <c r="AA35" i="3"/>
  <c r="AA36" i="3" s="1"/>
  <c r="AA38" i="3" s="1"/>
  <c r="Z11" i="4" s="1"/>
  <c r="AA6" i="7"/>
  <c r="AB7" i="3"/>
  <c r="Y6" i="8"/>
  <c r="Z6" i="25"/>
  <c r="Y28" i="7"/>
  <c r="Y33" i="7" s="1"/>
  <c r="Y34" i="7" s="1"/>
  <c r="W12" i="8" s="1"/>
  <c r="Y18" i="7"/>
  <c r="Y19" i="7" s="1"/>
  <c r="Y21" i="7" s="1"/>
  <c r="X19" i="19"/>
  <c r="X20" i="19" s="1"/>
  <c r="X25" i="19" s="1"/>
  <c r="N31" i="2"/>
  <c r="O31" i="2" s="1"/>
  <c r="C30" i="4"/>
  <c r="C32" i="4" s="1"/>
  <c r="F50" i="7"/>
  <c r="D24" i="4"/>
  <c r="D30" i="4" s="1"/>
  <c r="D32" i="4" s="1"/>
  <c r="G50" i="7" l="1"/>
  <c r="E24" i="4"/>
  <c r="E30" i="4" s="1"/>
  <c r="E32" i="4" s="1"/>
  <c r="Z19" i="19"/>
  <c r="Z20" i="19" s="1"/>
  <c r="Z25" i="19" s="1"/>
  <c r="AB6" i="19"/>
  <c r="AB6" i="7"/>
  <c r="AA6" i="4"/>
  <c r="AA10" i="4" s="1"/>
  <c r="AC7" i="3"/>
  <c r="AB35" i="3"/>
  <c r="AB36" i="3" s="1"/>
  <c r="AB38" i="3" s="1"/>
  <c r="AA11" i="4" s="1"/>
  <c r="AC21" i="3"/>
  <c r="AA6" i="25"/>
  <c r="Z6" i="8"/>
  <c r="AA14" i="7"/>
  <c r="AA43" i="7"/>
  <c r="AA47" i="7" s="1"/>
  <c r="AA41" i="7"/>
  <c r="AA45" i="7" s="1"/>
  <c r="AA48" i="7" s="1"/>
  <c r="B74" i="2"/>
  <c r="C11" i="25"/>
  <c r="C13" i="25" s="1"/>
  <c r="C36" i="4"/>
  <c r="B38" i="6"/>
  <c r="Z28" i="7"/>
  <c r="Z33" i="7" s="1"/>
  <c r="Z34" i="7" s="1"/>
  <c r="X12" i="8" s="1"/>
  <c r="Z18" i="7"/>
  <c r="Z19" i="7" s="1"/>
  <c r="Z21" i="7" s="1"/>
  <c r="Y36" i="7"/>
  <c r="Z36" i="7" s="1"/>
  <c r="AC7" i="19"/>
  <c r="AC7" i="7"/>
  <c r="AB7" i="4"/>
  <c r="AD8" i="3"/>
  <c r="AB7" i="25"/>
  <c r="AA7" i="8"/>
  <c r="AB21" i="3"/>
  <c r="C74" i="2"/>
  <c r="D36" i="4"/>
  <c r="D11" i="25"/>
  <c r="C29" i="6"/>
  <c r="C11" i="6" s="1"/>
  <c r="C13" i="6" s="1"/>
  <c r="C38" i="6"/>
  <c r="X34" i="4"/>
  <c r="W11" i="8" s="1"/>
  <c r="Y19" i="19"/>
  <c r="Y20" i="19" s="1"/>
  <c r="Y25" i="19" s="1"/>
  <c r="B11" i="6" l="1"/>
  <c r="B13" i="6" s="1"/>
  <c r="B37" i="6" s="1"/>
  <c r="AB41" i="7"/>
  <c r="AB45" i="7" s="1"/>
  <c r="AB43" i="7"/>
  <c r="AB47" i="7" s="1"/>
  <c r="AB14" i="7"/>
  <c r="AD7" i="19"/>
  <c r="AD7" i="7"/>
  <c r="AC7" i="4"/>
  <c r="AE8" i="3"/>
  <c r="AC7" i="25"/>
  <c r="AB7" i="8"/>
  <c r="B76" i="2"/>
  <c r="AA36" i="7"/>
  <c r="H50" i="7"/>
  <c r="F24" i="4"/>
  <c r="F30" i="4" s="1"/>
  <c r="F32" i="4" s="1"/>
  <c r="Z34" i="4"/>
  <c r="Y11" i="8" s="1"/>
  <c r="D74" i="2"/>
  <c r="E36" i="4"/>
  <c r="E11" i="25"/>
  <c r="D29" i="6"/>
  <c r="D11" i="6" s="1"/>
  <c r="D13" i="6" s="1"/>
  <c r="D38" i="6"/>
  <c r="AC6" i="19"/>
  <c r="AC6" i="7"/>
  <c r="AB6" i="4"/>
  <c r="AB10" i="4" s="1"/>
  <c r="AD7" i="3"/>
  <c r="AC35" i="3"/>
  <c r="AC36" i="3" s="1"/>
  <c r="AC38" i="3" s="1"/>
  <c r="AB11" i="4" s="1"/>
  <c r="AD21" i="3"/>
  <c r="AB6" i="25"/>
  <c r="AA6" i="8"/>
  <c r="AA19" i="19"/>
  <c r="AA20" i="19" s="1"/>
  <c r="AA25" i="19" s="1"/>
  <c r="AA28" i="7"/>
  <c r="AA33" i="7" s="1"/>
  <c r="AA34" i="7" s="1"/>
  <c r="Y12" i="8" s="1"/>
  <c r="AA18" i="7"/>
  <c r="AA19" i="7" s="1"/>
  <c r="AA21" i="7" s="1"/>
  <c r="AA13" i="4"/>
  <c r="AE7" i="19" l="1"/>
  <c r="AE7" i="7"/>
  <c r="AD7" i="4"/>
  <c r="AF8" i="3"/>
  <c r="AC7" i="8"/>
  <c r="AD7" i="25"/>
  <c r="F36" i="4"/>
  <c r="F11" i="25"/>
  <c r="E38" i="6"/>
  <c r="E29" i="6"/>
  <c r="E11" i="6" s="1"/>
  <c r="E13" i="6" s="1"/>
  <c r="G24" i="4"/>
  <c r="G30" i="4" s="1"/>
  <c r="G32" i="4" s="1"/>
  <c r="I50" i="7"/>
  <c r="AB28" i="7"/>
  <c r="AB33" i="7" s="1"/>
  <c r="AB34" i="7" s="1"/>
  <c r="Z12" i="8" s="1"/>
  <c r="AB18" i="7"/>
  <c r="AB19" i="7" s="1"/>
  <c r="AB21" i="7" s="1"/>
  <c r="AB48" i="7"/>
  <c r="AD6" i="19"/>
  <c r="AD6" i="7"/>
  <c r="AE21" i="3"/>
  <c r="AC6" i="4"/>
  <c r="AC10" i="4" s="1"/>
  <c r="AC13" i="4" s="1"/>
  <c r="AE7" i="3"/>
  <c r="AB6" i="8"/>
  <c r="AD35" i="3"/>
  <c r="AD36" i="3" s="1"/>
  <c r="AD38" i="3" s="1"/>
  <c r="AC11" i="4" s="1"/>
  <c r="AC6" i="25"/>
  <c r="B35" i="6"/>
  <c r="B42" i="6"/>
  <c r="B39" i="6"/>
  <c r="AB13" i="4"/>
  <c r="AC14" i="7"/>
  <c r="AC43" i="7"/>
  <c r="AC47" i="7" s="1"/>
  <c r="AC41" i="7"/>
  <c r="AC45" i="7" s="1"/>
  <c r="AC48" i="7" s="1"/>
  <c r="AB34" i="4" s="1"/>
  <c r="AA11" i="8" s="1"/>
  <c r="AC21" i="7" l="1"/>
  <c r="B45" i="6"/>
  <c r="C24" i="6" s="1"/>
  <c r="B44" i="6"/>
  <c r="AF7" i="19"/>
  <c r="AF7" i="7"/>
  <c r="AE7" i="4"/>
  <c r="AG8" i="3"/>
  <c r="AD7" i="8"/>
  <c r="AE7" i="25"/>
  <c r="AC28" i="7"/>
  <c r="AC33" i="7" s="1"/>
  <c r="AC34" i="7" s="1"/>
  <c r="AA12" i="8" s="1"/>
  <c r="AC18" i="7"/>
  <c r="AC19" i="7" s="1"/>
  <c r="AE6" i="19"/>
  <c r="AE6" i="7"/>
  <c r="AD6" i="4"/>
  <c r="AD10" i="4" s="1"/>
  <c r="AF21" i="3"/>
  <c r="AF7" i="3"/>
  <c r="AE35" i="3"/>
  <c r="AE36" i="3" s="1"/>
  <c r="AE38" i="3" s="1"/>
  <c r="AD11" i="4" s="1"/>
  <c r="AC6" i="8"/>
  <c r="AD6" i="25"/>
  <c r="F38" i="6"/>
  <c r="G36" i="4"/>
  <c r="G11" i="25"/>
  <c r="F29" i="6"/>
  <c r="F11" i="6" s="1"/>
  <c r="F13" i="6" s="1"/>
  <c r="AD41" i="7"/>
  <c r="AD45" i="7" s="1"/>
  <c r="AD14" i="7"/>
  <c r="AD43" i="7"/>
  <c r="AD47" i="7" s="1"/>
  <c r="B48" i="6"/>
  <c r="B56" i="6"/>
  <c r="AA34" i="4"/>
  <c r="Z11" i="8" s="1"/>
  <c r="AC19" i="19"/>
  <c r="AC20" i="19" s="1"/>
  <c r="AC25" i="19" s="1"/>
  <c r="AB19" i="19"/>
  <c r="AB20" i="19" s="1"/>
  <c r="AB25" i="19" s="1"/>
  <c r="J50" i="7"/>
  <c r="H24" i="4"/>
  <c r="H30" i="4" s="1"/>
  <c r="H32" i="4" s="1"/>
  <c r="AB36" i="7"/>
  <c r="H36" i="4" l="1"/>
  <c r="H11" i="25"/>
  <c r="G38" i="6"/>
  <c r="G29" i="6"/>
  <c r="G11" i="6" s="1"/>
  <c r="G13" i="6" s="1"/>
  <c r="AD13" i="4"/>
  <c r="AG7" i="19"/>
  <c r="AG7" i="7"/>
  <c r="AF7" i="4"/>
  <c r="AH8" i="3"/>
  <c r="AF7" i="25"/>
  <c r="AE7" i="8"/>
  <c r="K50" i="7"/>
  <c r="I24" i="4"/>
  <c r="I30" i="4" s="1"/>
  <c r="I32" i="4" s="1"/>
  <c r="AE14" i="7"/>
  <c r="AE41" i="7"/>
  <c r="AE45" i="7" s="1"/>
  <c r="AE43" i="7"/>
  <c r="AE47" i="7" s="1"/>
  <c r="B50" i="6"/>
  <c r="B52" i="6" s="1"/>
  <c r="C16" i="25"/>
  <c r="B57" i="6"/>
  <c r="C38" i="4" s="1"/>
  <c r="C40" i="4" s="1"/>
  <c r="AD28" i="7"/>
  <c r="AD33" i="7" s="1"/>
  <c r="AD34" i="7" s="1"/>
  <c r="AB12" i="8" s="1"/>
  <c r="AD18" i="7"/>
  <c r="AD19" i="7" s="1"/>
  <c r="C27" i="6"/>
  <c r="C28" i="6" s="1"/>
  <c r="AC36" i="7"/>
  <c r="AD48" i="7"/>
  <c r="AF6" i="19"/>
  <c r="AF6" i="7"/>
  <c r="AE6" i="4"/>
  <c r="AE10" i="4" s="1"/>
  <c r="AG7" i="3"/>
  <c r="AF35" i="3"/>
  <c r="AF36" i="3" s="1"/>
  <c r="AF38" i="3" s="1"/>
  <c r="AE11" i="4" s="1"/>
  <c r="AG21" i="3"/>
  <c r="AE6" i="25"/>
  <c r="AD6" i="8"/>
  <c r="B58" i="6"/>
  <c r="AD21" i="7"/>
  <c r="C33" i="6" l="1"/>
  <c r="C26" i="6"/>
  <c r="C30" i="6" s="1"/>
  <c r="AE28" i="7"/>
  <c r="AE33" i="7" s="1"/>
  <c r="AE34" i="7" s="1"/>
  <c r="AC12" i="8" s="1"/>
  <c r="AE18" i="7"/>
  <c r="AE19" i="7" s="1"/>
  <c r="AE21" i="7" s="1"/>
  <c r="AC34" i="4"/>
  <c r="AB11" i="8" s="1"/>
  <c r="AD19" i="19"/>
  <c r="AD20" i="19" s="1"/>
  <c r="AD25" i="19" s="1"/>
  <c r="AG6" i="19"/>
  <c r="AG6" i="7"/>
  <c r="AF6" i="4"/>
  <c r="AF10" i="4" s="1"/>
  <c r="AH7" i="3"/>
  <c r="AF6" i="25"/>
  <c r="AG35" i="3"/>
  <c r="AG36" i="3" s="1"/>
  <c r="AG38" i="3" s="1"/>
  <c r="AF11" i="4" s="1"/>
  <c r="AE6" i="8"/>
  <c r="AH7" i="19"/>
  <c r="AH7" i="7"/>
  <c r="AG7" i="4"/>
  <c r="AG7" i="25"/>
  <c r="AF7" i="8"/>
  <c r="C42" i="4"/>
  <c r="C43" i="4"/>
  <c r="C45" i="4"/>
  <c r="B10" i="8"/>
  <c r="B13" i="8" s="1"/>
  <c r="I36" i="4"/>
  <c r="I11" i="25"/>
  <c r="H29" i="6"/>
  <c r="H38" i="6"/>
  <c r="AD36" i="7"/>
  <c r="AE36" i="7" s="1"/>
  <c r="J24" i="4"/>
  <c r="J30" i="4" s="1"/>
  <c r="J32" i="4" s="1"/>
  <c r="L50" i="7"/>
  <c r="AE13" i="4"/>
  <c r="AF14" i="7"/>
  <c r="AF41" i="7"/>
  <c r="AF45" i="7" s="1"/>
  <c r="AF43" i="7"/>
  <c r="AF47" i="7" s="1"/>
  <c r="AE48" i="7"/>
  <c r="I38" i="6" l="1"/>
  <c r="J36" i="4"/>
  <c r="J11" i="25"/>
  <c r="I29" i="6"/>
  <c r="I11" i="6" s="1"/>
  <c r="I13" i="6" s="1"/>
  <c r="B16" i="8"/>
  <c r="B28" i="8"/>
  <c r="B24" i="8"/>
  <c r="AH6" i="19"/>
  <c r="AH6" i="7"/>
  <c r="AG6" i="4"/>
  <c r="AG10" i="4" s="1"/>
  <c r="AG6" i="25"/>
  <c r="AF6" i="8"/>
  <c r="AH35" i="3"/>
  <c r="AH36" i="3" s="1"/>
  <c r="AH38" i="3" s="1"/>
  <c r="AG11" i="4" s="1"/>
  <c r="AG14" i="7"/>
  <c r="AG41" i="7"/>
  <c r="AG45" i="7" s="1"/>
  <c r="AG48" i="7" s="1"/>
  <c r="AG43" i="7"/>
  <c r="AG47" i="7" s="1"/>
  <c r="AF13" i="4"/>
  <c r="H11" i="6"/>
  <c r="H13" i="6" s="1"/>
  <c r="AF28" i="7"/>
  <c r="AF33" i="7" s="1"/>
  <c r="AF34" i="7" s="1"/>
  <c r="AD12" i="8" s="1"/>
  <c r="AF18" i="7"/>
  <c r="AF19" i="7" s="1"/>
  <c r="AF21" i="7" s="1"/>
  <c r="M50" i="7"/>
  <c r="K24" i="4"/>
  <c r="K30" i="4" s="1"/>
  <c r="K32" i="4" s="1"/>
  <c r="AD34" i="4"/>
  <c r="AC11" i="8" s="1"/>
  <c r="AE19" i="19"/>
  <c r="AE20" i="19" s="1"/>
  <c r="AE25" i="19" s="1"/>
  <c r="B75" i="2"/>
  <c r="D42" i="19"/>
  <c r="D43" i="19" s="1"/>
  <c r="AF48" i="7"/>
  <c r="AH21" i="3"/>
  <c r="C36" i="6"/>
  <c r="C37" i="6"/>
  <c r="AF34" i="4" l="1"/>
  <c r="AE11" i="8" s="1"/>
  <c r="AG19" i="19"/>
  <c r="AG20" i="19" s="1"/>
  <c r="AG25" i="19" s="1"/>
  <c r="B29" i="8"/>
  <c r="B30" i="8" s="1"/>
  <c r="AE34" i="4"/>
  <c r="AD11" i="8" s="1"/>
  <c r="AF19" i="19"/>
  <c r="AF20" i="19" s="1"/>
  <c r="AF25" i="19" s="1"/>
  <c r="AG28" i="7"/>
  <c r="AG33" i="7" s="1"/>
  <c r="AG34" i="7" s="1"/>
  <c r="AE12" i="8" s="1"/>
  <c r="AG18" i="7"/>
  <c r="AG19" i="7" s="1"/>
  <c r="AG21" i="7" s="1"/>
  <c r="B21" i="8"/>
  <c r="B19" i="8"/>
  <c r="AF36" i="7"/>
  <c r="AG13" i="4"/>
  <c r="C42" i="6"/>
  <c r="C35" i="6"/>
  <c r="D12" i="25"/>
  <c r="D13" i="25" s="1"/>
  <c r="C49" i="6"/>
  <c r="J29" i="6"/>
  <c r="J11" i="6" s="1"/>
  <c r="J13" i="6" s="1"/>
  <c r="K11" i="25"/>
  <c r="K36" i="4"/>
  <c r="J38" i="6"/>
  <c r="AH14" i="7"/>
  <c r="AH43" i="7"/>
  <c r="AH47" i="7" s="1"/>
  <c r="AH41" i="7"/>
  <c r="AH45" i="7" s="1"/>
  <c r="AH48" i="7" s="1"/>
  <c r="N50" i="7"/>
  <c r="L24" i="4"/>
  <c r="L30" i="4" s="1"/>
  <c r="L32" i="4" s="1"/>
  <c r="AH21" i="7" l="1"/>
  <c r="B41" i="8"/>
  <c r="C15" i="25" s="1"/>
  <c r="B33" i="8"/>
  <c r="C76" i="2"/>
  <c r="AG36" i="7"/>
  <c r="AH36" i="7" s="1"/>
  <c r="AG34" i="4"/>
  <c r="AF11" i="8" s="1"/>
  <c r="AH19" i="19"/>
  <c r="AH20" i="19" s="1"/>
  <c r="AH25" i="19" s="1"/>
  <c r="AH28" i="7"/>
  <c r="AH33" i="7" s="1"/>
  <c r="AH34" i="7" s="1"/>
  <c r="AF12" i="8" s="1"/>
  <c r="AH18" i="7"/>
  <c r="AH19" i="7" s="1"/>
  <c r="O50" i="7"/>
  <c r="M24" i="4"/>
  <c r="M30" i="4" s="1"/>
  <c r="M32" i="4" s="1"/>
  <c r="C48" i="6"/>
  <c r="C56" i="6"/>
  <c r="B22" i="8"/>
  <c r="C18" i="8" s="1"/>
  <c r="C45" i="6"/>
  <c r="D24" i="6" s="1"/>
  <c r="C44" i="6"/>
  <c r="C39" i="6"/>
  <c r="L36" i="4"/>
  <c r="L11" i="25"/>
  <c r="K29" i="6"/>
  <c r="K11" i="6" s="1"/>
  <c r="K13" i="6" s="1"/>
  <c r="K38" i="6"/>
  <c r="C50" i="6" l="1"/>
  <c r="C52" i="6" s="1"/>
  <c r="D16" i="25"/>
  <c r="D27" i="6"/>
  <c r="M36" i="4"/>
  <c r="M11" i="25"/>
  <c r="L29" i="6"/>
  <c r="L38" i="6"/>
  <c r="P50" i="7"/>
  <c r="N24" i="4"/>
  <c r="N30" i="4" s="1"/>
  <c r="N32" i="4" s="1"/>
  <c r="B38" i="8"/>
  <c r="B36" i="8"/>
  <c r="C57" i="6"/>
  <c r="D38" i="4" s="1"/>
  <c r="D40" i="4" s="1"/>
  <c r="D32" i="19"/>
  <c r="C18" i="25"/>
  <c r="C21" i="25" s="1"/>
  <c r="M38" i="6" l="1"/>
  <c r="N11" i="25"/>
  <c r="N36" i="4"/>
  <c r="M29" i="6"/>
  <c r="M11" i="6" s="1"/>
  <c r="M13" i="6" s="1"/>
  <c r="Q50" i="7"/>
  <c r="O24" i="4"/>
  <c r="O30" i="4" s="1"/>
  <c r="O32" i="4" s="1"/>
  <c r="D28" i="6"/>
  <c r="D37" i="19"/>
  <c r="D45" i="19" s="1"/>
  <c r="D47" i="19" s="1"/>
  <c r="L11" i="6"/>
  <c r="L13" i="6" s="1"/>
  <c r="B77" i="2"/>
  <c r="C43" i="25"/>
  <c r="C45" i="25" s="1"/>
  <c r="C27" i="25"/>
  <c r="C28" i="25" s="1"/>
  <c r="C29" i="25" s="1"/>
  <c r="D25" i="25" s="1"/>
  <c r="C57" i="25"/>
  <c r="C59" i="25" s="1"/>
  <c r="C50" i="25"/>
  <c r="C52" i="25" s="1"/>
  <c r="C37" i="25"/>
  <c r="C38" i="25" s="1"/>
  <c r="D42" i="4"/>
  <c r="D43" i="4"/>
  <c r="D45" i="4" s="1"/>
  <c r="C10" i="8"/>
  <c r="C13" i="8" s="1"/>
  <c r="B39" i="8"/>
  <c r="C35" i="8" s="1"/>
  <c r="C58" i="6"/>
  <c r="C75" i="2" l="1"/>
  <c r="E42" i="19"/>
  <c r="E43" i="19" s="1"/>
  <c r="C16" i="8"/>
  <c r="C28" i="8"/>
  <c r="C24" i="8"/>
  <c r="N38" i="6"/>
  <c r="O36" i="4"/>
  <c r="O11" i="25"/>
  <c r="N29" i="6"/>
  <c r="R50" i="7"/>
  <c r="P24" i="4"/>
  <c r="P30" i="4" s="1"/>
  <c r="P32" i="4" s="1"/>
  <c r="D26" i="25"/>
  <c r="D33" i="6"/>
  <c r="D26" i="6"/>
  <c r="D30" i="6" s="1"/>
  <c r="P36" i="4" l="1"/>
  <c r="P11" i="25"/>
  <c r="O29" i="6"/>
  <c r="O38" i="6"/>
  <c r="C19" i="8"/>
  <c r="C21" i="8"/>
  <c r="C29" i="8"/>
  <c r="C30" i="8" s="1"/>
  <c r="D36" i="6"/>
  <c r="N11" i="6"/>
  <c r="N13" i="6" s="1"/>
  <c r="S50" i="7"/>
  <c r="Q24" i="4"/>
  <c r="Q30" i="4" s="1"/>
  <c r="Q32" i="4" s="1"/>
  <c r="C33" i="8" l="1"/>
  <c r="C41" i="8"/>
  <c r="D15" i="25" s="1"/>
  <c r="T50" i="7"/>
  <c r="R24" i="4"/>
  <c r="R30" i="4" s="1"/>
  <c r="R32" i="4" s="1"/>
  <c r="C22" i="8"/>
  <c r="D18" i="8" s="1"/>
  <c r="O11" i="6"/>
  <c r="O13" i="6" s="1"/>
  <c r="D49" i="6"/>
  <c r="E12" i="25"/>
  <c r="E13" i="25" s="1"/>
  <c r="Q36" i="4"/>
  <c r="Q11" i="25"/>
  <c r="P38" i="6"/>
  <c r="P29" i="6"/>
  <c r="D37" i="6"/>
  <c r="P11" i="6" l="1"/>
  <c r="P13" i="6" s="1"/>
  <c r="R36" i="4"/>
  <c r="R11" i="25"/>
  <c r="Q38" i="6"/>
  <c r="Q29" i="6"/>
  <c r="Q11" i="6" s="1"/>
  <c r="Q13" i="6" s="1"/>
  <c r="D76" i="2"/>
  <c r="U50" i="7"/>
  <c r="S24" i="4"/>
  <c r="S30" i="4" s="1"/>
  <c r="S32" i="4" s="1"/>
  <c r="D18" i="25"/>
  <c r="D21" i="25" s="1"/>
  <c r="E32" i="19"/>
  <c r="D39" i="6"/>
  <c r="D42" i="6"/>
  <c r="D35" i="6"/>
  <c r="C36" i="8"/>
  <c r="C38" i="8"/>
  <c r="D45" i="6" l="1"/>
  <c r="E24" i="6" s="1"/>
  <c r="D44" i="6"/>
  <c r="C77" i="2"/>
  <c r="D43" i="25"/>
  <c r="D45" i="25" s="1"/>
  <c r="D57" i="25"/>
  <c r="D59" i="25" s="1"/>
  <c r="D50" i="25"/>
  <c r="D52" i="25" s="1"/>
  <c r="D27" i="25"/>
  <c r="D28" i="25" s="1"/>
  <c r="D29" i="25" s="1"/>
  <c r="E25" i="25" s="1"/>
  <c r="D37" i="25"/>
  <c r="D38" i="25" s="1"/>
  <c r="S36" i="4"/>
  <c r="S11" i="25"/>
  <c r="R29" i="6"/>
  <c r="R38" i="6"/>
  <c r="E37" i="19"/>
  <c r="E45" i="19" s="1"/>
  <c r="E47" i="19" s="1"/>
  <c r="V50" i="7"/>
  <c r="T24" i="4"/>
  <c r="T30" i="4" s="1"/>
  <c r="T32" i="4" s="1"/>
  <c r="C39" i="8"/>
  <c r="D35" i="8" s="1"/>
  <c r="D48" i="6"/>
  <c r="D56" i="6"/>
  <c r="E26" i="25" l="1"/>
  <c r="T36" i="4"/>
  <c r="T11" i="25"/>
  <c r="S29" i="6"/>
  <c r="S11" i="6" s="1"/>
  <c r="S13" i="6" s="1"/>
  <c r="S38" i="6"/>
  <c r="D57" i="6"/>
  <c r="E38" i="4" s="1"/>
  <c r="E40" i="4" s="1"/>
  <c r="D50" i="6"/>
  <c r="D52" i="6" s="1"/>
  <c r="E16" i="25"/>
  <c r="R11" i="6"/>
  <c r="R13" i="6" s="1"/>
  <c r="W50" i="7"/>
  <c r="U24" i="4"/>
  <c r="U30" i="4" s="1"/>
  <c r="U32" i="4" s="1"/>
  <c r="E28" i="6"/>
  <c r="E27" i="6"/>
  <c r="E33" i="6" l="1"/>
  <c r="E26" i="6"/>
  <c r="E30" i="6" s="1"/>
  <c r="E42" i="4"/>
  <c r="E43" i="4" s="1"/>
  <c r="E45" i="4" s="1"/>
  <c r="D10" i="8"/>
  <c r="D13" i="8" s="1"/>
  <c r="U36" i="4"/>
  <c r="U11" i="25"/>
  <c r="T29" i="6"/>
  <c r="T38" i="6"/>
  <c r="X50" i="7"/>
  <c r="V24" i="4"/>
  <c r="V30" i="4" s="1"/>
  <c r="V32" i="4" s="1"/>
  <c r="D58" i="6"/>
  <c r="D75" i="2" l="1"/>
  <c r="F42" i="19"/>
  <c r="F43" i="19" s="1"/>
  <c r="T11" i="6"/>
  <c r="T13" i="6" s="1"/>
  <c r="D16" i="8"/>
  <c r="D24" i="8"/>
  <c r="D28" i="8"/>
  <c r="U38" i="6"/>
  <c r="V36" i="4"/>
  <c r="V11" i="25"/>
  <c r="U29" i="6"/>
  <c r="E36" i="6"/>
  <c r="Y50" i="7"/>
  <c r="W24" i="4"/>
  <c r="W30" i="4" s="1"/>
  <c r="W32" i="4" s="1"/>
  <c r="D19" i="8" l="1"/>
  <c r="D21" i="8"/>
  <c r="D29" i="8"/>
  <c r="D30" i="8" s="1"/>
  <c r="F12" i="25"/>
  <c r="F13" i="25" s="1"/>
  <c r="E49" i="6"/>
  <c r="E37" i="6"/>
  <c r="V38" i="6"/>
  <c r="W36" i="4"/>
  <c r="W11" i="25"/>
  <c r="V29" i="6"/>
  <c r="V11" i="6" s="1"/>
  <c r="V13" i="6" s="1"/>
  <c r="U11" i="6"/>
  <c r="U13" i="6" s="1"/>
  <c r="Z50" i="7"/>
  <c r="X24" i="4"/>
  <c r="X30" i="4" s="1"/>
  <c r="X32" i="4" s="1"/>
  <c r="D41" i="8" l="1"/>
  <c r="E15" i="25" s="1"/>
  <c r="D33" i="8"/>
  <c r="E42" i="6"/>
  <c r="E35" i="6"/>
  <c r="E39" i="6" s="1"/>
  <c r="D22" i="8"/>
  <c r="E18" i="8" s="1"/>
  <c r="X36" i="4"/>
  <c r="X11" i="25"/>
  <c r="W38" i="6"/>
  <c r="W29" i="6"/>
  <c r="W11" i="6" s="1"/>
  <c r="W13" i="6" s="1"/>
  <c r="AA50" i="7"/>
  <c r="Y24" i="4"/>
  <c r="Y30" i="4" s="1"/>
  <c r="Y32" i="4" s="1"/>
  <c r="Z24" i="4" l="1"/>
  <c r="Z30" i="4" s="1"/>
  <c r="Z32" i="4" s="1"/>
  <c r="AB50" i="7"/>
  <c r="E45" i="6"/>
  <c r="F24" i="6" s="1"/>
  <c r="E44" i="6"/>
  <c r="E48" i="6"/>
  <c r="E56" i="6"/>
  <c r="Y36" i="4"/>
  <c r="Y11" i="25"/>
  <c r="X38" i="6"/>
  <c r="X29" i="6"/>
  <c r="X11" i="6" s="1"/>
  <c r="X13" i="6" s="1"/>
  <c r="D38" i="8"/>
  <c r="D36" i="8"/>
  <c r="F32" i="19"/>
  <c r="E18" i="25"/>
  <c r="E21" i="25" s="1"/>
  <c r="F37" i="19" l="1"/>
  <c r="F45" i="19" s="1"/>
  <c r="F47" i="19" s="1"/>
  <c r="D39" i="8"/>
  <c r="E35" i="8" s="1"/>
  <c r="E50" i="6"/>
  <c r="E52" i="6" s="1"/>
  <c r="F16" i="25"/>
  <c r="E57" i="6"/>
  <c r="F38" i="4" s="1"/>
  <c r="F40" i="4" s="1"/>
  <c r="F27" i="6"/>
  <c r="F28" i="6" s="1"/>
  <c r="D77" i="2"/>
  <c r="E57" i="25"/>
  <c r="E59" i="25" s="1"/>
  <c r="E27" i="25"/>
  <c r="E28" i="25" s="1"/>
  <c r="E29" i="25" s="1"/>
  <c r="F25" i="25" s="1"/>
  <c r="E37" i="25"/>
  <c r="E38" i="25" s="1"/>
  <c r="E50" i="25"/>
  <c r="E52" i="25" s="1"/>
  <c r="E43" i="25"/>
  <c r="E45" i="25" s="1"/>
  <c r="AC50" i="7"/>
  <c r="AA24" i="4"/>
  <c r="AA30" i="4" s="1"/>
  <c r="AA32" i="4" s="1"/>
  <c r="Z36" i="4"/>
  <c r="Z11" i="25"/>
  <c r="Y38" i="6"/>
  <c r="Y29" i="6"/>
  <c r="Y11" i="6" s="1"/>
  <c r="Y13" i="6" s="1"/>
  <c r="F33" i="6" l="1"/>
  <c r="F30" i="6"/>
  <c r="F26" i="6"/>
  <c r="AA11" i="25"/>
  <c r="AA36" i="4"/>
  <c r="Z29" i="6"/>
  <c r="Z38" i="6"/>
  <c r="F26" i="25"/>
  <c r="F42" i="4"/>
  <c r="F43" i="4"/>
  <c r="F45" i="4"/>
  <c r="G42" i="19" s="1"/>
  <c r="G43" i="19" s="1"/>
  <c r="E10" i="8"/>
  <c r="E13" i="8" s="1"/>
  <c r="E58" i="6"/>
  <c r="AD50" i="7"/>
  <c r="AB24" i="4"/>
  <c r="AB30" i="4" s="1"/>
  <c r="AB32" i="4" s="1"/>
  <c r="Z11" i="6" l="1"/>
  <c r="Z13" i="6" s="1"/>
  <c r="E16" i="8"/>
  <c r="E28" i="8"/>
  <c r="E24" i="8"/>
  <c r="AE50" i="7"/>
  <c r="AC24" i="4"/>
  <c r="AC30" i="4" s="1"/>
  <c r="AC32" i="4" s="1"/>
  <c r="AB36" i="4"/>
  <c r="AB11" i="25"/>
  <c r="AA29" i="6"/>
  <c r="AA11" i="6" s="1"/>
  <c r="AA13" i="6" s="1"/>
  <c r="AA38" i="6"/>
  <c r="F36" i="6"/>
  <c r="F49" i="6" l="1"/>
  <c r="G12" i="25"/>
  <c r="G13" i="25" s="1"/>
  <c r="AC36" i="4"/>
  <c r="AC11" i="25"/>
  <c r="AB29" i="6"/>
  <c r="AB11" i="6" s="1"/>
  <c r="AB13" i="6" s="1"/>
  <c r="AB38" i="6"/>
  <c r="E21" i="8"/>
  <c r="E19" i="8"/>
  <c r="F37" i="6"/>
  <c r="AF50" i="7"/>
  <c r="AD24" i="4"/>
  <c r="AD30" i="4" s="1"/>
  <c r="AD32" i="4" s="1"/>
  <c r="E29" i="8"/>
  <c r="E30" i="8" s="1"/>
  <c r="E33" i="8" l="1"/>
  <c r="E41" i="8"/>
  <c r="F15" i="25" s="1"/>
  <c r="F42" i="6"/>
  <c r="F35" i="6"/>
  <c r="E22" i="8"/>
  <c r="F18" i="8" s="1"/>
  <c r="AC38" i="6"/>
  <c r="AD36" i="4"/>
  <c r="AD11" i="25"/>
  <c r="AC29" i="6"/>
  <c r="AC11" i="6" s="1"/>
  <c r="AC13" i="6" s="1"/>
  <c r="AG50" i="7"/>
  <c r="AE24" i="4"/>
  <c r="AE30" i="4" s="1"/>
  <c r="AE32" i="4" s="1"/>
  <c r="AD38" i="6" l="1"/>
  <c r="AE36" i="4"/>
  <c r="AE11" i="25"/>
  <c r="AD29" i="6"/>
  <c r="AD11" i="6" s="1"/>
  <c r="AD13" i="6" s="1"/>
  <c r="F48" i="6"/>
  <c r="F56" i="6"/>
  <c r="AH50" i="7"/>
  <c r="AG24" i="4" s="1"/>
  <c r="AG30" i="4" s="1"/>
  <c r="AG32" i="4" s="1"/>
  <c r="AF24" i="4"/>
  <c r="AF30" i="4" s="1"/>
  <c r="AF32" i="4" s="1"/>
  <c r="F44" i="6"/>
  <c r="F45" i="6"/>
  <c r="G24" i="6" s="1"/>
  <c r="F39" i="6"/>
  <c r="G32" i="19"/>
  <c r="F18" i="25"/>
  <c r="F21" i="25" s="1"/>
  <c r="E38" i="8"/>
  <c r="E36" i="8"/>
  <c r="AG36" i="4" l="1"/>
  <c r="AG11" i="25"/>
  <c r="AF29" i="6"/>
  <c r="AF38" i="6"/>
  <c r="E39" i="8"/>
  <c r="F35" i="8" s="1"/>
  <c r="G28" i="6"/>
  <c r="G27" i="6"/>
  <c r="G37" i="19"/>
  <c r="G45" i="19" s="1"/>
  <c r="G47" i="19" s="1"/>
  <c r="F57" i="6"/>
  <c r="G38" i="4" s="1"/>
  <c r="G40" i="4" s="1"/>
  <c r="F27" i="25"/>
  <c r="F28" i="25" s="1"/>
  <c r="F29" i="25" s="1"/>
  <c r="G25" i="25" s="1"/>
  <c r="F37" i="25"/>
  <c r="F38" i="25" s="1"/>
  <c r="F50" i="25"/>
  <c r="F52" i="25" s="1"/>
  <c r="F43" i="25"/>
  <c r="F45" i="25" s="1"/>
  <c r="F57" i="25"/>
  <c r="F59" i="25" s="1"/>
  <c r="F50" i="6"/>
  <c r="F52" i="6" s="1"/>
  <c r="G16" i="25"/>
  <c r="AF36" i="4"/>
  <c r="AG44" i="25"/>
  <c r="W44" i="25" s="1"/>
  <c r="AF11" i="25"/>
  <c r="AE38" i="6"/>
  <c r="AE29" i="6"/>
  <c r="AE11" i="6" s="1"/>
  <c r="AE13" i="6" s="1"/>
  <c r="G33" i="6" l="1"/>
  <c r="AF11" i="6"/>
  <c r="AF13" i="6" s="1"/>
  <c r="G26" i="25"/>
  <c r="G42" i="4"/>
  <c r="G43" i="4" s="1"/>
  <c r="G45" i="4" s="1"/>
  <c r="H42" i="19" s="1"/>
  <c r="H43" i="19" s="1"/>
  <c r="F10" i="8"/>
  <c r="F13" i="8" s="1"/>
  <c r="G26" i="6"/>
  <c r="G30" i="6" s="1"/>
  <c r="F58" i="6"/>
  <c r="F16" i="8" l="1"/>
  <c r="F24" i="8"/>
  <c r="F28" i="8"/>
  <c r="G36" i="6"/>
  <c r="H12" i="25" l="1"/>
  <c r="H13" i="25" s="1"/>
  <c r="G49" i="6"/>
  <c r="F29" i="8"/>
  <c r="F30" i="8" s="1"/>
  <c r="F21" i="8"/>
  <c r="F19" i="8"/>
  <c r="G37" i="6"/>
  <c r="F41" i="8" l="1"/>
  <c r="G15" i="25" s="1"/>
  <c r="F33" i="8"/>
  <c r="F22" i="8"/>
  <c r="G18" i="8" s="1"/>
  <c r="G39" i="6"/>
  <c r="G42" i="6"/>
  <c r="G35" i="6"/>
  <c r="G56" i="6" l="1"/>
  <c r="G48" i="6"/>
  <c r="G45" i="6"/>
  <c r="H24" i="6" s="1"/>
  <c r="G44" i="6"/>
  <c r="F36" i="8"/>
  <c r="F38" i="8"/>
  <c r="H32" i="19"/>
  <c r="G18" i="25"/>
  <c r="G21" i="25" s="1"/>
  <c r="G57" i="6" l="1"/>
  <c r="H38" i="4" s="1"/>
  <c r="H40" i="4" s="1"/>
  <c r="F39" i="8"/>
  <c r="G35" i="8" s="1"/>
  <c r="H27" i="6"/>
  <c r="H28" i="6" s="1"/>
  <c r="G50" i="6"/>
  <c r="G52" i="6" s="1"/>
  <c r="H16" i="25"/>
  <c r="G58" i="6"/>
  <c r="H37" i="19"/>
  <c r="H45" i="19" s="1"/>
  <c r="H47" i="19" s="1"/>
  <c r="G27" i="25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H33" i="6" l="1"/>
  <c r="H26" i="6"/>
  <c r="H30" i="6" s="1"/>
  <c r="H26" i="25"/>
  <c r="H42" i="4"/>
  <c r="H43" i="4" s="1"/>
  <c r="H45" i="4" s="1"/>
  <c r="I42" i="19" s="1"/>
  <c r="I43" i="19" s="1"/>
  <c r="G10" i="8"/>
  <c r="G13" i="8" s="1"/>
  <c r="H36" i="6" l="1"/>
  <c r="G28" i="8"/>
  <c r="G24" i="8"/>
  <c r="G16" i="8"/>
  <c r="G29" i="8" l="1"/>
  <c r="H49" i="6"/>
  <c r="I12" i="25"/>
  <c r="I13" i="25" s="1"/>
  <c r="G21" i="8"/>
  <c r="G19" i="8"/>
  <c r="G30" i="8"/>
  <c r="H37" i="6"/>
  <c r="G22" i="8" l="1"/>
  <c r="H18" i="8" s="1"/>
  <c r="G33" i="8"/>
  <c r="G41" i="8"/>
  <c r="H15" i="25" s="1"/>
  <c r="H39" i="6"/>
  <c r="H42" i="6"/>
  <c r="H35" i="6"/>
  <c r="I32" i="19" l="1"/>
  <c r="H18" i="25"/>
  <c r="H21" i="25" s="1"/>
  <c r="H56" i="6"/>
  <c r="H48" i="6"/>
  <c r="G36" i="8"/>
  <c r="G38" i="8"/>
  <c r="H45" i="6"/>
  <c r="I24" i="6" s="1"/>
  <c r="H44" i="6"/>
  <c r="G39" i="8" l="1"/>
  <c r="H35" i="8" s="1"/>
  <c r="I27" i="6"/>
  <c r="I28" i="6" s="1"/>
  <c r="H58" i="6"/>
  <c r="H57" i="6"/>
  <c r="I38" i="4" s="1"/>
  <c r="I40" i="4" s="1"/>
  <c r="H50" i="6"/>
  <c r="H52" i="6" s="1"/>
  <c r="I16" i="25"/>
  <c r="H57" i="25"/>
  <c r="H59" i="25" s="1"/>
  <c r="H50" i="25"/>
  <c r="H52" i="25" s="1"/>
  <c r="H27" i="25"/>
  <c r="H28" i="25" s="1"/>
  <c r="H29" i="25" s="1"/>
  <c r="I25" i="25" s="1"/>
  <c r="H43" i="25"/>
  <c r="H45" i="25" s="1"/>
  <c r="H37" i="25"/>
  <c r="H38" i="25" s="1"/>
  <c r="I37" i="19"/>
  <c r="I45" i="19" s="1"/>
  <c r="I47" i="19" s="1"/>
  <c r="I33" i="6" l="1"/>
  <c r="I26" i="6"/>
  <c r="I30" i="6" s="1"/>
  <c r="H10" i="8"/>
  <c r="H13" i="8" s="1"/>
  <c r="I42" i="4"/>
  <c r="I43" i="4"/>
  <c r="I45" i="4" s="1"/>
  <c r="J42" i="19" s="1"/>
  <c r="J43" i="19" s="1"/>
  <c r="I26" i="25"/>
  <c r="I36" i="6" l="1"/>
  <c r="H28" i="8"/>
  <c r="H24" i="8"/>
  <c r="H16" i="8"/>
  <c r="H29" i="8" l="1"/>
  <c r="H30" i="8" s="1"/>
  <c r="H19" i="8"/>
  <c r="H21" i="8"/>
  <c r="J12" i="25"/>
  <c r="J13" i="25" s="1"/>
  <c r="I49" i="6"/>
  <c r="I37" i="6"/>
  <c r="H33" i="8" l="1"/>
  <c r="H41" i="8"/>
  <c r="I15" i="25" s="1"/>
  <c r="H22" i="8"/>
  <c r="I18" i="8" s="1"/>
  <c r="I39" i="6"/>
  <c r="I42" i="6"/>
  <c r="I35" i="6"/>
  <c r="I56" i="6" l="1"/>
  <c r="I48" i="6"/>
  <c r="I45" i="6"/>
  <c r="J24" i="6" s="1"/>
  <c r="I44" i="6"/>
  <c r="J32" i="19"/>
  <c r="I18" i="25"/>
  <c r="I21" i="25" s="1"/>
  <c r="H38" i="8"/>
  <c r="H36" i="8"/>
  <c r="I58" i="6" l="1"/>
  <c r="I57" i="25"/>
  <c r="I59" i="25" s="1"/>
  <c r="I27" i="25"/>
  <c r="I28" i="25" s="1"/>
  <c r="I29" i="25" s="1"/>
  <c r="J25" i="25" s="1"/>
  <c r="I37" i="25"/>
  <c r="I38" i="25" s="1"/>
  <c r="I50" i="25"/>
  <c r="I52" i="25" s="1"/>
  <c r="I43" i="25"/>
  <c r="I45" i="25" s="1"/>
  <c r="H39" i="8"/>
  <c r="I35" i="8" s="1"/>
  <c r="I57" i="6"/>
  <c r="J38" i="4" s="1"/>
  <c r="J40" i="4" s="1"/>
  <c r="J37" i="19"/>
  <c r="J45" i="19" s="1"/>
  <c r="J47" i="19" s="1"/>
  <c r="J27" i="6"/>
  <c r="I50" i="6"/>
  <c r="I52" i="6" s="1"/>
  <c r="J16" i="25"/>
  <c r="J26" i="25" l="1"/>
  <c r="J42" i="4"/>
  <c r="J43" i="4" s="1"/>
  <c r="J45" i="4" s="1"/>
  <c r="K42" i="19" s="1"/>
  <c r="K43" i="19" s="1"/>
  <c r="I10" i="8"/>
  <c r="I13" i="8" s="1"/>
  <c r="J28" i="6"/>
  <c r="I16" i="8" l="1"/>
  <c r="I28" i="8"/>
  <c r="I24" i="8"/>
  <c r="J33" i="6"/>
  <c r="J26" i="6"/>
  <c r="J30" i="6" s="1"/>
  <c r="I29" i="8" l="1"/>
  <c r="I30" i="8" s="1"/>
  <c r="J36" i="6"/>
  <c r="I19" i="8"/>
  <c r="I21" i="8"/>
  <c r="I33" i="8" l="1"/>
  <c r="I41" i="8"/>
  <c r="J15" i="25" s="1"/>
  <c r="K12" i="25"/>
  <c r="K13" i="25" s="1"/>
  <c r="J49" i="6"/>
  <c r="I22" i="8"/>
  <c r="J18" i="8" s="1"/>
  <c r="J37" i="6"/>
  <c r="J20" i="8"/>
  <c r="J42" i="6" l="1"/>
  <c r="J35" i="6"/>
  <c r="K32" i="19"/>
  <c r="J18" i="25"/>
  <c r="J21" i="25" s="1"/>
  <c r="I38" i="8"/>
  <c r="I36" i="8"/>
  <c r="J57" i="25" l="1"/>
  <c r="J59" i="25" s="1"/>
  <c r="J27" i="25"/>
  <c r="J28" i="25" s="1"/>
  <c r="J29" i="25" s="1"/>
  <c r="K25" i="25" s="1"/>
  <c r="J37" i="25"/>
  <c r="J38" i="25" s="1"/>
  <c r="J50" i="25"/>
  <c r="J52" i="25" s="1"/>
  <c r="J43" i="25"/>
  <c r="J45" i="25" s="1"/>
  <c r="J48" i="6"/>
  <c r="J56" i="6"/>
  <c r="J39" i="6"/>
  <c r="K37" i="19"/>
  <c r="K45" i="19" s="1"/>
  <c r="K47" i="19" s="1"/>
  <c r="I39" i="8"/>
  <c r="J35" i="8" s="1"/>
  <c r="J44" i="6"/>
  <c r="J45" i="6"/>
  <c r="K24" i="6" s="1"/>
  <c r="J50" i="6" l="1"/>
  <c r="J52" i="6" s="1"/>
  <c r="K16" i="25"/>
  <c r="K27" i="6"/>
  <c r="K28" i="6"/>
  <c r="K26" i="6" s="1"/>
  <c r="K26" i="25"/>
  <c r="J57" i="6"/>
  <c r="K38" i="4" s="1"/>
  <c r="K40" i="4" s="1"/>
  <c r="K42" i="4" l="1"/>
  <c r="K43" i="4" s="1"/>
  <c r="K45" i="4" s="1"/>
  <c r="L42" i="19" s="1"/>
  <c r="L43" i="19" s="1"/>
  <c r="J10" i="8"/>
  <c r="J13" i="8" s="1"/>
  <c r="J58" i="6"/>
  <c r="K33" i="6"/>
  <c r="K30" i="6"/>
  <c r="J28" i="8" l="1"/>
  <c r="J24" i="8"/>
  <c r="J16" i="8"/>
  <c r="K36" i="6"/>
  <c r="K37" i="6" s="1"/>
  <c r="K42" i="6" l="1"/>
  <c r="K35" i="6"/>
  <c r="J21" i="8"/>
  <c r="J19" i="8"/>
  <c r="J30" i="8"/>
  <c r="K49" i="6"/>
  <c r="L12" i="25"/>
  <c r="L13" i="25" s="1"/>
  <c r="J29" i="8"/>
  <c r="J22" i="8" l="1"/>
  <c r="K18" i="8" s="1"/>
  <c r="K20" i="8"/>
  <c r="K48" i="6"/>
  <c r="K56" i="6"/>
  <c r="J41" i="8"/>
  <c r="K15" i="25" s="1"/>
  <c r="J33" i="8"/>
  <c r="K44" i="6"/>
  <c r="K45" i="6"/>
  <c r="L24" i="6" s="1"/>
  <c r="K39" i="6"/>
  <c r="J38" i="8" l="1"/>
  <c r="J36" i="8"/>
  <c r="K58" i="6"/>
  <c r="K50" i="6"/>
  <c r="K52" i="6" s="1"/>
  <c r="L16" i="25"/>
  <c r="L28" i="6"/>
  <c r="L26" i="6" s="1"/>
  <c r="L27" i="6"/>
  <c r="K57" i="6"/>
  <c r="L38" i="4" s="1"/>
  <c r="L40" i="4" s="1"/>
  <c r="L32" i="19"/>
  <c r="K18" i="25"/>
  <c r="K21" i="25" s="1"/>
  <c r="K43" i="25" l="1"/>
  <c r="K45" i="25" s="1"/>
  <c r="K50" i="25"/>
  <c r="K52" i="25" s="1"/>
  <c r="K27" i="25"/>
  <c r="K28" i="25" s="1"/>
  <c r="K29" i="25" s="1"/>
  <c r="L25" i="25" s="1"/>
  <c r="K57" i="25"/>
  <c r="K59" i="25" s="1"/>
  <c r="K37" i="25"/>
  <c r="K38" i="25" s="1"/>
  <c r="L33" i="6"/>
  <c r="L30" i="6"/>
  <c r="L37" i="19"/>
  <c r="L45" i="19" s="1"/>
  <c r="L47" i="19" s="1"/>
  <c r="L42" i="4"/>
  <c r="L45" i="4" s="1"/>
  <c r="M42" i="19" s="1"/>
  <c r="M43" i="19" s="1"/>
  <c r="L43" i="4"/>
  <c r="K10" i="8"/>
  <c r="K13" i="8" s="1"/>
  <c r="J39" i="8"/>
  <c r="K35" i="8" s="1"/>
  <c r="L26" i="25" l="1"/>
  <c r="L36" i="6"/>
  <c r="L37" i="6" s="1"/>
  <c r="K16" i="8"/>
  <c r="K24" i="8"/>
  <c r="K28" i="8"/>
  <c r="L39" i="6" l="1"/>
  <c r="L42" i="6"/>
  <c r="L35" i="6"/>
  <c r="M12" i="25"/>
  <c r="M13" i="25" s="1"/>
  <c r="L49" i="6"/>
  <c r="K29" i="8"/>
  <c r="K30" i="8" s="1"/>
  <c r="K19" i="8"/>
  <c r="K21" i="8"/>
  <c r="K33" i="8" l="1"/>
  <c r="K41" i="8"/>
  <c r="L15" i="25" s="1"/>
  <c r="L20" i="8"/>
  <c r="L48" i="6"/>
  <c r="L56" i="6"/>
  <c r="K22" i="8"/>
  <c r="L18" i="8" s="1"/>
  <c r="L44" i="6"/>
  <c r="L45" i="6"/>
  <c r="M24" i="6" s="1"/>
  <c r="L57" i="6" l="1"/>
  <c r="M38" i="4" s="1"/>
  <c r="M40" i="4" s="1"/>
  <c r="M28" i="6"/>
  <c r="M26" i="6" s="1"/>
  <c r="M27" i="6"/>
  <c r="L18" i="25"/>
  <c r="L21" i="25" s="1"/>
  <c r="M32" i="19"/>
  <c r="L58" i="6"/>
  <c r="L50" i="6"/>
  <c r="L52" i="6" s="1"/>
  <c r="M16" i="25"/>
  <c r="K38" i="8"/>
  <c r="K36" i="8"/>
  <c r="M37" i="19" l="1"/>
  <c r="M45" i="19" s="1"/>
  <c r="M47" i="19" s="1"/>
  <c r="L43" i="25"/>
  <c r="L45" i="25" s="1"/>
  <c r="L57" i="25"/>
  <c r="L59" i="25" s="1"/>
  <c r="L37" i="25"/>
  <c r="L38" i="25" s="1"/>
  <c r="L50" i="25"/>
  <c r="L52" i="25" s="1"/>
  <c r="L27" i="25"/>
  <c r="L28" i="25" s="1"/>
  <c r="L29" i="25" s="1"/>
  <c r="M25" i="25" s="1"/>
  <c r="K39" i="8"/>
  <c r="L35" i="8" s="1"/>
  <c r="M30" i="6"/>
  <c r="M33" i="6"/>
  <c r="M42" i="4"/>
  <c r="L10" i="8"/>
  <c r="L13" i="8" s="1"/>
  <c r="M26" i="25" l="1"/>
  <c r="M43" i="4"/>
  <c r="M45" i="4" s="1"/>
  <c r="N42" i="19" s="1"/>
  <c r="N43" i="19" s="1"/>
  <c r="L16" i="8"/>
  <c r="L24" i="8"/>
  <c r="L28" i="8"/>
  <c r="M37" i="6"/>
  <c r="M36" i="6"/>
  <c r="M42" i="6" l="1"/>
  <c r="L19" i="8"/>
  <c r="L21" i="8"/>
  <c r="L30" i="8"/>
  <c r="M35" i="6"/>
  <c r="M39" i="6" s="1"/>
  <c r="L29" i="8"/>
  <c r="N12" i="25"/>
  <c r="N13" i="25" s="1"/>
  <c r="M49" i="6"/>
  <c r="M48" i="6" l="1"/>
  <c r="M56" i="6"/>
  <c r="M20" i="8"/>
  <c r="M45" i="6"/>
  <c r="N24" i="6" s="1"/>
  <c r="M44" i="6"/>
  <c r="L33" i="8"/>
  <c r="L41" i="8"/>
  <c r="M15" i="25" s="1"/>
  <c r="L22" i="8"/>
  <c r="M18" i="8" s="1"/>
  <c r="L38" i="8" l="1"/>
  <c r="L36" i="8"/>
  <c r="M57" i="6"/>
  <c r="N38" i="4" s="1"/>
  <c r="N40" i="4" s="1"/>
  <c r="M50" i="6"/>
  <c r="M52" i="6" s="1"/>
  <c r="N16" i="25"/>
  <c r="N32" i="19"/>
  <c r="M18" i="25"/>
  <c r="M21" i="25" s="1"/>
  <c r="N27" i="6"/>
  <c r="N37" i="19" l="1"/>
  <c r="N45" i="19" s="1"/>
  <c r="N47" i="19" s="1"/>
  <c r="N28" i="6"/>
  <c r="M58" i="6"/>
  <c r="L39" i="8"/>
  <c r="M35" i="8" s="1"/>
  <c r="N42" i="4"/>
  <c r="N43" i="4"/>
  <c r="N45" i="4" s="1"/>
  <c r="O42" i="19" s="1"/>
  <c r="O43" i="19" s="1"/>
  <c r="M10" i="8"/>
  <c r="M13" i="8" s="1"/>
  <c r="M57" i="25"/>
  <c r="M59" i="25" s="1"/>
  <c r="M27" i="25"/>
  <c r="M28" i="25" s="1"/>
  <c r="M29" i="25" s="1"/>
  <c r="N25" i="25" s="1"/>
  <c r="M37" i="25"/>
  <c r="M38" i="25" s="1"/>
  <c r="M50" i="25"/>
  <c r="M52" i="25" s="1"/>
  <c r="M43" i="25"/>
  <c r="M45" i="25" s="1"/>
  <c r="N26" i="25" l="1"/>
  <c r="M16" i="8"/>
  <c r="M28" i="8"/>
  <c r="M24" i="8"/>
  <c r="N33" i="6"/>
  <c r="N30" i="6"/>
  <c r="N26" i="6"/>
  <c r="N37" i="6" l="1"/>
  <c r="N35" i="6" s="1"/>
  <c r="N36" i="6"/>
  <c r="M21" i="8"/>
  <c r="M19" i="8"/>
  <c r="M29" i="8"/>
  <c r="M30" i="8"/>
  <c r="N56" i="6" l="1"/>
  <c r="N48" i="6"/>
  <c r="M33" i="8"/>
  <c r="M41" i="8"/>
  <c r="N15" i="25" s="1"/>
  <c r="N20" i="8"/>
  <c r="M22" i="8"/>
  <c r="N18" i="8" s="1"/>
  <c r="O12" i="25"/>
  <c r="O13" i="25" s="1"/>
  <c r="N49" i="6"/>
  <c r="N39" i="6"/>
  <c r="N42" i="6"/>
  <c r="N44" i="6" l="1"/>
  <c r="N45" i="6"/>
  <c r="O24" i="6" s="1"/>
  <c r="M38" i="8"/>
  <c r="M36" i="8"/>
  <c r="N50" i="6"/>
  <c r="N52" i="6" s="1"/>
  <c r="O16" i="25"/>
  <c r="N18" i="25"/>
  <c r="N21" i="25" s="1"/>
  <c r="O32" i="19"/>
  <c r="N27" i="25" l="1"/>
  <c r="N28" i="25" s="1"/>
  <c r="N29" i="25" s="1"/>
  <c r="O25" i="25" s="1"/>
  <c r="N37" i="25"/>
  <c r="N38" i="25" s="1"/>
  <c r="N50" i="25"/>
  <c r="N52" i="25" s="1"/>
  <c r="N43" i="25"/>
  <c r="N45" i="25" s="1"/>
  <c r="N57" i="25"/>
  <c r="N59" i="25" s="1"/>
  <c r="N57" i="6"/>
  <c r="M39" i="8"/>
  <c r="N35" i="8" s="1"/>
  <c r="O37" i="19"/>
  <c r="O45" i="19" s="1"/>
  <c r="O47" i="19" s="1"/>
  <c r="O28" i="6"/>
  <c r="O27" i="6"/>
  <c r="O33" i="6" l="1"/>
  <c r="O38" i="4"/>
  <c r="O40" i="4" s="1"/>
  <c r="N58" i="6"/>
  <c r="O26" i="6"/>
  <c r="O30" i="6" s="1"/>
  <c r="O26" i="25"/>
  <c r="O42" i="4" l="1"/>
  <c r="O43" i="4"/>
  <c r="O45" i="4"/>
  <c r="P42" i="19" s="1"/>
  <c r="P43" i="19" s="1"/>
  <c r="N10" i="8"/>
  <c r="N13" i="8" s="1"/>
  <c r="O36" i="6"/>
  <c r="P12" i="25" l="1"/>
  <c r="P13" i="25" s="1"/>
  <c r="O49" i="6"/>
  <c r="O37" i="6"/>
  <c r="N16" i="8"/>
  <c r="N24" i="8"/>
  <c r="N28" i="8"/>
  <c r="N21" i="8" l="1"/>
  <c r="N19" i="8"/>
  <c r="N29" i="8"/>
  <c r="O42" i="6"/>
  <c r="O35" i="6"/>
  <c r="N30" i="8"/>
  <c r="N41" i="8" l="1"/>
  <c r="O15" i="25" s="1"/>
  <c r="N33" i="8"/>
  <c r="O20" i="8"/>
  <c r="O45" i="6"/>
  <c r="P24" i="6" s="1"/>
  <c r="O44" i="6"/>
  <c r="O56" i="6"/>
  <c r="O48" i="6"/>
  <c r="O39" i="6"/>
  <c r="N22" i="8"/>
  <c r="O18" i="8" s="1"/>
  <c r="P32" i="19" l="1"/>
  <c r="O18" i="25"/>
  <c r="O21" i="25" s="1"/>
  <c r="P27" i="6"/>
  <c r="P28" i="6" s="1"/>
  <c r="O57" i="6"/>
  <c r="P38" i="4" s="1"/>
  <c r="P40" i="4" s="1"/>
  <c r="O50" i="6"/>
  <c r="O52" i="6" s="1"/>
  <c r="P16" i="25"/>
  <c r="N38" i="8"/>
  <c r="N36" i="8"/>
  <c r="P33" i="6" l="1"/>
  <c r="P26" i="6"/>
  <c r="P30" i="6" s="1"/>
  <c r="P43" i="4"/>
  <c r="P42" i="4"/>
  <c r="P45" i="4" s="1"/>
  <c r="Q42" i="19" s="1"/>
  <c r="Q43" i="19" s="1"/>
  <c r="O10" i="8"/>
  <c r="O13" i="8" s="1"/>
  <c r="P37" i="19"/>
  <c r="P45" i="19" s="1"/>
  <c r="P47" i="19" s="1"/>
  <c r="N39" i="8"/>
  <c r="O35" i="8" s="1"/>
  <c r="O58" i="6"/>
  <c r="O27" i="25"/>
  <c r="O28" i="25" s="1"/>
  <c r="O29" i="25" s="1"/>
  <c r="P25" i="25" s="1"/>
  <c r="O37" i="25"/>
  <c r="O38" i="25" s="1"/>
  <c r="O50" i="25"/>
  <c r="O52" i="25" s="1"/>
  <c r="O43" i="25"/>
  <c r="O45" i="25" s="1"/>
  <c r="O57" i="25"/>
  <c r="O59" i="25" s="1"/>
  <c r="O16" i="8" l="1"/>
  <c r="O28" i="8"/>
  <c r="O24" i="8"/>
  <c r="P36" i="6"/>
  <c r="P26" i="25"/>
  <c r="Q12" i="25" l="1"/>
  <c r="Q13" i="25" s="1"/>
  <c r="P49" i="6"/>
  <c r="O21" i="8"/>
  <c r="O19" i="8"/>
  <c r="O29" i="8"/>
  <c r="O30" i="8" s="1"/>
  <c r="P37" i="6"/>
  <c r="O33" i="8" l="1"/>
  <c r="O41" i="8"/>
  <c r="P15" i="25" s="1"/>
  <c r="O22" i="8"/>
  <c r="P18" i="8" s="1"/>
  <c r="P20" i="8"/>
  <c r="P42" i="6"/>
  <c r="P35" i="6"/>
  <c r="O36" i="8" l="1"/>
  <c r="O38" i="8"/>
  <c r="P56" i="6"/>
  <c r="P48" i="6"/>
  <c r="P44" i="6"/>
  <c r="P45" i="6"/>
  <c r="Q24" i="6" s="1"/>
  <c r="P39" i="6"/>
  <c r="Q32" i="19"/>
  <c r="P18" i="25"/>
  <c r="P21" i="25" s="1"/>
  <c r="O39" i="8" l="1"/>
  <c r="P35" i="8" s="1"/>
  <c r="Q27" i="6"/>
  <c r="Q28" i="6" s="1"/>
  <c r="P57" i="6"/>
  <c r="Q38" i="4" s="1"/>
  <c r="Q40" i="4" s="1"/>
  <c r="Q37" i="19"/>
  <c r="Q45" i="19" s="1"/>
  <c r="Q47" i="19" s="1"/>
  <c r="P50" i="6"/>
  <c r="P52" i="6" s="1"/>
  <c r="Q16" i="25"/>
  <c r="P57" i="25"/>
  <c r="P59" i="25" s="1"/>
  <c r="P37" i="25"/>
  <c r="P38" i="25" s="1"/>
  <c r="P43" i="25"/>
  <c r="P45" i="25" s="1"/>
  <c r="P27" i="25"/>
  <c r="P28" i="25" s="1"/>
  <c r="P29" i="25" s="1"/>
  <c r="Q25" i="25" s="1"/>
  <c r="P50" i="25"/>
  <c r="P52" i="25" s="1"/>
  <c r="Q33" i="6" l="1"/>
  <c r="Q30" i="6"/>
  <c r="Q26" i="6"/>
  <c r="Q26" i="25"/>
  <c r="P10" i="8"/>
  <c r="P13" i="8" s="1"/>
  <c r="Q43" i="4"/>
  <c r="Q45" i="4" s="1"/>
  <c r="R42" i="19" s="1"/>
  <c r="R43" i="19" s="1"/>
  <c r="Q42" i="4"/>
  <c r="P58" i="6"/>
  <c r="P16" i="8" l="1"/>
  <c r="P28" i="8"/>
  <c r="P24" i="8"/>
  <c r="Q36" i="6"/>
  <c r="P29" i="8" l="1"/>
  <c r="P30" i="8" s="1"/>
  <c r="R12" i="25"/>
  <c r="R13" i="25" s="1"/>
  <c r="Q49" i="6"/>
  <c r="Q37" i="6"/>
  <c r="P19" i="8"/>
  <c r="P21" i="8"/>
  <c r="P33" i="8" l="1"/>
  <c r="P41" i="8"/>
  <c r="Q15" i="25" s="1"/>
  <c r="P22" i="8"/>
  <c r="Q18" i="8" s="1"/>
  <c r="Q42" i="6"/>
  <c r="Q35" i="6"/>
  <c r="Q20" i="8"/>
  <c r="P38" i="8" l="1"/>
  <c r="P36" i="8"/>
  <c r="Q56" i="6"/>
  <c r="Q48" i="6"/>
  <c r="Q39" i="6"/>
  <c r="Q45" i="6"/>
  <c r="R24" i="6" s="1"/>
  <c r="Q44" i="6"/>
  <c r="R32" i="19"/>
  <c r="Q18" i="25"/>
  <c r="Q21" i="25" s="1"/>
  <c r="Q50" i="6" l="1"/>
  <c r="Q52" i="6" s="1"/>
  <c r="R16" i="25"/>
  <c r="R27" i="6"/>
  <c r="R28" i="6"/>
  <c r="R26" i="6" s="1"/>
  <c r="Q58" i="6"/>
  <c r="Q57" i="25"/>
  <c r="Q59" i="25" s="1"/>
  <c r="Q27" i="25"/>
  <c r="Q28" i="25" s="1"/>
  <c r="Q29" i="25" s="1"/>
  <c r="R25" i="25" s="1"/>
  <c r="Q37" i="25"/>
  <c r="Q38" i="25" s="1"/>
  <c r="Q50" i="25"/>
  <c r="Q52" i="25" s="1"/>
  <c r="Q43" i="25"/>
  <c r="Q45" i="25" s="1"/>
  <c r="P39" i="8"/>
  <c r="Q35" i="8" s="1"/>
  <c r="Q57" i="6"/>
  <c r="R38" i="4" s="1"/>
  <c r="R40" i="4" s="1"/>
  <c r="R37" i="19"/>
  <c r="R45" i="19" s="1"/>
  <c r="R47" i="19" s="1"/>
  <c r="Q37" i="8"/>
  <c r="R26" i="25" l="1"/>
  <c r="R42" i="4"/>
  <c r="Q10" i="8"/>
  <c r="Q13" i="8" s="1"/>
  <c r="R43" i="4"/>
  <c r="R45" i="4" s="1"/>
  <c r="S42" i="19" s="1"/>
  <c r="S43" i="19" s="1"/>
  <c r="R33" i="6"/>
  <c r="R30" i="6"/>
  <c r="R36" i="6" l="1"/>
  <c r="Q28" i="8"/>
  <c r="Q16" i="8"/>
  <c r="Q21" i="8" l="1"/>
  <c r="Q19" i="8"/>
  <c r="S12" i="25"/>
  <c r="S13" i="25" s="1"/>
  <c r="R49" i="6"/>
  <c r="R37" i="6"/>
  <c r="R20" i="8" l="1"/>
  <c r="Q24" i="8"/>
  <c r="R42" i="6"/>
  <c r="R39" i="6"/>
  <c r="R35" i="6"/>
  <c r="Q22" i="8"/>
  <c r="R18" i="8" s="1"/>
  <c r="R45" i="6" l="1"/>
  <c r="S24" i="6" s="1"/>
  <c r="R44" i="6"/>
  <c r="Q29" i="8"/>
  <c r="Q30" i="8" s="1"/>
  <c r="R48" i="6"/>
  <c r="R56" i="6"/>
  <c r="S27" i="6" l="1"/>
  <c r="R50" i="6"/>
  <c r="R52" i="6" s="1"/>
  <c r="S16" i="25"/>
  <c r="Q33" i="8"/>
  <c r="R58" i="6"/>
  <c r="R57" i="6"/>
  <c r="S38" i="4" s="1"/>
  <c r="S40" i="4" s="1"/>
  <c r="Q38" i="8" l="1"/>
  <c r="Q36" i="8"/>
  <c r="S28" i="6"/>
  <c r="S42" i="4"/>
  <c r="R10" i="8"/>
  <c r="R13" i="8" s="1"/>
  <c r="S43" i="4" l="1"/>
  <c r="S45" i="4" s="1"/>
  <c r="T42" i="19" s="1"/>
  <c r="T43" i="19" s="1"/>
  <c r="R16" i="8"/>
  <c r="R28" i="8"/>
  <c r="Q39" i="8"/>
  <c r="R35" i="8" s="1"/>
  <c r="S33" i="6"/>
  <c r="S26" i="6"/>
  <c r="S30" i="6" s="1"/>
  <c r="R37" i="8"/>
  <c r="Q41" i="8"/>
  <c r="R15" i="25" s="1"/>
  <c r="S32" i="19" l="1"/>
  <c r="R18" i="25"/>
  <c r="R21" i="25" s="1"/>
  <c r="S36" i="6"/>
  <c r="S37" i="6"/>
  <c r="R21" i="8"/>
  <c r="R19" i="8"/>
  <c r="S42" i="6" l="1"/>
  <c r="S49" i="6"/>
  <c r="T12" i="25"/>
  <c r="T13" i="25" s="1"/>
  <c r="R57" i="25"/>
  <c r="R59" i="25" s="1"/>
  <c r="R27" i="25"/>
  <c r="R28" i="25" s="1"/>
  <c r="R29" i="25" s="1"/>
  <c r="S25" i="25" s="1"/>
  <c r="R37" i="25"/>
  <c r="R38" i="25" s="1"/>
  <c r="R50" i="25"/>
  <c r="R52" i="25" s="1"/>
  <c r="R43" i="25"/>
  <c r="R45" i="25" s="1"/>
  <c r="S37" i="19"/>
  <c r="S45" i="19" s="1"/>
  <c r="S47" i="19" s="1"/>
  <c r="S35" i="6"/>
  <c r="R22" i="8"/>
  <c r="S18" i="8" s="1"/>
  <c r="S20" i="8"/>
  <c r="R24" i="8"/>
  <c r="S26" i="25" l="1"/>
  <c r="R29" i="8"/>
  <c r="R30" i="8" s="1"/>
  <c r="S45" i="6"/>
  <c r="T24" i="6" s="1"/>
  <c r="S44" i="6"/>
  <c r="S48" i="6"/>
  <c r="S56" i="6"/>
  <c r="S39" i="6"/>
  <c r="R33" i="8" l="1"/>
  <c r="T27" i="6"/>
  <c r="S57" i="6"/>
  <c r="T38" i="4" s="1"/>
  <c r="T40" i="4" s="1"/>
  <c r="S50" i="6"/>
  <c r="S52" i="6" s="1"/>
  <c r="T16" i="25"/>
  <c r="S58" i="6" l="1"/>
  <c r="R38" i="8"/>
  <c r="R36" i="8"/>
  <c r="T42" i="4"/>
  <c r="T45" i="4" s="1"/>
  <c r="U42" i="19" s="1"/>
  <c r="U43" i="19" s="1"/>
  <c r="T43" i="4"/>
  <c r="S10" i="8"/>
  <c r="S13" i="8" s="1"/>
  <c r="T28" i="6"/>
  <c r="S28" i="8" l="1"/>
  <c r="S16" i="8"/>
  <c r="R39" i="8"/>
  <c r="S35" i="8" s="1"/>
  <c r="S37" i="8"/>
  <c r="R41" i="8"/>
  <c r="S15" i="25" s="1"/>
  <c r="T33" i="6"/>
  <c r="T26" i="6"/>
  <c r="T30" i="6" s="1"/>
  <c r="T36" i="6" l="1"/>
  <c r="S19" i="8"/>
  <c r="S21" i="8"/>
  <c r="S18" i="25"/>
  <c r="S21" i="25" s="1"/>
  <c r="T32" i="19"/>
  <c r="S22" i="8" l="1"/>
  <c r="T37" i="19"/>
  <c r="T45" i="19" s="1"/>
  <c r="T47" i="19" s="1"/>
  <c r="T20" i="8"/>
  <c r="S24" i="8"/>
  <c r="S43" i="25"/>
  <c r="S45" i="25" s="1"/>
  <c r="S57" i="25"/>
  <c r="S59" i="25" s="1"/>
  <c r="S37" i="25"/>
  <c r="S38" i="25" s="1"/>
  <c r="S50" i="25"/>
  <c r="S52" i="25" s="1"/>
  <c r="S27" i="25"/>
  <c r="S28" i="25" s="1"/>
  <c r="S29" i="25" s="1"/>
  <c r="T25" i="25" s="1"/>
  <c r="U12" i="25"/>
  <c r="U13" i="25" s="1"/>
  <c r="T49" i="6"/>
  <c r="T37" i="6"/>
  <c r="T26" i="25" l="1"/>
  <c r="T42" i="6"/>
  <c r="T35" i="6"/>
  <c r="T39" i="6" s="1"/>
  <c r="S29" i="8"/>
  <c r="S30" i="8" s="1"/>
  <c r="S33" i="8" l="1"/>
  <c r="T48" i="6"/>
  <c r="T56" i="6"/>
  <c r="T44" i="6"/>
  <c r="T45" i="6"/>
  <c r="U24" i="6" s="1"/>
  <c r="T57" i="6" l="1"/>
  <c r="U38" i="4" s="1"/>
  <c r="U40" i="4" s="1"/>
  <c r="T58" i="6"/>
  <c r="U27" i="6"/>
  <c r="U28" i="6" s="1"/>
  <c r="T50" i="6"/>
  <c r="T52" i="6" s="1"/>
  <c r="U16" i="25"/>
  <c r="S36" i="8"/>
  <c r="S39" i="8" s="1"/>
  <c r="S38" i="8"/>
  <c r="U33" i="6" l="1"/>
  <c r="U26" i="6"/>
  <c r="U30" i="6" s="1"/>
  <c r="T37" i="8"/>
  <c r="S41" i="8"/>
  <c r="T15" i="25" s="1"/>
  <c r="U42" i="4"/>
  <c r="T10" i="8"/>
  <c r="T13" i="8" s="1"/>
  <c r="T16" i="8" l="1"/>
  <c r="T28" i="8"/>
  <c r="U43" i="4"/>
  <c r="U45" i="4" s="1"/>
  <c r="V42" i="19" s="1"/>
  <c r="V43" i="19" s="1"/>
  <c r="T18" i="25"/>
  <c r="T21" i="25" s="1"/>
  <c r="U32" i="19"/>
  <c r="U37" i="6"/>
  <c r="U36" i="6"/>
  <c r="U42" i="6" l="1"/>
  <c r="U39" i="6"/>
  <c r="T43" i="25"/>
  <c r="T45" i="25" s="1"/>
  <c r="T57" i="25"/>
  <c r="T59" i="25" s="1"/>
  <c r="T37" i="25"/>
  <c r="T38" i="25" s="1"/>
  <c r="T27" i="25"/>
  <c r="T28" i="25" s="1"/>
  <c r="T29" i="25" s="1"/>
  <c r="U25" i="25" s="1"/>
  <c r="T50" i="25"/>
  <c r="T52" i="25" s="1"/>
  <c r="U37" i="19"/>
  <c r="U45" i="19" s="1"/>
  <c r="U47" i="19" s="1"/>
  <c r="U35" i="6"/>
  <c r="T19" i="8"/>
  <c r="T21" i="8"/>
  <c r="V12" i="25"/>
  <c r="V13" i="25" s="1"/>
  <c r="U49" i="6"/>
  <c r="U26" i="25" l="1"/>
  <c r="U44" i="6"/>
  <c r="U45" i="6"/>
  <c r="V24" i="6" s="1"/>
  <c r="U20" i="8"/>
  <c r="T24" i="8"/>
  <c r="T22" i="8"/>
  <c r="U18" i="8" s="1"/>
  <c r="U48" i="6"/>
  <c r="U56" i="6"/>
  <c r="U57" i="6" l="1"/>
  <c r="V38" i="4" s="1"/>
  <c r="V40" i="4" s="1"/>
  <c r="U50" i="6"/>
  <c r="U52" i="6" s="1"/>
  <c r="V16" i="25"/>
  <c r="T29" i="8"/>
  <c r="T30" i="8" s="1"/>
  <c r="V27" i="6"/>
  <c r="V42" i="4" l="1"/>
  <c r="V43" i="4" s="1"/>
  <c r="U10" i="8"/>
  <c r="U13" i="8" s="1"/>
  <c r="T33" i="8"/>
  <c r="V28" i="6"/>
  <c r="U58" i="6"/>
  <c r="T38" i="8" l="1"/>
  <c r="T36" i="8"/>
  <c r="U28" i="8"/>
  <c r="U16" i="8"/>
  <c r="V45" i="4"/>
  <c r="W42" i="19" s="1"/>
  <c r="W43" i="19" s="1"/>
  <c r="V33" i="6"/>
  <c r="V30" i="6"/>
  <c r="B20" i="6"/>
  <c r="V26" i="6"/>
  <c r="V36" i="6" l="1"/>
  <c r="U21" i="8"/>
  <c r="U19" i="8"/>
  <c r="U37" i="8"/>
  <c r="T41" i="8"/>
  <c r="U15" i="25" s="1"/>
  <c r="T39" i="8"/>
  <c r="U35" i="8" s="1"/>
  <c r="U22" i="8" l="1"/>
  <c r="V18" i="8" s="1"/>
  <c r="V20" i="8"/>
  <c r="U24" i="8"/>
  <c r="U18" i="25"/>
  <c r="U21" i="25" s="1"/>
  <c r="V32" i="19"/>
  <c r="V49" i="6"/>
  <c r="W12" i="25"/>
  <c r="W13" i="25" s="1"/>
  <c r="V37" i="6"/>
  <c r="U29" i="8" l="1"/>
  <c r="U30" i="8" s="1"/>
  <c r="V37" i="19"/>
  <c r="V45" i="19" s="1"/>
  <c r="V47" i="19" s="1"/>
  <c r="V39" i="6"/>
  <c r="V42" i="6"/>
  <c r="V35" i="6"/>
  <c r="U57" i="25"/>
  <c r="U59" i="25" s="1"/>
  <c r="U27" i="25"/>
  <c r="U28" i="25" s="1"/>
  <c r="U29" i="25" s="1"/>
  <c r="V25" i="25" s="1"/>
  <c r="U37" i="25"/>
  <c r="U38" i="25" s="1"/>
  <c r="U50" i="25"/>
  <c r="U52" i="25" s="1"/>
  <c r="U43" i="25"/>
  <c r="U45" i="25" s="1"/>
  <c r="V44" i="6" l="1"/>
  <c r="V45" i="6"/>
  <c r="W24" i="6" s="1"/>
  <c r="V26" i="25"/>
  <c r="U33" i="8"/>
  <c r="V48" i="6"/>
  <c r="V56" i="6"/>
  <c r="V57" i="6" l="1"/>
  <c r="W38" i="4" s="1"/>
  <c r="W40" i="4" s="1"/>
  <c r="V58" i="6"/>
  <c r="U38" i="8"/>
  <c r="U36" i="8"/>
  <c r="U39" i="8" s="1"/>
  <c r="V35" i="8" s="1"/>
  <c r="V50" i="6"/>
  <c r="V52" i="6" s="1"/>
  <c r="W16" i="25"/>
  <c r="W28" i="6"/>
  <c r="W27" i="6"/>
  <c r="V37" i="8" l="1"/>
  <c r="U41" i="8"/>
  <c r="V15" i="25" s="1"/>
  <c r="W33" i="6"/>
  <c r="W26" i="6"/>
  <c r="W30" i="6" s="1"/>
  <c r="W42" i="4"/>
  <c r="W45" i="4" s="1"/>
  <c r="X42" i="19" s="1"/>
  <c r="X43" i="19" s="1"/>
  <c r="W43" i="4"/>
  <c r="V10" i="8"/>
  <c r="V13" i="8" s="1"/>
  <c r="V18" i="25" l="1"/>
  <c r="V21" i="25" s="1"/>
  <c r="W32" i="19"/>
  <c r="W36" i="6"/>
  <c r="W37" i="6" s="1"/>
  <c r="V16" i="8"/>
  <c r="V24" i="8"/>
  <c r="V28" i="8"/>
  <c r="W39" i="6" l="1"/>
  <c r="W42" i="6"/>
  <c r="W35" i="6"/>
  <c r="V29" i="8"/>
  <c r="V21" i="8"/>
  <c r="V19" i="8"/>
  <c r="X12" i="25"/>
  <c r="X13" i="25" s="1"/>
  <c r="W49" i="6"/>
  <c r="W37" i="19"/>
  <c r="W45" i="19" s="1"/>
  <c r="W47" i="19" s="1"/>
  <c r="V30" i="8"/>
  <c r="V27" i="25"/>
  <c r="V28" i="25" s="1"/>
  <c r="V29" i="25" s="1"/>
  <c r="W25" i="25" s="1"/>
  <c r="V37" i="25"/>
  <c r="V38" i="25" s="1"/>
  <c r="V50" i="25"/>
  <c r="V52" i="25" s="1"/>
  <c r="V43" i="25"/>
  <c r="V45" i="25" s="1"/>
  <c r="V57" i="25"/>
  <c r="V59" i="25" s="1"/>
  <c r="W26" i="25" l="1"/>
  <c r="V33" i="8"/>
  <c r="V41" i="8"/>
  <c r="W15" i="25" s="1"/>
  <c r="W56" i="6"/>
  <c r="W48" i="6"/>
  <c r="V22" i="8"/>
  <c r="W18" i="8" s="1"/>
  <c r="W20" i="8"/>
  <c r="W45" i="6"/>
  <c r="X24" i="6" s="1"/>
  <c r="W44" i="6"/>
  <c r="X27" i="6" l="1"/>
  <c r="X28" i="6" s="1"/>
  <c r="W57" i="6"/>
  <c r="X38" i="4" s="1"/>
  <c r="X40" i="4" s="1"/>
  <c r="W50" i="6"/>
  <c r="W52" i="6" s="1"/>
  <c r="X16" i="25"/>
  <c r="W18" i="25"/>
  <c r="W21" i="25" s="1"/>
  <c r="X32" i="19"/>
  <c r="V36" i="8"/>
  <c r="V38" i="8"/>
  <c r="W37" i="8" s="1"/>
  <c r="X33" i="6" l="1"/>
  <c r="X26" i="6"/>
  <c r="X30" i="6" s="1"/>
  <c r="V39" i="8"/>
  <c r="W35" i="8" s="1"/>
  <c r="W58" i="6"/>
  <c r="W10" i="8"/>
  <c r="W13" i="8" s="1"/>
  <c r="X42" i="4"/>
  <c r="X43" i="4" s="1"/>
  <c r="X45" i="4" s="1"/>
  <c r="Y42" i="19" s="1"/>
  <c r="Y43" i="19" s="1"/>
  <c r="X37" i="19"/>
  <c r="X45" i="19" s="1"/>
  <c r="X47" i="19" s="1"/>
  <c r="W27" i="25"/>
  <c r="W28" i="25" s="1"/>
  <c r="W29" i="25" s="1"/>
  <c r="X25" i="25" s="1"/>
  <c r="W37" i="25"/>
  <c r="W38" i="25" s="1"/>
  <c r="C39" i="25" s="1"/>
  <c r="W50" i="25"/>
  <c r="W52" i="25" s="1"/>
  <c r="C53" i="25" s="1"/>
  <c r="C70" i="2" s="1"/>
  <c r="W43" i="25"/>
  <c r="W45" i="25" s="1"/>
  <c r="C46" i="25" s="1"/>
  <c r="C69" i="2" s="1"/>
  <c r="W57" i="25"/>
  <c r="W59" i="25" s="1"/>
  <c r="C60" i="25" s="1"/>
  <c r="C71" i="2" s="1"/>
  <c r="C68" i="2" l="1"/>
  <c r="B9" i="16"/>
  <c r="B12" i="16" s="1"/>
  <c r="X26" i="25"/>
  <c r="W16" i="8"/>
  <c r="W28" i="8"/>
  <c r="W24" i="8"/>
  <c r="X36" i="6"/>
  <c r="X37" i="6" s="1"/>
  <c r="X42" i="6" l="1"/>
  <c r="X35" i="6"/>
  <c r="W21" i="8"/>
  <c r="W19" i="8"/>
  <c r="W30" i="8"/>
  <c r="Y12" i="25"/>
  <c r="Y13" i="25" s="1"/>
  <c r="X49" i="6"/>
  <c r="W29" i="8"/>
  <c r="W22" i="8" l="1"/>
  <c r="X18" i="8" s="1"/>
  <c r="X20" i="8"/>
  <c r="X56" i="6"/>
  <c r="X48" i="6"/>
  <c r="X44" i="6"/>
  <c r="X45" i="6"/>
  <c r="Y24" i="6" s="1"/>
  <c r="W33" i="8"/>
  <c r="W41" i="8"/>
  <c r="X15" i="25" s="1"/>
  <c r="X39" i="6"/>
  <c r="W36" i="8" l="1"/>
  <c r="W39" i="8" s="1"/>
  <c r="X35" i="8" s="1"/>
  <c r="W38" i="8"/>
  <c r="X37" i="8" s="1"/>
  <c r="X57" i="6"/>
  <c r="Y38" i="4" s="1"/>
  <c r="Y40" i="4" s="1"/>
  <c r="Y27" i="6"/>
  <c r="X18" i="25"/>
  <c r="X21" i="25" s="1"/>
  <c r="Y32" i="19"/>
  <c r="X50" i="6"/>
  <c r="X52" i="6" s="1"/>
  <c r="Y16" i="25"/>
  <c r="X58" i="6"/>
  <c r="Y28" i="6" l="1"/>
  <c r="X10" i="8"/>
  <c r="X13" i="8" s="1"/>
  <c r="Y43" i="4"/>
  <c r="Y42" i="4"/>
  <c r="Y45" i="4" s="1"/>
  <c r="Z42" i="19" s="1"/>
  <c r="Z43" i="19" s="1"/>
  <c r="Y37" i="19"/>
  <c r="Y45" i="19" s="1"/>
  <c r="Y47" i="19" s="1"/>
  <c r="X57" i="25"/>
  <c r="X59" i="25" s="1"/>
  <c r="X27" i="25"/>
  <c r="X28" i="25" s="1"/>
  <c r="X29" i="25" s="1"/>
  <c r="Y25" i="25" s="1"/>
  <c r="X43" i="25"/>
  <c r="X45" i="25" s="1"/>
  <c r="X50" i="25"/>
  <c r="X52" i="25" s="1"/>
  <c r="X37" i="25"/>
  <c r="X38" i="25" s="1"/>
  <c r="Y26" i="25" l="1"/>
  <c r="X16" i="8"/>
  <c r="X28" i="8"/>
  <c r="X24" i="8"/>
  <c r="Y33" i="6"/>
  <c r="Y30" i="6"/>
  <c r="Y26" i="6"/>
  <c r="X29" i="8" l="1"/>
  <c r="X30" i="8" s="1"/>
  <c r="X19" i="8"/>
  <c r="X21" i="8"/>
  <c r="Y36" i="6"/>
  <c r="Y37" i="6" s="1"/>
  <c r="Y42" i="6" l="1"/>
  <c r="Y35" i="6"/>
  <c r="X33" i="8"/>
  <c r="X41" i="8"/>
  <c r="Y15" i="25" s="1"/>
  <c r="Y49" i="6"/>
  <c r="Z12" i="25"/>
  <c r="Z13" i="25" s="1"/>
  <c r="X22" i="8"/>
  <c r="Y18" i="8" s="1"/>
  <c r="Y20" i="8"/>
  <c r="Z32" i="19" l="1"/>
  <c r="Y18" i="25"/>
  <c r="Y21" i="25" s="1"/>
  <c r="Y56" i="6"/>
  <c r="Y48" i="6"/>
  <c r="Y39" i="6"/>
  <c r="X38" i="8"/>
  <c r="Y37" i="8" s="1"/>
  <c r="X36" i="8"/>
  <c r="X39" i="8" s="1"/>
  <c r="Y35" i="8" s="1"/>
  <c r="Y45" i="6"/>
  <c r="Z24" i="6" s="1"/>
  <c r="Y44" i="6"/>
  <c r="Y50" i="6" l="1"/>
  <c r="Y52" i="6" s="1"/>
  <c r="Z16" i="25"/>
  <c r="Y57" i="25"/>
  <c r="Y59" i="25" s="1"/>
  <c r="Y27" i="25"/>
  <c r="Y28" i="25" s="1"/>
  <c r="Y29" i="25" s="1"/>
  <c r="Z25" i="25" s="1"/>
  <c r="Y37" i="25"/>
  <c r="Y38" i="25" s="1"/>
  <c r="Y50" i="25"/>
  <c r="Y52" i="25" s="1"/>
  <c r="Y43" i="25"/>
  <c r="Y45" i="25" s="1"/>
  <c r="Z37" i="19"/>
  <c r="Z45" i="19" s="1"/>
  <c r="Z47" i="19" s="1"/>
  <c r="Y57" i="6"/>
  <c r="Z38" i="4" s="1"/>
  <c r="Z40" i="4" s="1"/>
  <c r="Z27" i="6"/>
  <c r="Z28" i="6" s="1"/>
  <c r="Z33" i="6" l="1"/>
  <c r="Z30" i="6"/>
  <c r="Z26" i="6"/>
  <c r="Z26" i="25"/>
  <c r="Y58" i="6"/>
  <c r="Z42" i="4"/>
  <c r="Z43" i="4" s="1"/>
  <c r="Z45" i="4" s="1"/>
  <c r="AA42" i="19" s="1"/>
  <c r="AA43" i="19" s="1"/>
  <c r="Y10" i="8"/>
  <c r="Y13" i="8" s="1"/>
  <c r="Z36" i="6" l="1"/>
  <c r="Y16" i="8"/>
  <c r="Y28" i="8"/>
  <c r="Y24" i="8"/>
  <c r="Y30" i="8" l="1"/>
  <c r="Y29" i="8"/>
  <c r="Y21" i="8"/>
  <c r="Y19" i="8"/>
  <c r="Y22" i="8" s="1"/>
  <c r="Z18" i="8" s="1"/>
  <c r="AA12" i="25"/>
  <c r="AA13" i="25" s="1"/>
  <c r="Z49" i="6"/>
  <c r="Z37" i="6"/>
  <c r="Y41" i="8" l="1"/>
  <c r="Z15" i="25" s="1"/>
  <c r="Y33" i="8"/>
  <c r="Z20" i="8"/>
  <c r="Z42" i="6"/>
  <c r="Z35" i="6"/>
  <c r="Z48" i="6" l="1"/>
  <c r="Z56" i="6"/>
  <c r="Z44" i="6"/>
  <c r="Z45" i="6"/>
  <c r="AA24" i="6" s="1"/>
  <c r="Y38" i="8"/>
  <c r="Z37" i="8" s="1"/>
  <c r="Y36" i="8"/>
  <c r="Y39" i="8" s="1"/>
  <c r="Z35" i="8" s="1"/>
  <c r="Z39" i="6"/>
  <c r="AA32" i="19"/>
  <c r="Z18" i="25"/>
  <c r="Z21" i="25" s="1"/>
  <c r="AA37" i="19" l="1"/>
  <c r="AA45" i="19" s="1"/>
  <c r="AA47" i="19" s="1"/>
  <c r="Z50" i="6"/>
  <c r="Z52" i="6" s="1"/>
  <c r="AA16" i="25"/>
  <c r="AA27" i="6"/>
  <c r="Z57" i="25"/>
  <c r="Z59" i="25" s="1"/>
  <c r="Z27" i="25"/>
  <c r="Z28" i="25" s="1"/>
  <c r="Z29" i="25" s="1"/>
  <c r="AA25" i="25" s="1"/>
  <c r="Z37" i="25"/>
  <c r="Z38" i="25" s="1"/>
  <c r="Z50" i="25"/>
  <c r="Z52" i="25" s="1"/>
  <c r="Z43" i="25"/>
  <c r="Z45" i="25" s="1"/>
  <c r="Z57" i="6"/>
  <c r="AA38" i="4" s="1"/>
  <c r="AA40" i="4" s="1"/>
  <c r="Z58" i="6" l="1"/>
  <c r="AA26" i="25"/>
  <c r="AA42" i="4"/>
  <c r="Z10" i="8"/>
  <c r="Z13" i="8" s="1"/>
  <c r="AA28" i="6"/>
  <c r="AA33" i="6" l="1"/>
  <c r="AA26" i="6"/>
  <c r="AA30" i="6" s="1"/>
  <c r="AA43" i="4"/>
  <c r="AA45" i="4" s="1"/>
  <c r="AB42" i="19" s="1"/>
  <c r="AB43" i="19" s="1"/>
  <c r="Z16" i="8"/>
  <c r="Z24" i="8"/>
  <c r="Z28" i="8"/>
  <c r="Z29" i="8" l="1"/>
  <c r="Z30" i="8"/>
  <c r="Z21" i="8"/>
  <c r="Z19" i="8"/>
  <c r="Z22" i="8" s="1"/>
  <c r="AA18" i="8" s="1"/>
  <c r="AA36" i="6"/>
  <c r="Z41" i="8" l="1"/>
  <c r="AA15" i="25" s="1"/>
  <c r="Z33" i="8"/>
  <c r="AA49" i="6"/>
  <c r="AB12" i="25"/>
  <c r="AB13" i="25" s="1"/>
  <c r="AA20" i="8"/>
  <c r="AA37" i="6"/>
  <c r="AA42" i="6" l="1"/>
  <c r="AA35" i="6"/>
  <c r="AA39" i="6" s="1"/>
  <c r="Z38" i="8"/>
  <c r="AA37" i="8" s="1"/>
  <c r="Z36" i="8"/>
  <c r="Z39" i="8" s="1"/>
  <c r="AA35" i="8" s="1"/>
  <c r="AB32" i="19"/>
  <c r="AA18" i="25"/>
  <c r="AA21" i="25" s="1"/>
  <c r="AA43" i="25" l="1"/>
  <c r="AA45" i="25" s="1"/>
  <c r="AA50" i="25"/>
  <c r="AA52" i="25" s="1"/>
  <c r="AA27" i="25"/>
  <c r="AA28" i="25" s="1"/>
  <c r="AA29" i="25" s="1"/>
  <c r="AB25" i="25" s="1"/>
  <c r="AA57" i="25"/>
  <c r="AA59" i="25" s="1"/>
  <c r="AA37" i="25"/>
  <c r="AA38" i="25" s="1"/>
  <c r="AB37" i="19"/>
  <c r="AB45" i="19" s="1"/>
  <c r="AB47" i="19" s="1"/>
  <c r="AA48" i="6"/>
  <c r="AA56" i="6"/>
  <c r="AA45" i="6"/>
  <c r="AB24" i="6" s="1"/>
  <c r="AA44" i="6"/>
  <c r="AB26" i="25" l="1"/>
  <c r="AA57" i="6"/>
  <c r="AB38" i="4" s="1"/>
  <c r="AB40" i="4" s="1"/>
  <c r="AB27" i="6"/>
  <c r="AA58" i="6"/>
  <c r="AA50" i="6"/>
  <c r="AA52" i="6" s="1"/>
  <c r="AB16" i="25"/>
  <c r="AB42" i="4" l="1"/>
  <c r="AA10" i="8"/>
  <c r="AA13" i="8" s="1"/>
  <c r="AB28" i="6"/>
  <c r="AA16" i="8" l="1"/>
  <c r="AA24" i="8"/>
  <c r="AA28" i="8"/>
  <c r="AB33" i="6"/>
  <c r="AB26" i="6"/>
  <c r="AB30" i="6" s="1"/>
  <c r="AB43" i="4"/>
  <c r="AB45" i="4" s="1"/>
  <c r="AC42" i="19" s="1"/>
  <c r="AC43" i="19" s="1"/>
  <c r="AB36" i="6" l="1"/>
  <c r="AA19" i="8"/>
  <c r="AA22" i="8" s="1"/>
  <c r="AB18" i="8" s="1"/>
  <c r="AA21" i="8"/>
  <c r="AA29" i="8"/>
  <c r="AA30" i="8" s="1"/>
  <c r="AA33" i="8" l="1"/>
  <c r="AA41" i="8"/>
  <c r="AB15" i="25" s="1"/>
  <c r="AB49" i="6"/>
  <c r="AC12" i="25"/>
  <c r="AC13" i="25" s="1"/>
  <c r="AB37" i="6"/>
  <c r="AB20" i="8"/>
  <c r="AC32" i="19" l="1"/>
  <c r="AB18" i="25"/>
  <c r="AB21" i="25" s="1"/>
  <c r="AB42" i="6"/>
  <c r="AB35" i="6"/>
  <c r="AA38" i="8"/>
  <c r="AB37" i="8" s="1"/>
  <c r="AA36" i="8"/>
  <c r="AA39" i="8" s="1"/>
  <c r="AB35" i="8" s="1"/>
  <c r="AB45" i="6" l="1"/>
  <c r="AC24" i="6" s="1"/>
  <c r="AB44" i="6"/>
  <c r="AB43" i="25"/>
  <c r="AB45" i="25" s="1"/>
  <c r="AB57" i="25"/>
  <c r="AB59" i="25" s="1"/>
  <c r="AB50" i="25"/>
  <c r="AB52" i="25" s="1"/>
  <c r="AB27" i="25"/>
  <c r="AB28" i="25" s="1"/>
  <c r="AB29" i="25" s="1"/>
  <c r="AC25" i="25" s="1"/>
  <c r="AB37" i="25"/>
  <c r="AB38" i="25" s="1"/>
  <c r="AC37" i="19"/>
  <c r="AC45" i="19" s="1"/>
  <c r="AC47" i="19" s="1"/>
  <c r="AB48" i="6"/>
  <c r="AB56" i="6"/>
  <c r="AB39" i="6"/>
  <c r="AB57" i="6" l="1"/>
  <c r="AC38" i="4" s="1"/>
  <c r="AC40" i="4" s="1"/>
  <c r="AC26" i="25"/>
  <c r="AC27" i="6"/>
  <c r="AC28" i="6" s="1"/>
  <c r="AB58" i="6"/>
  <c r="AB50" i="6"/>
  <c r="AB52" i="6" s="1"/>
  <c r="AC16" i="25"/>
  <c r="AC33" i="6" l="1"/>
  <c r="AC26" i="6"/>
  <c r="AC30" i="6" s="1"/>
  <c r="AC42" i="4"/>
  <c r="AC45" i="4" s="1"/>
  <c r="AD42" i="19" s="1"/>
  <c r="AD43" i="19" s="1"/>
  <c r="AC43" i="4"/>
  <c r="AB10" i="8"/>
  <c r="AB13" i="8" s="1"/>
  <c r="AB16" i="8" l="1"/>
  <c r="AB24" i="8"/>
  <c r="AB28" i="8"/>
  <c r="AC36" i="6"/>
  <c r="AD12" i="25" l="1"/>
  <c r="AD13" i="25" s="1"/>
  <c r="AC49" i="6"/>
  <c r="AC37" i="6"/>
  <c r="AB29" i="8"/>
  <c r="AB30" i="8" s="1"/>
  <c r="AB19" i="8"/>
  <c r="AB22" i="8" s="1"/>
  <c r="AC18" i="8" s="1"/>
  <c r="AB21" i="8"/>
  <c r="AB33" i="8" l="1"/>
  <c r="AB41" i="8"/>
  <c r="AC15" i="25" s="1"/>
  <c r="AC20" i="8"/>
  <c r="AC42" i="6"/>
  <c r="AC39" i="6"/>
  <c r="AC35" i="6"/>
  <c r="AC45" i="6" l="1"/>
  <c r="AD24" i="6" s="1"/>
  <c r="AC44" i="6"/>
  <c r="AD32" i="19"/>
  <c r="AC18" i="25"/>
  <c r="AC21" i="25" s="1"/>
  <c r="AC48" i="6"/>
  <c r="AC56" i="6"/>
  <c r="AB38" i="8"/>
  <c r="AC37" i="8" s="1"/>
  <c r="AB36" i="8"/>
  <c r="AB39" i="8" s="1"/>
  <c r="AC35" i="8" s="1"/>
  <c r="AC50" i="6" l="1"/>
  <c r="AC52" i="6" s="1"/>
  <c r="AD16" i="25"/>
  <c r="AD37" i="19"/>
  <c r="AD45" i="19" s="1"/>
  <c r="AD47" i="19" s="1"/>
  <c r="AC58" i="6"/>
  <c r="AC57" i="6"/>
  <c r="AD38" i="4" s="1"/>
  <c r="AD40" i="4" s="1"/>
  <c r="AC57" i="25"/>
  <c r="AC59" i="25" s="1"/>
  <c r="AC27" i="25"/>
  <c r="AC28" i="25" s="1"/>
  <c r="AC29" i="25" s="1"/>
  <c r="AD25" i="25" s="1"/>
  <c r="AC37" i="25"/>
  <c r="AC38" i="25" s="1"/>
  <c r="AC50" i="25"/>
  <c r="AC52" i="25" s="1"/>
  <c r="AC43" i="25"/>
  <c r="AC45" i="25" s="1"/>
  <c r="AD27" i="6"/>
  <c r="AD42" i="4" l="1"/>
  <c r="AD43" i="4"/>
  <c r="AD45" i="4"/>
  <c r="AE42" i="19" s="1"/>
  <c r="AE43" i="19" s="1"/>
  <c r="AC10" i="8"/>
  <c r="AC13" i="8" s="1"/>
  <c r="AD28" i="6"/>
  <c r="AD26" i="25"/>
  <c r="AD33" i="6" l="1"/>
  <c r="AD30" i="6"/>
  <c r="AD26" i="6"/>
  <c r="AC28" i="8"/>
  <c r="AC24" i="8"/>
  <c r="AC16" i="8"/>
  <c r="AC29" i="8" l="1"/>
  <c r="AC21" i="8"/>
  <c r="AD20" i="8" s="1"/>
  <c r="AC19" i="8"/>
  <c r="AC22" i="8" s="1"/>
  <c r="AD18" i="8" s="1"/>
  <c r="AC30" i="8"/>
  <c r="AD36" i="6"/>
  <c r="AD37" i="6" s="1"/>
  <c r="AD42" i="6" l="1"/>
  <c r="AD35" i="6"/>
  <c r="AD49" i="6"/>
  <c r="AE12" i="25"/>
  <c r="AE13" i="25" s="1"/>
  <c r="AC33" i="8"/>
  <c r="AC41" i="8"/>
  <c r="AD15" i="25" s="1"/>
  <c r="AC38" i="8" l="1"/>
  <c r="AD37" i="8" s="1"/>
  <c r="AC36" i="8"/>
  <c r="AC39" i="8" s="1"/>
  <c r="AD35" i="8" s="1"/>
  <c r="AD56" i="6"/>
  <c r="AD48" i="6"/>
  <c r="AD44" i="6"/>
  <c r="AD45" i="6"/>
  <c r="AE24" i="6" s="1"/>
  <c r="AE32" i="19"/>
  <c r="AD18" i="25"/>
  <c r="AD21" i="25" s="1"/>
  <c r="AD39" i="6"/>
  <c r="AE28" i="6" l="1"/>
  <c r="AE26" i="6" s="1"/>
  <c r="AE27" i="6"/>
  <c r="AE37" i="19"/>
  <c r="AE45" i="19" s="1"/>
  <c r="AE47" i="19" s="1"/>
  <c r="AD57" i="6"/>
  <c r="AE38" i="4" s="1"/>
  <c r="AE40" i="4" s="1"/>
  <c r="AD58" i="6"/>
  <c r="AD50" i="6"/>
  <c r="AD52" i="6" s="1"/>
  <c r="AE16" i="25"/>
  <c r="AD27" i="25"/>
  <c r="AD28" i="25" s="1"/>
  <c r="AD29" i="25" s="1"/>
  <c r="AE25" i="25" s="1"/>
  <c r="AD37" i="25"/>
  <c r="AD38" i="25" s="1"/>
  <c r="AD50" i="25"/>
  <c r="AD52" i="25" s="1"/>
  <c r="AD43" i="25"/>
  <c r="AD45" i="25" s="1"/>
  <c r="AD57" i="25"/>
  <c r="AD59" i="25" s="1"/>
  <c r="AE42" i="4" l="1"/>
  <c r="AE43" i="4" s="1"/>
  <c r="AE45" i="4" s="1"/>
  <c r="AF42" i="19" s="1"/>
  <c r="AF43" i="19" s="1"/>
  <c r="AD10" i="8"/>
  <c r="AD13" i="8" s="1"/>
  <c r="AE26" i="25"/>
  <c r="AE33" i="6"/>
  <c r="AE30" i="6"/>
  <c r="AD16" i="8" l="1"/>
  <c r="AD24" i="8"/>
  <c r="AD28" i="8"/>
  <c r="AE36" i="6"/>
  <c r="AD29" i="8" l="1"/>
  <c r="AD30" i="8" s="1"/>
  <c r="AF12" i="25"/>
  <c r="AF13" i="25" s="1"/>
  <c r="AE49" i="6"/>
  <c r="AE37" i="6"/>
  <c r="AD21" i="8"/>
  <c r="AE20" i="8" s="1"/>
  <c r="AD19" i="8"/>
  <c r="AD41" i="8" l="1"/>
  <c r="AE15" i="25" s="1"/>
  <c r="AD33" i="8"/>
  <c r="AE42" i="6"/>
  <c r="AE35" i="6"/>
  <c r="AD22" i="8"/>
  <c r="AE18" i="8" s="1"/>
  <c r="AD38" i="8" l="1"/>
  <c r="AE37" i="8" s="1"/>
  <c r="AD36" i="8"/>
  <c r="AF32" i="19"/>
  <c r="AE18" i="25"/>
  <c r="AE21" i="25" s="1"/>
  <c r="AE56" i="6"/>
  <c r="AE48" i="6"/>
  <c r="AE44" i="6"/>
  <c r="AE45" i="6"/>
  <c r="AF24" i="6" s="1"/>
  <c r="AE39" i="6"/>
  <c r="AE50" i="6" l="1"/>
  <c r="AE52" i="6" s="1"/>
  <c r="AF16" i="25"/>
  <c r="AE57" i="6"/>
  <c r="AF38" i="4" s="1"/>
  <c r="AF40" i="4" s="1"/>
  <c r="AF37" i="19"/>
  <c r="AF45" i="19" s="1"/>
  <c r="AF47" i="19" s="1"/>
  <c r="AE27" i="25"/>
  <c r="AE28" i="25" s="1"/>
  <c r="AE29" i="25" s="1"/>
  <c r="AF25" i="25" s="1"/>
  <c r="AE37" i="25"/>
  <c r="AE38" i="25" s="1"/>
  <c r="AE50" i="25"/>
  <c r="AE52" i="25" s="1"/>
  <c r="AE43" i="25"/>
  <c r="AE45" i="25" s="1"/>
  <c r="AE57" i="25"/>
  <c r="AE59" i="25" s="1"/>
  <c r="AD39" i="8"/>
  <c r="AE35" i="8" s="1"/>
  <c r="AF27" i="6"/>
  <c r="AF28" i="6"/>
  <c r="AF26" i="6" s="1"/>
  <c r="AF42" i="4" l="1"/>
  <c r="AE10" i="8"/>
  <c r="AE13" i="8" s="1"/>
  <c r="AF26" i="25"/>
  <c r="AE58" i="6"/>
  <c r="AF30" i="6"/>
  <c r="AF33" i="6"/>
  <c r="AE16" i="8" l="1"/>
  <c r="AE28" i="8"/>
  <c r="AE24" i="8"/>
  <c r="AF43" i="4"/>
  <c r="AF45" i="4" s="1"/>
  <c r="AG42" i="19" s="1"/>
  <c r="AG43" i="19" s="1"/>
  <c r="AF36" i="6"/>
  <c r="AE29" i="8" l="1"/>
  <c r="AE30" i="8"/>
  <c r="AE21" i="8"/>
  <c r="AF20" i="8" s="1"/>
  <c r="AE19" i="8"/>
  <c r="AE22" i="8" s="1"/>
  <c r="AF18" i="8" s="1"/>
  <c r="AF49" i="6"/>
  <c r="AG12" i="25"/>
  <c r="AG13" i="25" s="1"/>
  <c r="AF37" i="6"/>
  <c r="AE33" i="8" l="1"/>
  <c r="AE41" i="8"/>
  <c r="AF15" i="25" s="1"/>
  <c r="AF39" i="6"/>
  <c r="AF42" i="6"/>
  <c r="AF35" i="6"/>
  <c r="AF44" i="6" l="1"/>
  <c r="AF57" i="6" s="1"/>
  <c r="AG38" i="4" s="1"/>
  <c r="AG40" i="4" s="1"/>
  <c r="AF45" i="6"/>
  <c r="AF56" i="6"/>
  <c r="AF58" i="6" s="1"/>
  <c r="AF48" i="6"/>
  <c r="B77" i="6"/>
  <c r="E66" i="6" s="1"/>
  <c r="G35" i="2" s="1"/>
  <c r="AE36" i="8"/>
  <c r="AE38" i="8"/>
  <c r="AF37" i="8" s="1"/>
  <c r="AG32" i="19"/>
  <c r="AF18" i="25"/>
  <c r="AF21" i="25" s="1"/>
  <c r="AG37" i="19" l="1"/>
  <c r="AG45" i="19" s="1"/>
  <c r="AG47" i="19" s="1"/>
  <c r="AE39" i="8"/>
  <c r="AF35" i="8" s="1"/>
  <c r="AF50" i="6"/>
  <c r="AF52" i="6" s="1"/>
  <c r="AG16" i="25"/>
  <c r="AF57" i="25"/>
  <c r="AF59" i="25" s="1"/>
  <c r="AF43" i="25"/>
  <c r="AF45" i="25" s="1"/>
  <c r="AF50" i="25"/>
  <c r="AF52" i="25" s="1"/>
  <c r="AF27" i="25"/>
  <c r="AF28" i="25" s="1"/>
  <c r="AF29" i="25" s="1"/>
  <c r="AG25" i="25" s="1"/>
  <c r="AF37" i="25"/>
  <c r="AF38" i="25" s="1"/>
  <c r="AF10" i="8"/>
  <c r="AF13" i="8" s="1"/>
  <c r="AG42" i="4"/>
  <c r="AG45" i="4" l="1"/>
  <c r="AH42" i="19" s="1"/>
  <c r="AH43" i="19" s="1"/>
  <c r="AG43" i="4"/>
  <c r="AF16" i="8"/>
  <c r="AF28" i="8"/>
  <c r="AF24" i="8"/>
  <c r="AG26" i="25"/>
  <c r="E68" i="6"/>
  <c r="E69" i="6"/>
  <c r="AF29" i="8" l="1"/>
  <c r="AF30" i="8"/>
  <c r="D65" i="2"/>
  <c r="C9" i="16"/>
  <c r="C12" i="16" s="1"/>
  <c r="AF19" i="8"/>
  <c r="AF22" i="8" s="1"/>
  <c r="AF21" i="8"/>
  <c r="C65" i="2"/>
  <c r="D9" i="16"/>
  <c r="D12" i="16" s="1"/>
  <c r="AF33" i="8" l="1"/>
  <c r="AF41" i="8"/>
  <c r="AG15" i="25" s="1"/>
  <c r="AH32" i="19" l="1"/>
  <c r="AH37" i="19" s="1"/>
  <c r="AH45" i="19" s="1"/>
  <c r="AH47" i="19" s="1"/>
  <c r="AG18" i="25"/>
  <c r="AG21" i="25" s="1"/>
  <c r="AF38" i="8"/>
  <c r="AF36" i="8"/>
  <c r="AF39" i="8" l="1"/>
  <c r="AG57" i="25"/>
  <c r="AG59" i="25" s="1"/>
  <c r="AG27" i="25"/>
  <c r="AG28" i="25" s="1"/>
  <c r="AG29" i="25" s="1"/>
  <c r="AG37" i="25"/>
  <c r="AG38" i="25" s="1"/>
  <c r="AG50" i="25"/>
  <c r="AG52" i="25" s="1"/>
  <c r="AG43" i="25"/>
  <c r="AG45" i="25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2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talk to Paul Clayton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H4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Changed from 2 turbines (deal specific)</t>
        </r>
      </text>
    </comment>
  </commentList>
</comments>
</file>

<file path=xl/sharedStrings.xml><?xml version="1.0" encoding="utf-8"?>
<sst xmlns="http://schemas.openxmlformats.org/spreadsheetml/2006/main" count="579" uniqueCount="452">
  <si>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</si>
  <si>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</si>
  <si>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</si>
  <si>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</si>
  <si>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</si>
  <si>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</si>
  <si>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</si>
  <si>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</si>
  <si>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</si>
  <si>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</si>
  <si>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</si>
  <si>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</si>
  <si>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</si>
  <si>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</si>
  <si>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</si>
  <si>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</si>
  <si>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</si>
  <si>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</si>
  <si>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</si>
  <si>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</si>
  <si>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</si>
  <si>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</si>
  <si>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</si>
  <si>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</si>
  <si>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</si>
  <si>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</si>
  <si>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</si>
  <si>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</si>
  <si>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</si>
  <si>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</si>
  <si>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</si>
  <si>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</si>
  <si>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</si>
  <si>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</si>
  <si>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</si>
  <si>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</si>
  <si>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</si>
  <si>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</si>
  <si>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</si>
  <si>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</si>
  <si>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</si>
  <si>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</si>
  <si>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</si>
  <si>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</si>
  <si>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</si>
  <si>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</si>
  <si>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</si>
  <si>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</si>
  <si>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</si>
  <si>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</si>
  <si>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</si>
  <si>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</si>
  <si>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</si>
  <si>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</si>
  <si>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</si>
  <si>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</si>
  <si>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</si>
  <si>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</si>
  <si>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</si>
  <si>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</si>
  <si>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</si>
  <si>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</si>
  <si>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</si>
  <si>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</si>
  <si>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</si>
  <si>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</si>
  <si>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</si>
  <si>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</si>
  <si>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</si>
  <si>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</si>
  <si>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</si>
  <si>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</si>
  <si>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</si>
  <si>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</si>
  <si>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</si>
  <si>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</si>
  <si>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</si>
  <si>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</si>
  <si>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</si>
  <si>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</si>
  <si>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</si>
  <si>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</si>
  <si>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</si>
  <si>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</si>
  <si>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</si>
  <si>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</si>
  <si>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</si>
  <si>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</si>
  <si>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</si>
  <si>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</si>
  <si>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</si>
  <si>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</si>
  <si>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</si>
  <si>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</si>
  <si>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</si>
  <si>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</si>
  <si>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</si>
  <si>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</si>
  <si>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</si>
  <si>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</si>
  <si>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</si>
  <si>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</si>
  <si>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</si>
  <si>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</si>
  <si>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</si>
  <si>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</si>
  <si>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</si>
  <si>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</si>
  <si>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</si>
  <si>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</si>
  <si>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</si>
  <si>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</si>
  <si>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</si>
  <si>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</si>
  <si>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</si>
  <si>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</si>
  <si>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</si>
  <si>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</si>
  <si>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</si>
  <si>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</si>
  <si>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</si>
  <si>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</si>
  <si>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</si>
  <si>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</si>
  <si>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</si>
  <si>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</si>
  <si>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</si>
  <si>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</si>
  <si>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</si>
  <si>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</si>
  <si>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</si>
  <si>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</si>
  <si>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</si>
  <si>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</si>
  <si>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</si>
  <si>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</si>
  <si>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</si>
  <si>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</si>
  <si>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</si>
  <si>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</si>
  <si>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</si>
  <si>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</si>
  <si>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</si>
  <si>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</si>
  <si>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</si>
  <si>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</si>
  <si>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</si>
  <si>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</si>
  <si>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</si>
  <si>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</si>
  <si>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</si>
  <si>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</si>
  <si>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</si>
  <si>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</si>
  <si>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</si>
  <si>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</si>
  <si>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</si>
  <si>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</si>
  <si>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</si>
  <si>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</si>
  <si>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</si>
  <si>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</si>
  <si>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</si>
  <si>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</si>
  <si>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</si>
  <si>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</si>
  <si>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</si>
  <si>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</si>
  <si>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</si>
  <si>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</si>
  <si>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</si>
  <si>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</si>
  <si>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</si>
  <si>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</si>
  <si>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</si>
  <si>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</si>
  <si>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</si>
  <si>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</si>
  <si>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</si>
  <si>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</si>
  <si>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</si>
  <si>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</si>
  <si>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</si>
  <si>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</si>
  <si>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</si>
  <si>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</si>
  <si>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</si>
  <si>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</si>
  <si>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</si>
  <si>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</si>
  <si>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</si>
  <si>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</si>
  <si>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</si>
  <si>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</si>
  <si>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</si>
  <si>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</si>
  <si>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</si>
  <si>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</si>
  <si>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</si>
  <si>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</si>
  <si>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</si>
  <si>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</si>
  <si>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</si>
  <si>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</si>
  <si>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</si>
  <si>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</si>
  <si>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</si>
  <si>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</si>
  <si>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</si>
  <si>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</si>
  <si>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</si>
  <si>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</si>
  <si>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</si>
  <si>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</si>
  <si>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</si>
  <si>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</si>
  <si>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</si>
  <si>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</si>
  <si>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</si>
  <si>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</si>
  <si>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</si>
  <si>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</si>
  <si>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</si>
  <si>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</si>
  <si>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</si>
  <si>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</si>
  <si>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</si>
  <si>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</si>
  <si>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</si>
  <si>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</si>
  <si>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</si>
  <si>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</si>
  <si>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</si>
  <si>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</si>
  <si>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</si>
  <si>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</si>
  <si>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</si>
  <si>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</si>
  <si>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</si>
  <si>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</si>
  <si>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</si>
  <si>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</si>
  <si>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</si>
  <si>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</si>
  <si>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</si>
  <si>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</si>
  <si>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</si>
  <si>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</si>
  <si>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</si>
  <si>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</si>
  <si>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</si>
  <si>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</si>
  <si>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</si>
  <si>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</si>
  <si>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</si>
  <si>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</si>
  <si>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</si>
  <si>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</si>
  <si>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</si>
  <si>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</si>
  <si>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</si>
  <si>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</si>
  <si>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</si>
  <si>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</si>
  <si>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</si>
  <si>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</si>
  <si>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</si>
  <si>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</si>
  <si>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</si>
  <si>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</si>
  <si>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</si>
  <si>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</si>
  <si>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</si>
  <si>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</si>
  <si>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</si>
  <si>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</si>
  <si>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</si>
  <si>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</si>
  <si>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</si>
  <si>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</si>
  <si>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</si>
  <si>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</si>
  <si>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</si>
  <si>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</si>
  <si>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</si>
  <si>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</si>
  <si>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</si>
  <si>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</si>
  <si>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</si>
  <si>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</si>
  <si>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</si>
  <si>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</si>
  <si>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</si>
  <si>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</si>
  <si>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</si>
  <si>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</si>
  <si>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</si>
  <si>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</si>
  <si>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</si>
  <si>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</si>
  <si>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</si>
  <si>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</si>
  <si>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</si>
  <si>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</si>
  <si>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</si>
  <si>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</si>
  <si>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</si>
  <si>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</si>
  <si>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</si>
  <si>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</si>
  <si>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</si>
  <si>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</si>
  <si>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</si>
  <si>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</si>
  <si>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</si>
  <si>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</si>
  <si>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</si>
  <si>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</si>
  <si>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</si>
  <si>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</si>
  <si>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</si>
  <si>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</si>
  <si>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</si>
  <si>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</si>
  <si>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</si>
  <si>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</si>
  <si>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</si>
  <si>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</si>
  <si>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</si>
  <si>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</si>
  <si>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</si>
  <si>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</si>
  <si>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</si>
  <si>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</si>
  <si>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</si>
  <si>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</si>
  <si>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</si>
  <si>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</si>
  <si>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</si>
  <si>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</si>
  <si>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</si>
  <si>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</si>
  <si>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</si>
  <si>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</si>
  <si>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</si>
  <si>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</si>
  <si>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</si>
  <si>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</si>
  <si>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</si>
  <si>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</si>
  <si>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</si>
  <si>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</si>
  <si>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</si>
  <si>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</si>
  <si>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</si>
  <si>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</si>
  <si>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</si>
  <si>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</si>
  <si>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</si>
  <si>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</si>
  <si>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</si>
  <si>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</si>
  <si>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</si>
  <si>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</si>
  <si>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</si>
  <si>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</si>
  <si>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</si>
  <si>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</si>
  <si>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</si>
  <si>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</si>
  <si>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</si>
  <si>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</si>
  <si>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</si>
  <si>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</si>
  <si>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</si>
  <si>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</si>
  <si>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</si>
  <si>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</si>
  <si>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</si>
  <si>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</si>
  <si>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</si>
  <si>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</si>
  <si>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</si>
  <si>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</si>
  <si>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</si>
  <si>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</si>
  <si>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</si>
  <si>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</si>
  <si>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</si>
  <si>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</si>
  <si>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</si>
  <si>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</si>
  <si>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</si>
  <si>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</si>
  <si>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</si>
  <si>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</si>
  <si>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</si>
  <si>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</si>
  <si>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</si>
  <si>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</si>
  <si>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</si>
  <si>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</si>
  <si>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</si>
  <si>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</si>
  <si>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</si>
  <si>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</si>
  <si>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</si>
  <si>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</si>
  <si>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</si>
  <si>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</si>
  <si>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</si>
  <si>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</si>
  <si>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</si>
  <si>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</si>
  <si>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</si>
  <si>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</si>
  <si>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</si>
  <si>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</si>
  <si>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</si>
  <si>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</si>
  <si>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</si>
  <si>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</si>
  <si>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</si>
  <si>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</si>
  <si>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</si>
  <si>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</si>
  <si>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</si>
  <si>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</si>
  <si>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</si>
  <si>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</si>
  <si>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</si>
  <si>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</si>
  <si>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</si>
  <si>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</si>
  <si>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</si>
  <si>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Rochester</t>
  </si>
  <si>
    <t xml:space="preserve">  Power Interconnection (Substation)</t>
  </si>
  <si>
    <t>Comparison of LM 2500 vs. LM 6000</t>
  </si>
  <si>
    <t>LM 2500</t>
  </si>
  <si>
    <t>LM 6000</t>
  </si>
  <si>
    <t>Output Rating</t>
  </si>
  <si>
    <t>Heat Rate</t>
  </si>
  <si>
    <t># of Turbines</t>
  </si>
  <si>
    <t>Total Output (MW's)</t>
  </si>
  <si>
    <t>Costs:</t>
  </si>
  <si>
    <t>Cost Per Turbine</t>
  </si>
  <si>
    <t>BOP</t>
  </si>
  <si>
    <t>All other Costs</t>
  </si>
  <si>
    <t>All-in Costs ($)</t>
  </si>
  <si>
    <t>30% Reduction</t>
  </si>
  <si>
    <t>ESC.</t>
  </si>
  <si>
    <t>O&amp;M Fees plus capital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</si>
</sst>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7" xfId="0" applyFont="1" applyBorder="1"/>
    <xf numFmtId="0" fontId="0" fillId="0" borderId="0" xfId="0" applyAlignment="1">
      <alignment horizontal="center"/>
    </xf>
    <xf numFmtId="187" fontId="0" fillId="0" borderId="0" xfId="0" applyNumberFormat="1"/>
    <xf numFmtId="166" fontId="1" fillId="0" borderId="0" xfId="3" applyNumberFormat="1"/>
    <xf numFmtId="0" fontId="102" fillId="0" borderId="0" xfId="0" applyFont="1"/>
    <xf numFmtId="165" fontId="1" fillId="0" borderId="0" xfId="4" applyNumberFormat="1"/>
    <xf numFmtId="0" fontId="34" fillId="0" borderId="0" xfId="0" applyFont="1"/>
    <xf numFmtId="165" fontId="34" fillId="0" borderId="0" xfId="4" applyNumberFormat="1" applyFont="1"/>
    <xf numFmtId="165" fontId="0" fillId="0" borderId="0" xfId="4" applyNumberFormat="1" applyFont="1"/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UAE/United%20American%20Energy%2002-14-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IDC-Projec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166</v>
      </c>
      <c r="C2" s="5"/>
    </row>
    <row r="3" spans="1:18" s="46" customFormat="1" ht="15.75"/>
    <row r="4" spans="1:18" s="46" customFormat="1" ht="18.75">
      <c r="A4" s="478">
        <v>1</v>
      </c>
      <c r="B4" s="210" t="s">
        <v>405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406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209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210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377</v>
      </c>
      <c r="C14" s="12"/>
      <c r="D14" s="12"/>
      <c r="E14" s="12"/>
      <c r="F14" s="12"/>
      <c r="G14" s="12"/>
      <c r="H14" s="12"/>
      <c r="I14" s="12" t="s">
        <v>211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237</v>
      </c>
      <c r="C16" s="12"/>
      <c r="D16" s="12"/>
      <c r="E16" s="12"/>
      <c r="F16" s="12"/>
      <c r="G16" s="12"/>
      <c r="H16" s="12"/>
      <c r="I16" s="12" t="s">
        <v>211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372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263</v>
      </c>
      <c r="C18" s="12"/>
      <c r="D18" s="12"/>
      <c r="E18" s="12"/>
      <c r="F18" s="12"/>
      <c r="G18" s="12"/>
      <c r="H18" s="12"/>
      <c r="I18" s="12" t="s">
        <v>424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318</v>
      </c>
      <c r="C19" s="12"/>
      <c r="D19" s="12"/>
      <c r="E19" s="12"/>
      <c r="F19" s="12"/>
      <c r="G19" s="12"/>
      <c r="H19" s="12"/>
      <c r="I19" s="12" t="s">
        <v>287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338</v>
      </c>
      <c r="C20" s="12"/>
      <c r="D20" s="12"/>
      <c r="E20" s="12"/>
      <c r="F20" s="12"/>
      <c r="G20" s="12"/>
      <c r="H20" s="12"/>
      <c r="I20" s="12" t="s">
        <v>339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370</v>
      </c>
      <c r="C21" s="12"/>
      <c r="D21" s="12"/>
      <c r="E21" s="12"/>
      <c r="F21" s="12"/>
      <c r="G21" s="12"/>
      <c r="H21" s="12"/>
      <c r="I21" s="12" t="s">
        <v>287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373</v>
      </c>
      <c r="C22" s="12"/>
      <c r="D22" s="12"/>
      <c r="E22" s="12"/>
      <c r="F22" s="12"/>
      <c r="G22" s="12"/>
      <c r="H22" s="12"/>
      <c r="I22" s="12" t="s">
        <v>374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414</v>
      </c>
      <c r="C23" s="12"/>
      <c r="D23" s="12"/>
      <c r="E23" s="12"/>
      <c r="F23" s="12"/>
      <c r="G23" s="12"/>
      <c r="H23" s="12"/>
      <c r="I23" s="12" t="s">
        <v>287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280</v>
      </c>
    </row>
    <row r="28" spans="1:16" s="46" customFormat="1" ht="18.75">
      <c r="A28" s="286"/>
    </row>
    <row r="29" spans="1:16" s="46" customFormat="1" ht="15.75">
      <c r="A29" s="12"/>
      <c r="B29" s="482" t="s">
        <v>305</v>
      </c>
      <c r="C29" s="12"/>
      <c r="D29" s="12"/>
      <c r="E29" s="482" t="s">
        <v>304</v>
      </c>
      <c r="F29" s="482"/>
      <c r="G29" s="482"/>
      <c r="H29" s="482" t="s">
        <v>306</v>
      </c>
      <c r="I29" s="12"/>
      <c r="J29" s="12"/>
    </row>
    <row r="30" spans="1:16" s="46" customFormat="1" ht="15.75">
      <c r="A30" s="12"/>
      <c r="B30" s="12" t="s">
        <v>379</v>
      </c>
      <c r="C30" s="12"/>
      <c r="D30" s="12"/>
      <c r="E30" s="12" t="s">
        <v>289</v>
      </c>
      <c r="F30" s="12"/>
      <c r="G30" s="12"/>
      <c r="H30" s="12" t="s">
        <v>301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290</v>
      </c>
      <c r="F31" s="12"/>
      <c r="G31" s="12"/>
      <c r="H31" s="12" t="s">
        <v>302</v>
      </c>
      <c r="I31" s="12"/>
      <c r="J31" s="12"/>
    </row>
    <row r="32" spans="1:16" s="46" customFormat="1" ht="15.75">
      <c r="A32" s="12"/>
      <c r="B32" s="12" t="s">
        <v>380</v>
      </c>
      <c r="C32" s="12"/>
      <c r="D32" s="12"/>
      <c r="E32" s="12" t="s">
        <v>291</v>
      </c>
      <c r="F32" s="12"/>
      <c r="G32" s="12"/>
      <c r="H32" s="12" t="s">
        <v>303</v>
      </c>
      <c r="I32" s="12"/>
      <c r="J32" s="12"/>
    </row>
    <row r="33" spans="1:10" s="46" customFormat="1" ht="15.75">
      <c r="A33" s="12"/>
      <c r="B33" s="12" t="s">
        <v>285</v>
      </c>
      <c r="C33" s="12"/>
      <c r="D33" s="12"/>
      <c r="E33" s="12" t="s">
        <v>286</v>
      </c>
      <c r="F33" s="12"/>
      <c r="G33" s="12"/>
      <c r="H33" s="12" t="s">
        <v>298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287</v>
      </c>
      <c r="F34" s="12"/>
      <c r="G34" s="12"/>
      <c r="H34" s="12" t="s">
        <v>299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288</v>
      </c>
      <c r="F35" s="12"/>
      <c r="G35" s="12"/>
      <c r="H35" s="12" t="s">
        <v>300</v>
      </c>
      <c r="I35" s="12"/>
      <c r="J35" s="12"/>
    </row>
    <row r="36" spans="1:10" s="46" customFormat="1" ht="15.75">
      <c r="A36" s="12"/>
      <c r="B36" s="12" t="s">
        <v>283</v>
      </c>
      <c r="C36" s="12"/>
      <c r="D36" s="12"/>
      <c r="E36" s="12" t="s">
        <v>284</v>
      </c>
      <c r="F36" s="12"/>
      <c r="G36" s="12"/>
      <c r="H36" s="12" t="s">
        <v>297</v>
      </c>
      <c r="I36" s="12"/>
      <c r="J36" s="12"/>
    </row>
    <row r="37" spans="1:10" s="46" customFormat="1" ht="15.75">
      <c r="A37" s="12"/>
      <c r="B37" s="12" t="s">
        <v>338</v>
      </c>
      <c r="C37" s="12"/>
      <c r="D37" s="12"/>
      <c r="E37" s="12" t="s">
        <v>339</v>
      </c>
      <c r="F37" s="12"/>
      <c r="G37" s="12"/>
      <c r="H37" s="12" t="s">
        <v>336</v>
      </c>
      <c r="I37" s="12"/>
      <c r="J37" s="12"/>
    </row>
    <row r="38" spans="1:10" s="46" customFormat="1" ht="15.75">
      <c r="A38" s="12"/>
      <c r="B38" s="12" t="s">
        <v>281</v>
      </c>
      <c r="C38" s="12"/>
      <c r="D38" s="12"/>
      <c r="E38" s="12" t="s">
        <v>282</v>
      </c>
      <c r="F38" s="12"/>
      <c r="G38" s="12"/>
      <c r="H38" s="12" t="s">
        <v>337</v>
      </c>
      <c r="I38" s="12"/>
      <c r="J38" s="12"/>
    </row>
    <row r="39" spans="1:10" s="46" customFormat="1" ht="15.75">
      <c r="A39" s="12"/>
      <c r="B39" s="12" t="s">
        <v>419</v>
      </c>
      <c r="C39" s="12"/>
      <c r="D39" s="12"/>
      <c r="E39" s="12" t="s">
        <v>403</v>
      </c>
      <c r="F39" s="12"/>
      <c r="G39" s="12"/>
      <c r="H39" s="12" t="s">
        <v>404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428</v>
      </c>
      <c r="F40" s="12"/>
      <c r="G40" s="12"/>
      <c r="H40" s="12" t="s">
        <v>429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211</v>
      </c>
      <c r="F41" s="12"/>
      <c r="G41" s="12"/>
      <c r="H41" s="12" t="s">
        <v>296</v>
      </c>
      <c r="I41" s="12"/>
      <c r="J41" s="12"/>
    </row>
    <row r="42" spans="1:10" s="46" customFormat="1" ht="15.75">
      <c r="A42" s="12"/>
      <c r="B42" s="12" t="s">
        <v>375</v>
      </c>
      <c r="C42" s="12"/>
      <c r="D42" s="12"/>
      <c r="E42" s="12" t="s">
        <v>401</v>
      </c>
      <c r="F42" s="12"/>
      <c r="G42" s="12"/>
      <c r="H42" s="12" t="s">
        <v>402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374</v>
      </c>
      <c r="F43" s="12"/>
      <c r="G43" s="12"/>
      <c r="H43" s="12" t="s">
        <v>376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Rochester</v>
      </c>
    </row>
    <row r="4" spans="1:34" ht="18.75">
      <c r="A4" s="60" t="s">
        <v>94</v>
      </c>
    </row>
    <row r="5" spans="1:34">
      <c r="Z5" s="166"/>
    </row>
    <row r="6" spans="1:34">
      <c r="D6" s="215">
        <f>'Price_Technical Assumption'!D7</f>
        <v>0.66666666666666663</v>
      </c>
      <c r="E6" s="215">
        <f>'Price_Technical Assumption'!E7</f>
        <v>1.6666666666666665</v>
      </c>
      <c r="F6" s="215">
        <f>'Price_Technical Assumption'!F7</f>
        <v>2.6666666666666665</v>
      </c>
      <c r="G6" s="215">
        <f>'Price_Technical Assumption'!G7</f>
        <v>3.6666666666666665</v>
      </c>
      <c r="H6" s="215">
        <f>'Price_Technical Assumption'!H7</f>
        <v>4.6666666666666661</v>
      </c>
      <c r="I6" s="215">
        <f>'Price_Technical Assumption'!I7</f>
        <v>5.6666666666666661</v>
      </c>
      <c r="J6" s="215">
        <f>'Price_Technical Assumption'!J7</f>
        <v>6.6666666666666661</v>
      </c>
      <c r="K6" s="215">
        <f>'Price_Technical Assumption'!K7</f>
        <v>7.6666666666666661</v>
      </c>
      <c r="L6" s="215">
        <f>'Price_Technical Assumption'!L7</f>
        <v>8.6666666666666661</v>
      </c>
      <c r="M6" s="215">
        <f>'Price_Technical Assumption'!M7</f>
        <v>9.6666666666666661</v>
      </c>
      <c r="N6" s="215">
        <f>'Price_Technical Assumption'!N7</f>
        <v>10.666666666666666</v>
      </c>
      <c r="O6" s="215">
        <f>'Price_Technical Assumption'!O7</f>
        <v>11.666666666666666</v>
      </c>
      <c r="P6" s="215">
        <f>'Price_Technical Assumption'!P7</f>
        <v>12.666666666666666</v>
      </c>
      <c r="Q6" s="215">
        <f>'Price_Technical Assumption'!Q7</f>
        <v>13.666666666666666</v>
      </c>
      <c r="R6" s="215">
        <f>'Price_Technical Assumption'!R7</f>
        <v>14.666666666666666</v>
      </c>
      <c r="S6" s="215">
        <f>'Price_Technical Assumption'!S7</f>
        <v>15.666666666666666</v>
      </c>
      <c r="T6" s="215">
        <f>'Price_Technical Assumption'!T7</f>
        <v>16.666666666666664</v>
      </c>
      <c r="U6" s="215">
        <f>'Price_Technical Assumption'!U7</f>
        <v>17.666666666666664</v>
      </c>
      <c r="V6" s="215">
        <f>'Price_Technical Assumption'!V7</f>
        <v>18.666666666666664</v>
      </c>
      <c r="W6" s="215">
        <f>'Price_Technical Assumption'!W7</f>
        <v>19.666666666666664</v>
      </c>
      <c r="X6" s="215">
        <f>'Price_Technical Assumption'!X7</f>
        <v>20.666666666666664</v>
      </c>
      <c r="Y6" s="215">
        <f>'Price_Technical Assumption'!Y7</f>
        <v>21.666666666666664</v>
      </c>
      <c r="Z6" s="215">
        <f>'Price_Technical Assumption'!Z7</f>
        <v>22.666666666666664</v>
      </c>
      <c r="AA6" s="215">
        <f>'Price_Technical Assumption'!AA7</f>
        <v>23.666666666666664</v>
      </c>
      <c r="AB6" s="215">
        <f>'Price_Technical Assumption'!AB7</f>
        <v>24.666666666666664</v>
      </c>
      <c r="AC6" s="215">
        <f>'Price_Technical Assumption'!AC7</f>
        <v>25.666666666666664</v>
      </c>
      <c r="AD6" s="215">
        <f>'Price_Technical Assumption'!AD7</f>
        <v>26.666666666666664</v>
      </c>
      <c r="AE6" s="215">
        <f>'Price_Technical Assumption'!AE7</f>
        <v>27.666666666666664</v>
      </c>
      <c r="AF6" s="215">
        <f>'Price_Technical Assumption'!AF7</f>
        <v>28.666666666666664</v>
      </c>
      <c r="AG6" s="215">
        <f>'Price_Technical Assumption'!AG7</f>
        <v>29.666666666666664</v>
      </c>
      <c r="AH6" s="215">
        <f>'Price_Technical Assumption'!AH7</f>
        <v>30.666666666666664</v>
      </c>
    </row>
    <row r="7" spans="1:34" s="25" customFormat="1" ht="13.5" thickBot="1">
      <c r="A7" s="123" t="s">
        <v>39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254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255</v>
      </c>
      <c r="B13" s="31">
        <f>Assumptions!$N$40</f>
        <v>5</v>
      </c>
      <c r="C13" s="32"/>
      <c r="D13" s="283">
        <f>1/$B$13*D6</f>
        <v>0.13333333333333333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6.666666666666668E-2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323</v>
      </c>
      <c r="B14" s="68">
        <f>Assumptions!$N$41</f>
        <v>20</v>
      </c>
      <c r="C14" s="69"/>
      <c r="D14" s="283">
        <f>1/Assumptions!$N$41*D6</f>
        <v>3.3333333333333333E-2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1.666666666666667E-2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254</v>
      </c>
      <c r="B16" s="380">
        <f>Assumptions!C34+Assumptions!C46+Assumptions!C38</f>
        <v>27062.650636713453</v>
      </c>
      <c r="C16" s="309"/>
      <c r="D16" s="18">
        <f>$B$16*D12</f>
        <v>1353.1325318356728</v>
      </c>
      <c r="E16" s="18">
        <f t="shared" ref="E16:Y16" si="0">$B$16*E12</f>
        <v>2570.9518104877779</v>
      </c>
      <c r="F16" s="18">
        <f t="shared" si="0"/>
        <v>2313.8566294390002</v>
      </c>
      <c r="G16" s="18">
        <f t="shared" si="0"/>
        <v>2083.824099026936</v>
      </c>
      <c r="H16" s="18">
        <f t="shared" si="0"/>
        <v>1875.4416891242424</v>
      </c>
      <c r="I16" s="18">
        <f t="shared" si="0"/>
        <v>1686.0031346672481</v>
      </c>
      <c r="J16" s="18">
        <f t="shared" si="0"/>
        <v>1596.6963875660936</v>
      </c>
      <c r="K16" s="18">
        <f t="shared" si="0"/>
        <v>1599.402652629765</v>
      </c>
      <c r="L16" s="18">
        <f t="shared" si="0"/>
        <v>1596.6963875660936</v>
      </c>
      <c r="M16" s="18">
        <f t="shared" si="0"/>
        <v>1599.402652629765</v>
      </c>
      <c r="N16" s="18">
        <f t="shared" si="0"/>
        <v>1596.6963875660936</v>
      </c>
      <c r="O16" s="18">
        <f t="shared" si="0"/>
        <v>1599.402652629765</v>
      </c>
      <c r="P16" s="18">
        <f t="shared" si="0"/>
        <v>1596.6963875660936</v>
      </c>
      <c r="Q16" s="18">
        <f t="shared" si="0"/>
        <v>1599.402652629765</v>
      </c>
      <c r="R16" s="18">
        <f t="shared" si="0"/>
        <v>1596.6963875660936</v>
      </c>
      <c r="S16" s="18">
        <f t="shared" si="0"/>
        <v>798.34819378304678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255</v>
      </c>
      <c r="B17" s="308">
        <f>Assumptions!C50-Assumptions!C46-Assumptions!C47</f>
        <v>2272.0219999999999</v>
      </c>
      <c r="C17" s="309"/>
      <c r="D17" s="306">
        <f>$B$17*D13</f>
        <v>302.93626666666665</v>
      </c>
      <c r="E17" s="306">
        <f t="shared" ref="E17:AH17" si="2">$B$17*E13</f>
        <v>454.40440000000001</v>
      </c>
      <c r="F17" s="306">
        <f t="shared" si="2"/>
        <v>454.40440000000001</v>
      </c>
      <c r="G17" s="306">
        <f t="shared" si="2"/>
        <v>454.40440000000001</v>
      </c>
      <c r="H17" s="306">
        <f t="shared" si="2"/>
        <v>454.40440000000001</v>
      </c>
      <c r="I17" s="306">
        <f t="shared" si="2"/>
        <v>151.46813333333336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323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62</v>
      </c>
      <c r="B19" s="18">
        <f>SUM(B16:B18)</f>
        <v>29334.672636713454</v>
      </c>
      <c r="C19" s="309"/>
      <c r="D19" s="18">
        <f t="shared" ref="D19:Y19" si="5">SUM(D16:D18)</f>
        <v>1656.0687985023394</v>
      </c>
      <c r="E19" s="18">
        <f t="shared" si="5"/>
        <v>3025.3562104877778</v>
      </c>
      <c r="F19" s="18">
        <f t="shared" si="5"/>
        <v>2768.2610294390001</v>
      </c>
      <c r="G19" s="18">
        <f t="shared" si="5"/>
        <v>2538.2284990269359</v>
      </c>
      <c r="H19" s="18">
        <f t="shared" si="5"/>
        <v>2329.8460891242426</v>
      </c>
      <c r="I19" s="18">
        <f t="shared" si="5"/>
        <v>1837.4712680005814</v>
      </c>
      <c r="J19" s="18">
        <f t="shared" si="5"/>
        <v>1596.6963875660936</v>
      </c>
      <c r="K19" s="18">
        <f t="shared" si="5"/>
        <v>1599.402652629765</v>
      </c>
      <c r="L19" s="18">
        <f t="shared" si="5"/>
        <v>1596.6963875660936</v>
      </c>
      <c r="M19" s="18">
        <f t="shared" si="5"/>
        <v>1599.402652629765</v>
      </c>
      <c r="N19" s="18">
        <f t="shared" si="5"/>
        <v>1596.6963875660936</v>
      </c>
      <c r="O19" s="18">
        <f t="shared" si="5"/>
        <v>1599.402652629765</v>
      </c>
      <c r="P19" s="18">
        <f t="shared" si="5"/>
        <v>1596.6963875660936</v>
      </c>
      <c r="Q19" s="18">
        <f t="shared" si="5"/>
        <v>1599.402652629765</v>
      </c>
      <c r="R19" s="18">
        <f t="shared" si="5"/>
        <v>1596.6963875660936</v>
      </c>
      <c r="S19" s="18">
        <f t="shared" si="5"/>
        <v>798.34819378304678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10">
        <f>B19</f>
        <v>29334.672636713454</v>
      </c>
      <c r="C21" s="383"/>
      <c r="D21" s="310">
        <f>B19-D19</f>
        <v>27678.603838211115</v>
      </c>
      <c r="E21" s="310">
        <f>D21-E19</f>
        <v>24653.247627723336</v>
      </c>
      <c r="F21" s="310">
        <f t="shared" ref="F21:X21" si="7">E21-F19</f>
        <v>21884.986598284337</v>
      </c>
      <c r="G21" s="310">
        <f t="shared" si="7"/>
        <v>19346.7580992574</v>
      </c>
      <c r="H21" s="310">
        <f t="shared" si="7"/>
        <v>17016.912010133157</v>
      </c>
      <c r="I21" s="310">
        <f t="shared" si="7"/>
        <v>15179.440742132576</v>
      </c>
      <c r="J21" s="310">
        <f t="shared" si="7"/>
        <v>13582.744354566483</v>
      </c>
      <c r="K21" s="310">
        <f t="shared" si="7"/>
        <v>11983.341701936717</v>
      </c>
      <c r="L21" s="310">
        <f t="shared" si="7"/>
        <v>10386.645314370624</v>
      </c>
      <c r="M21" s="310">
        <f t="shared" si="7"/>
        <v>8787.2426617408582</v>
      </c>
      <c r="N21" s="310">
        <f t="shared" si="7"/>
        <v>7190.5462741747651</v>
      </c>
      <c r="O21" s="310">
        <f t="shared" si="7"/>
        <v>5591.1436215450003</v>
      </c>
      <c r="P21" s="310">
        <f t="shared" si="7"/>
        <v>3994.4472339789068</v>
      </c>
      <c r="Q21" s="310">
        <f t="shared" si="7"/>
        <v>2395.0445813491415</v>
      </c>
      <c r="R21" s="310">
        <f t="shared" si="7"/>
        <v>798.34819378304792</v>
      </c>
      <c r="S21" s="310">
        <f t="shared" si="7"/>
        <v>1.1368683772161603E-12</v>
      </c>
      <c r="T21" s="310">
        <f t="shared" si="7"/>
        <v>1.1368683772161603E-12</v>
      </c>
      <c r="U21" s="310">
        <f t="shared" si="7"/>
        <v>1.1368683772161603E-12</v>
      </c>
      <c r="V21" s="310">
        <f t="shared" si="7"/>
        <v>1.1368683772161603E-12</v>
      </c>
      <c r="W21" s="310">
        <f t="shared" si="7"/>
        <v>1.1368683772161603E-12</v>
      </c>
      <c r="X21" s="310">
        <f t="shared" si="7"/>
        <v>1.1368683772161603E-12</v>
      </c>
      <c r="Y21" s="310">
        <f>X21-Y19</f>
        <v>1.1368683772161603E-12</v>
      </c>
      <c r="Z21" s="310">
        <f t="shared" ref="Z21:AH21" si="8">Y21-Z19</f>
        <v>1.1368683772161603E-12</v>
      </c>
      <c r="AA21" s="310">
        <f t="shared" si="8"/>
        <v>1.1368683772161603E-12</v>
      </c>
      <c r="AB21" s="310">
        <f t="shared" si="8"/>
        <v>1.1368683772161603E-12</v>
      </c>
      <c r="AC21" s="310">
        <f t="shared" si="8"/>
        <v>1.1368683772161603E-12</v>
      </c>
      <c r="AD21" s="310">
        <f t="shared" si="8"/>
        <v>1.1368683772161603E-12</v>
      </c>
      <c r="AE21" s="310">
        <f t="shared" si="8"/>
        <v>1.1368683772161603E-12</v>
      </c>
      <c r="AF21" s="310">
        <f t="shared" si="8"/>
        <v>1.1368683772161603E-12</v>
      </c>
      <c r="AG21" s="310">
        <f t="shared" si="8"/>
        <v>1.1368683772161603E-12</v>
      </c>
      <c r="AH21" s="310">
        <f t="shared" si="8"/>
        <v>1.1368683772161603E-12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254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255</v>
      </c>
      <c r="B27" s="31">
        <f>Assumptions!$N$40</f>
        <v>5</v>
      </c>
      <c r="C27" s="32"/>
      <c r="D27" s="283">
        <f>D13</f>
        <v>0.13333333333333333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6.666666666666668E-2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323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254</v>
      </c>
      <c r="B31" s="380">
        <f>B16</f>
        <v>27062.650636713453</v>
      </c>
      <c r="C31" s="309"/>
      <c r="D31" s="18">
        <f>$B$31*D26</f>
        <v>1353.1325318356728</v>
      </c>
      <c r="E31" s="18">
        <f t="shared" ref="E31:Y31" si="14">$B$31*E26</f>
        <v>2570.9518104877779</v>
      </c>
      <c r="F31" s="18">
        <f t="shared" si="14"/>
        <v>2313.8566294390002</v>
      </c>
      <c r="G31" s="18">
        <f t="shared" si="14"/>
        <v>2083.824099026936</v>
      </c>
      <c r="H31" s="18">
        <f t="shared" si="14"/>
        <v>1875.4416891242424</v>
      </c>
      <c r="I31" s="18">
        <f t="shared" si="14"/>
        <v>1686.0031346672481</v>
      </c>
      <c r="J31" s="18">
        <f t="shared" si="14"/>
        <v>1596.6963875660936</v>
      </c>
      <c r="K31" s="18">
        <f t="shared" si="14"/>
        <v>1599.402652629765</v>
      </c>
      <c r="L31" s="18">
        <f t="shared" si="14"/>
        <v>1596.6963875660936</v>
      </c>
      <c r="M31" s="18">
        <f t="shared" si="14"/>
        <v>1599.402652629765</v>
      </c>
      <c r="N31" s="18">
        <f t="shared" si="14"/>
        <v>1596.6963875660936</v>
      </c>
      <c r="O31" s="18">
        <f t="shared" si="14"/>
        <v>1599.402652629765</v>
      </c>
      <c r="P31" s="18">
        <f t="shared" si="14"/>
        <v>1596.6963875660936</v>
      </c>
      <c r="Q31" s="18">
        <f t="shared" si="14"/>
        <v>1599.402652629765</v>
      </c>
      <c r="R31" s="18">
        <f t="shared" si="14"/>
        <v>1596.6963875660936</v>
      </c>
      <c r="S31" s="18">
        <f t="shared" si="14"/>
        <v>798.34819378304678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255</v>
      </c>
      <c r="B32" s="308">
        <f>B17</f>
        <v>2272.0219999999999</v>
      </c>
      <c r="C32" s="309"/>
      <c r="D32" s="306">
        <f>D27*$B$32</f>
        <v>302.93626666666665</v>
      </c>
      <c r="E32" s="306">
        <f t="shared" ref="E32:AH32" si="16">E27*$B$32</f>
        <v>454.40440000000001</v>
      </c>
      <c r="F32" s="306">
        <f t="shared" si="16"/>
        <v>454.40440000000001</v>
      </c>
      <c r="G32" s="306">
        <f t="shared" si="16"/>
        <v>454.40440000000001</v>
      </c>
      <c r="H32" s="306">
        <f t="shared" si="16"/>
        <v>454.40440000000001</v>
      </c>
      <c r="I32" s="306">
        <f t="shared" si="16"/>
        <v>151.46813333333336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323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62</v>
      </c>
      <c r="B34" s="18">
        <f>SUM(B31:B33)</f>
        <v>29334.672636713454</v>
      </c>
      <c r="C34" s="309"/>
      <c r="D34" s="18">
        <f t="shared" ref="D34:Y34" si="19">SUM(D31:D33)</f>
        <v>1656.0687985023394</v>
      </c>
      <c r="E34" s="18">
        <f t="shared" si="19"/>
        <v>3025.3562104877778</v>
      </c>
      <c r="F34" s="18">
        <f t="shared" si="19"/>
        <v>2768.2610294390001</v>
      </c>
      <c r="G34" s="18">
        <f t="shared" si="19"/>
        <v>2538.2284990269359</v>
      </c>
      <c r="H34" s="18">
        <f t="shared" si="19"/>
        <v>2329.8460891242426</v>
      </c>
      <c r="I34" s="18">
        <f t="shared" si="19"/>
        <v>1837.4712680005814</v>
      </c>
      <c r="J34" s="18">
        <f t="shared" si="19"/>
        <v>1596.6963875660936</v>
      </c>
      <c r="K34" s="18">
        <f t="shared" si="19"/>
        <v>1599.402652629765</v>
      </c>
      <c r="L34" s="18">
        <f t="shared" si="19"/>
        <v>1596.6963875660936</v>
      </c>
      <c r="M34" s="18">
        <f t="shared" si="19"/>
        <v>1599.402652629765</v>
      </c>
      <c r="N34" s="18">
        <f t="shared" si="19"/>
        <v>1596.6963875660936</v>
      </c>
      <c r="O34" s="18">
        <f t="shared" si="19"/>
        <v>1599.402652629765</v>
      </c>
      <c r="P34" s="18">
        <f t="shared" si="19"/>
        <v>1596.6963875660936</v>
      </c>
      <c r="Q34" s="18">
        <f t="shared" si="19"/>
        <v>1599.402652629765</v>
      </c>
      <c r="R34" s="18">
        <f t="shared" si="19"/>
        <v>1596.6963875660936</v>
      </c>
      <c r="S34" s="18">
        <f t="shared" si="19"/>
        <v>798.34819378304678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10">
        <f>B34</f>
        <v>29334.672636713454</v>
      </c>
      <c r="C36" s="385"/>
      <c r="D36" s="310">
        <f>B34-D34</f>
        <v>27678.603838211115</v>
      </c>
      <c r="E36" s="310">
        <f>D36-E34</f>
        <v>24653.247627723336</v>
      </c>
      <c r="F36" s="310">
        <f t="shared" ref="F36:W36" si="21">E36-F34</f>
        <v>21884.986598284337</v>
      </c>
      <c r="G36" s="310">
        <f t="shared" si="21"/>
        <v>19346.7580992574</v>
      </c>
      <c r="H36" s="310">
        <f t="shared" si="21"/>
        <v>17016.912010133157</v>
      </c>
      <c r="I36" s="310">
        <f t="shared" si="21"/>
        <v>15179.440742132576</v>
      </c>
      <c r="J36" s="310">
        <f t="shared" si="21"/>
        <v>13582.744354566483</v>
      </c>
      <c r="K36" s="310">
        <f t="shared" si="21"/>
        <v>11983.341701936717</v>
      </c>
      <c r="L36" s="310">
        <f t="shared" si="21"/>
        <v>10386.645314370624</v>
      </c>
      <c r="M36" s="310">
        <f t="shared" si="21"/>
        <v>8787.2426617408582</v>
      </c>
      <c r="N36" s="310">
        <f t="shared" si="21"/>
        <v>7190.5462741747651</v>
      </c>
      <c r="O36" s="310">
        <f t="shared" si="21"/>
        <v>5591.1436215450003</v>
      </c>
      <c r="P36" s="310">
        <f t="shared" si="21"/>
        <v>3994.4472339789068</v>
      </c>
      <c r="Q36" s="310">
        <f t="shared" si="21"/>
        <v>2395.0445813491415</v>
      </c>
      <c r="R36" s="310">
        <f t="shared" si="21"/>
        <v>798.34819378304792</v>
      </c>
      <c r="S36" s="310">
        <f t="shared" si="21"/>
        <v>1.1368683772161603E-12</v>
      </c>
      <c r="T36" s="310">
        <f t="shared" si="21"/>
        <v>1.1368683772161603E-12</v>
      </c>
      <c r="U36" s="310">
        <f t="shared" si="21"/>
        <v>1.1368683772161603E-12</v>
      </c>
      <c r="V36" s="310">
        <f t="shared" si="21"/>
        <v>1.1368683772161603E-12</v>
      </c>
      <c r="W36" s="310">
        <f t="shared" si="21"/>
        <v>1.1368683772161603E-12</v>
      </c>
      <c r="X36" s="310">
        <f>W36-X34</f>
        <v>1.1368683772161603E-12</v>
      </c>
      <c r="Y36" s="310">
        <f>X36-Y34</f>
        <v>1.1368683772161603E-12</v>
      </c>
      <c r="Z36" s="310">
        <f t="shared" ref="Z36:AH36" si="22">Y36-Z34</f>
        <v>1.1368683772161603E-12</v>
      </c>
      <c r="AA36" s="310">
        <f t="shared" si="22"/>
        <v>1.1368683772161603E-12</v>
      </c>
      <c r="AB36" s="310">
        <f t="shared" si="22"/>
        <v>1.1368683772161603E-12</v>
      </c>
      <c r="AC36" s="310">
        <f t="shared" si="22"/>
        <v>1.1368683772161603E-12</v>
      </c>
      <c r="AD36" s="310">
        <f t="shared" si="22"/>
        <v>1.1368683772161603E-12</v>
      </c>
      <c r="AE36" s="310">
        <f t="shared" si="22"/>
        <v>1.1368683772161603E-12</v>
      </c>
      <c r="AF36" s="310">
        <f t="shared" si="22"/>
        <v>1.1368683772161603E-12</v>
      </c>
      <c r="AG36" s="310">
        <f t="shared" si="22"/>
        <v>1.1368683772161603E-12</v>
      </c>
      <c r="AH36" s="310">
        <f t="shared" si="22"/>
        <v>1.1368683772161603E-12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8" t="s">
        <v>66</v>
      </c>
    </row>
    <row r="41" spans="1:38" s="10" customFormat="1">
      <c r="A41" s="21" t="s">
        <v>378</v>
      </c>
      <c r="B41" s="31">
        <f>Assumptions!$N$44</f>
        <v>30</v>
      </c>
      <c r="C41" s="379">
        <f>Assumptions!P44</f>
        <v>0.1</v>
      </c>
      <c r="D41" s="283">
        <f>1/Assumptions!$N$44*D6*(1-$C$41)</f>
        <v>1.9999999999999997E-2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255</v>
      </c>
      <c r="B42" s="31">
        <f>Assumptions!$N$40</f>
        <v>5</v>
      </c>
      <c r="C42" s="32"/>
      <c r="D42" s="283">
        <f>D13</f>
        <v>0.13333333333333333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6.666666666666668E-2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323</v>
      </c>
      <c r="B43" s="34">
        <f>Assumptions!$N$46</f>
        <v>20</v>
      </c>
      <c r="C43" s="24"/>
      <c r="D43" s="283">
        <f>1/Assumptions!$N$46*D6</f>
        <v>3.3333333333333333E-2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1.666666666666667E-2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254</v>
      </c>
      <c r="B45" s="380">
        <f>B16</f>
        <v>27062.650636713453</v>
      </c>
      <c r="C45" s="309"/>
      <c r="D45" s="18">
        <f t="shared" ref="D45:Y45" si="24">D41*$B$45</f>
        <v>541.25301273426896</v>
      </c>
      <c r="E45" s="18">
        <f t="shared" si="24"/>
        <v>811.87951910140362</v>
      </c>
      <c r="F45" s="18">
        <f t="shared" si="24"/>
        <v>811.87951910140362</v>
      </c>
      <c r="G45" s="18">
        <f t="shared" si="24"/>
        <v>811.87951910140362</v>
      </c>
      <c r="H45" s="18">
        <f t="shared" si="24"/>
        <v>811.87951910140362</v>
      </c>
      <c r="I45" s="18">
        <f t="shared" si="24"/>
        <v>811.87951910140362</v>
      </c>
      <c r="J45" s="18">
        <f t="shared" si="24"/>
        <v>811.87951910140362</v>
      </c>
      <c r="K45" s="18">
        <f t="shared" si="24"/>
        <v>811.87951910140362</v>
      </c>
      <c r="L45" s="18">
        <f t="shared" si="24"/>
        <v>811.87951910140362</v>
      </c>
      <c r="M45" s="18">
        <f t="shared" si="24"/>
        <v>811.87951910140362</v>
      </c>
      <c r="N45" s="18">
        <f t="shared" si="24"/>
        <v>811.87951910140362</v>
      </c>
      <c r="O45" s="18">
        <f t="shared" si="24"/>
        <v>811.87951910140362</v>
      </c>
      <c r="P45" s="18">
        <f t="shared" si="24"/>
        <v>811.87951910140362</v>
      </c>
      <c r="Q45" s="18">
        <f t="shared" si="24"/>
        <v>811.87951910140362</v>
      </c>
      <c r="R45" s="18">
        <f t="shared" si="24"/>
        <v>811.87951910140362</v>
      </c>
      <c r="S45" s="18">
        <f t="shared" si="24"/>
        <v>811.87951910140362</v>
      </c>
      <c r="T45" s="18">
        <f t="shared" si="24"/>
        <v>811.87951910140362</v>
      </c>
      <c r="U45" s="18">
        <f t="shared" si="24"/>
        <v>811.87951910140362</v>
      </c>
      <c r="V45" s="18">
        <f t="shared" si="24"/>
        <v>811.87951910140362</v>
      </c>
      <c r="W45" s="18">
        <f t="shared" si="24"/>
        <v>811.87951910140362</v>
      </c>
      <c r="X45" s="18">
        <f t="shared" si="24"/>
        <v>811.87951910140362</v>
      </c>
      <c r="Y45" s="18">
        <f t="shared" si="24"/>
        <v>811.87951910140362</v>
      </c>
      <c r="Z45" s="18">
        <f t="shared" ref="Z45:AH45" si="25">Z41*$B$45</f>
        <v>811.87951910140362</v>
      </c>
      <c r="AA45" s="18">
        <f t="shared" si="25"/>
        <v>811.87951910140362</v>
      </c>
      <c r="AB45" s="18">
        <f t="shared" si="25"/>
        <v>811.87951910140362</v>
      </c>
      <c r="AC45" s="18">
        <f t="shared" si="25"/>
        <v>811.87951910140362</v>
      </c>
      <c r="AD45" s="18">
        <f t="shared" si="25"/>
        <v>811.87951910140362</v>
      </c>
      <c r="AE45" s="18">
        <f t="shared" si="25"/>
        <v>811.87951910140362</v>
      </c>
      <c r="AF45" s="18">
        <f t="shared" si="25"/>
        <v>811.87951910140362</v>
      </c>
      <c r="AG45" s="18">
        <f t="shared" si="25"/>
        <v>811.87951910140362</v>
      </c>
      <c r="AH45" s="18">
        <f t="shared" si="25"/>
        <v>270.6265063671346</v>
      </c>
      <c r="AI45" s="20"/>
      <c r="AJ45" s="20"/>
      <c r="AK45" s="20"/>
      <c r="AL45" s="20"/>
    </row>
    <row r="46" spans="1:38" s="10" customFormat="1">
      <c r="A46" s="21" t="s">
        <v>255</v>
      </c>
      <c r="B46" s="308">
        <f>B17</f>
        <v>2272.0219999999999</v>
      </c>
      <c r="C46" s="309"/>
      <c r="D46" s="306">
        <f>D42*$B$46</f>
        <v>302.93626666666665</v>
      </c>
      <c r="E46" s="306">
        <f t="shared" ref="E46:AH46" si="26">E42*$B$46</f>
        <v>454.40440000000001</v>
      </c>
      <c r="F46" s="306">
        <f t="shared" si="26"/>
        <v>454.40440000000001</v>
      </c>
      <c r="G46" s="306">
        <f t="shared" si="26"/>
        <v>454.40440000000001</v>
      </c>
      <c r="H46" s="306">
        <f t="shared" si="26"/>
        <v>454.40440000000001</v>
      </c>
      <c r="I46" s="306">
        <f t="shared" si="26"/>
        <v>151.46813333333336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323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29334.672636713454</v>
      </c>
      <c r="C48" s="309"/>
      <c r="D48" s="18">
        <f t="shared" ref="D48:Y48" si="29">SUM(D45:D47)</f>
        <v>844.18927940093567</v>
      </c>
      <c r="E48" s="18">
        <f t="shared" si="29"/>
        <v>1266.2839191014036</v>
      </c>
      <c r="F48" s="18">
        <f t="shared" si="29"/>
        <v>1266.2839191014036</v>
      </c>
      <c r="G48" s="18">
        <f t="shared" si="29"/>
        <v>1266.2839191014036</v>
      </c>
      <c r="H48" s="18">
        <f t="shared" si="29"/>
        <v>1266.2839191014036</v>
      </c>
      <c r="I48" s="18">
        <f t="shared" si="29"/>
        <v>963.34765243473703</v>
      </c>
      <c r="J48" s="18">
        <f t="shared" si="29"/>
        <v>811.87951910140362</v>
      </c>
      <c r="K48" s="18">
        <f t="shared" si="29"/>
        <v>811.87951910140362</v>
      </c>
      <c r="L48" s="18">
        <f t="shared" si="29"/>
        <v>811.87951910140362</v>
      </c>
      <c r="M48" s="18">
        <f t="shared" si="29"/>
        <v>811.87951910140362</v>
      </c>
      <c r="N48" s="18">
        <f t="shared" si="29"/>
        <v>811.87951910140362</v>
      </c>
      <c r="O48" s="18">
        <f t="shared" si="29"/>
        <v>811.87951910140362</v>
      </c>
      <c r="P48" s="18">
        <f t="shared" si="29"/>
        <v>811.87951910140362</v>
      </c>
      <c r="Q48" s="18">
        <f t="shared" si="29"/>
        <v>811.87951910140362</v>
      </c>
      <c r="R48" s="18">
        <f t="shared" si="29"/>
        <v>811.87951910140362</v>
      </c>
      <c r="S48" s="18">
        <f t="shared" si="29"/>
        <v>811.87951910140362</v>
      </c>
      <c r="T48" s="18">
        <f t="shared" si="29"/>
        <v>811.87951910140362</v>
      </c>
      <c r="U48" s="18">
        <f t="shared" si="29"/>
        <v>811.87951910140362</v>
      </c>
      <c r="V48" s="18">
        <f t="shared" si="29"/>
        <v>811.87951910140362</v>
      </c>
      <c r="W48" s="18">
        <f t="shared" si="29"/>
        <v>811.87951910140362</v>
      </c>
      <c r="X48" s="18">
        <f t="shared" si="29"/>
        <v>811.87951910140362</v>
      </c>
      <c r="Y48" s="18">
        <f t="shared" si="29"/>
        <v>811.87951910140362</v>
      </c>
      <c r="Z48" s="18">
        <f t="shared" ref="Z48:AH48" si="30">SUM(Z45:Z47)</f>
        <v>811.87951910140362</v>
      </c>
      <c r="AA48" s="18">
        <f t="shared" si="30"/>
        <v>811.87951910140362</v>
      </c>
      <c r="AB48" s="18">
        <f t="shared" si="30"/>
        <v>811.87951910140362</v>
      </c>
      <c r="AC48" s="18">
        <f t="shared" si="30"/>
        <v>811.87951910140362</v>
      </c>
      <c r="AD48" s="18">
        <f t="shared" si="30"/>
        <v>811.87951910140362</v>
      </c>
      <c r="AE48" s="18">
        <f t="shared" si="30"/>
        <v>811.87951910140362</v>
      </c>
      <c r="AF48" s="18">
        <f t="shared" si="30"/>
        <v>811.87951910140362</v>
      </c>
      <c r="AG48" s="18">
        <f t="shared" si="30"/>
        <v>811.87951910140362</v>
      </c>
      <c r="AH48" s="18">
        <f t="shared" si="30"/>
        <v>270.6265063671346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67</v>
      </c>
      <c r="B50" s="386">
        <f>B48</f>
        <v>29334.672636713454</v>
      </c>
      <c r="C50" s="385"/>
      <c r="D50" s="310">
        <f>B48-D48</f>
        <v>28490.483357312518</v>
      </c>
      <c r="E50" s="310">
        <f>D50-E48</f>
        <v>27224.199438211115</v>
      </c>
      <c r="F50" s="310">
        <f t="shared" ref="F50:Y50" si="31">E50-F48</f>
        <v>25957.915519109712</v>
      </c>
      <c r="G50" s="310">
        <f t="shared" si="31"/>
        <v>24691.63160000831</v>
      </c>
      <c r="H50" s="310">
        <f t="shared" si="31"/>
        <v>23425.347680906907</v>
      </c>
      <c r="I50" s="310">
        <f t="shared" si="31"/>
        <v>22462.000028472168</v>
      </c>
      <c r="J50" s="310">
        <f t="shared" si="31"/>
        <v>21650.120509370765</v>
      </c>
      <c r="K50" s="310">
        <f t="shared" si="31"/>
        <v>20838.240990269362</v>
      </c>
      <c r="L50" s="310">
        <f t="shared" si="31"/>
        <v>20026.361471167958</v>
      </c>
      <c r="M50" s="310">
        <f t="shared" si="31"/>
        <v>19214.481952066555</v>
      </c>
      <c r="N50" s="310">
        <f t="shared" si="31"/>
        <v>18402.602432965152</v>
      </c>
      <c r="O50" s="310">
        <f t="shared" si="31"/>
        <v>17590.722913863749</v>
      </c>
      <c r="P50" s="310">
        <f t="shared" si="31"/>
        <v>16778.843394762345</v>
      </c>
      <c r="Q50" s="310">
        <f t="shared" si="31"/>
        <v>15966.963875660942</v>
      </c>
      <c r="R50" s="310">
        <f t="shared" si="31"/>
        <v>15155.084356559539</v>
      </c>
      <c r="S50" s="310">
        <f t="shared" si="31"/>
        <v>14343.204837458135</v>
      </c>
      <c r="T50" s="310">
        <f t="shared" si="31"/>
        <v>13531.325318356732</v>
      </c>
      <c r="U50" s="310">
        <f t="shared" si="31"/>
        <v>12719.445799255329</v>
      </c>
      <c r="V50" s="310">
        <f t="shared" si="31"/>
        <v>11907.566280153926</v>
      </c>
      <c r="W50" s="310">
        <f t="shared" si="31"/>
        <v>11095.686761052522</v>
      </c>
      <c r="X50" s="310">
        <f t="shared" si="31"/>
        <v>10283.807241951119</v>
      </c>
      <c r="Y50" s="310">
        <f t="shared" si="31"/>
        <v>9471.9277228497158</v>
      </c>
      <c r="Z50" s="310">
        <f t="shared" ref="Z50:AH50" si="32">Y50-Z48</f>
        <v>8660.0482037483125</v>
      </c>
      <c r="AA50" s="310">
        <f t="shared" si="32"/>
        <v>7848.1686846469092</v>
      </c>
      <c r="AB50" s="310">
        <f t="shared" si="32"/>
        <v>7036.289165545506</v>
      </c>
      <c r="AC50" s="310">
        <f t="shared" si="32"/>
        <v>6224.4096464441027</v>
      </c>
      <c r="AD50" s="310">
        <f t="shared" si="32"/>
        <v>5412.5301273426994</v>
      </c>
      <c r="AE50" s="310">
        <f t="shared" si="32"/>
        <v>4600.6506082412961</v>
      </c>
      <c r="AF50" s="310">
        <f t="shared" si="32"/>
        <v>3788.7710891398924</v>
      </c>
      <c r="AG50" s="310">
        <f t="shared" si="32"/>
        <v>2976.8915700384887</v>
      </c>
      <c r="AH50" s="310">
        <f t="shared" si="32"/>
        <v>2706.2650636713543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Rochester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0.66666666666666663</v>
      </c>
      <c r="C6" s="218">
        <f>'Price_Technical Assumption'!E7</f>
        <v>1.6666666666666665</v>
      </c>
      <c r="D6" s="218">
        <f>'Price_Technical Assumption'!F7</f>
        <v>2.6666666666666665</v>
      </c>
      <c r="E6" s="218">
        <f>'Price_Technical Assumption'!G7</f>
        <v>3.6666666666666665</v>
      </c>
      <c r="F6" s="218">
        <f>'Price_Technical Assumption'!H7</f>
        <v>4.6666666666666661</v>
      </c>
      <c r="G6" s="218">
        <f>'Price_Technical Assumption'!I7</f>
        <v>5.6666666666666661</v>
      </c>
      <c r="H6" s="218">
        <f>'Price_Technical Assumption'!J7</f>
        <v>6.6666666666666661</v>
      </c>
      <c r="I6" s="218">
        <f>'Price_Technical Assumption'!K7</f>
        <v>7.6666666666666661</v>
      </c>
      <c r="J6" s="218">
        <f>'Price_Technical Assumption'!L7</f>
        <v>8.6666666666666661</v>
      </c>
      <c r="K6" s="218">
        <f>'Price_Technical Assumption'!M7</f>
        <v>9.6666666666666661</v>
      </c>
      <c r="L6" s="218">
        <f>'Price_Technical Assumption'!N7</f>
        <v>10.666666666666666</v>
      </c>
      <c r="M6" s="218">
        <f>'Price_Technical Assumption'!O7</f>
        <v>11.666666666666666</v>
      </c>
      <c r="N6" s="218">
        <f>'Price_Technical Assumption'!P7</f>
        <v>12.666666666666666</v>
      </c>
      <c r="O6" s="218">
        <f>'Price_Technical Assumption'!Q7</f>
        <v>13.666666666666666</v>
      </c>
      <c r="P6" s="218">
        <f>'Price_Technical Assumption'!R7</f>
        <v>14.666666666666666</v>
      </c>
      <c r="Q6" s="218">
        <f>'Price_Technical Assumption'!S7</f>
        <v>15.666666666666666</v>
      </c>
      <c r="R6" s="218">
        <f>'Price_Technical Assumption'!T7</f>
        <v>16.666666666666664</v>
      </c>
      <c r="S6" s="218">
        <f>'Price_Technical Assumption'!U7</f>
        <v>17.666666666666664</v>
      </c>
      <c r="T6" s="218">
        <f>'Price_Technical Assumption'!V7</f>
        <v>18.666666666666664</v>
      </c>
      <c r="U6" s="218">
        <f>'Price_Technical Assumption'!W7</f>
        <v>19.666666666666664</v>
      </c>
      <c r="V6" s="218">
        <f>'Price_Technical Assumption'!X7</f>
        <v>20.666666666666664</v>
      </c>
      <c r="W6" s="218">
        <f>'Price_Technical Assumption'!Y7</f>
        <v>21.666666666666664</v>
      </c>
      <c r="X6" s="218">
        <f>'Price_Technical Assumption'!Z7</f>
        <v>22.666666666666664</v>
      </c>
      <c r="Y6" s="218">
        <f>'Price_Technical Assumption'!AA7</f>
        <v>23.666666666666664</v>
      </c>
      <c r="Z6" s="218">
        <f>'Price_Technical Assumption'!AB7</f>
        <v>24.666666666666664</v>
      </c>
      <c r="AA6" s="218">
        <f>'Price_Technical Assumption'!AC7</f>
        <v>25.666666666666664</v>
      </c>
      <c r="AB6" s="218">
        <f>'Price_Technical Assumption'!AD7</f>
        <v>26.666666666666664</v>
      </c>
      <c r="AC6" s="218">
        <f>'Price_Technical Assumption'!AE7</f>
        <v>27.666666666666664</v>
      </c>
      <c r="AD6" s="218">
        <f>'Price_Technical Assumption'!AF7</f>
        <v>28.666666666666664</v>
      </c>
      <c r="AE6" s="218">
        <f>'Price_Technical Assumption'!AG7</f>
        <v>29.666666666666664</v>
      </c>
      <c r="AF6" s="218">
        <f>'Price_Technical Assumption'!AH7</f>
        <v>30.666666666666664</v>
      </c>
    </row>
    <row r="7" spans="1:32" ht="13.5" thickBot="1">
      <c r="A7" s="123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215</v>
      </c>
      <c r="B10" s="19">
        <f>IS!C40</f>
        <v>-1001.2175643968667</v>
      </c>
      <c r="C10" s="19">
        <f>IS!D40</f>
        <v>-1356.2167366520521</v>
      </c>
      <c r="D10" s="19">
        <f>IS!E40</f>
        <v>-1418.8014231251848</v>
      </c>
      <c r="E10" s="19">
        <f>IS!F40</f>
        <v>-815.54688282283951</v>
      </c>
      <c r="F10" s="19">
        <f>IS!G40</f>
        <v>-527.22942286334137</v>
      </c>
      <c r="G10" s="19">
        <f>IS!H40</f>
        <v>-196.08875372109935</v>
      </c>
      <c r="H10" s="19">
        <f>IS!I40</f>
        <v>-13.415658313857534</v>
      </c>
      <c r="I10" s="19">
        <f>IS!J40</f>
        <v>18.624480094447335</v>
      </c>
      <c r="J10" s="19">
        <f>IS!K40</f>
        <v>115.29870022035459</v>
      </c>
      <c r="K10" s="19">
        <f>IS!L40</f>
        <v>154.85285855257769</v>
      </c>
      <c r="L10" s="19">
        <f>IS!M40</f>
        <v>263.6989548674502</v>
      </c>
      <c r="M10" s="19">
        <f>IS!N40</f>
        <v>312.50510387794259</v>
      </c>
      <c r="N10" s="19">
        <f>IS!O40</f>
        <v>435.60447221890638</v>
      </c>
      <c r="O10" s="19">
        <f>IS!P40</f>
        <v>495.57215222588775</v>
      </c>
      <c r="P10" s="19">
        <f>IS!Q40</f>
        <v>559.00116185057095</v>
      </c>
      <c r="Q10" s="19">
        <f>IS!R40</f>
        <v>625.39305956565795</v>
      </c>
      <c r="R10" s="19">
        <f>IS!S40</f>
        <v>695.29430744568526</v>
      </c>
      <c r="S10" s="19">
        <f>IS!T40</f>
        <v>768.44359361155193</v>
      </c>
      <c r="T10" s="19">
        <f>IS!U40</f>
        <v>845.24052482688433</v>
      </c>
      <c r="U10" s="19">
        <f>IS!V40</f>
        <v>924.54594757497125</v>
      </c>
      <c r="V10" s="19">
        <f>IS!W40</f>
        <v>-1714.4893504559088</v>
      </c>
      <c r="W10" s="19">
        <f>IS!X40</f>
        <v>-3173.49129238671</v>
      </c>
      <c r="X10" s="19">
        <f>IS!Y40</f>
        <v>-3380.5970132930211</v>
      </c>
      <c r="Y10" s="19">
        <f>IS!Z40</f>
        <v>-3616.3759389257666</v>
      </c>
      <c r="Z10" s="19">
        <f>IS!AA40</f>
        <v>-3872.98034236579</v>
      </c>
      <c r="AA10" s="19">
        <f>IS!AB40</f>
        <v>-4151.5072971139243</v>
      </c>
      <c r="AB10" s="19">
        <f>IS!AC40</f>
        <v>-4454.1668763063644</v>
      </c>
      <c r="AC10" s="19">
        <f>IS!AD40</f>
        <v>-4782.7543977930582</v>
      </c>
      <c r="AD10" s="19">
        <f>IS!AE40</f>
        <v>-5140.1357105876968</v>
      </c>
      <c r="AE10" s="19">
        <f>IS!AF40</f>
        <v>-5527.9300360529869</v>
      </c>
      <c r="AF10" s="19">
        <f>IS!AG40</f>
        <v>-5466.3764627277787</v>
      </c>
    </row>
    <row r="11" spans="1:32">
      <c r="A11" s="21" t="s">
        <v>69</v>
      </c>
      <c r="B11" s="19">
        <f>IS!C34</f>
        <v>844.18927940093567</v>
      </c>
      <c r="C11" s="19">
        <f>IS!D34</f>
        <v>1266.2839191014036</v>
      </c>
      <c r="D11" s="19">
        <f>IS!E34</f>
        <v>1266.2839191014036</v>
      </c>
      <c r="E11" s="19">
        <f>IS!F34</f>
        <v>1266.2839191014036</v>
      </c>
      <c r="F11" s="19">
        <f>IS!G34</f>
        <v>1266.2839191014036</v>
      </c>
      <c r="G11" s="19">
        <f>IS!H34</f>
        <v>963.34765243473703</v>
      </c>
      <c r="H11" s="19">
        <f>IS!I34</f>
        <v>811.87951910140362</v>
      </c>
      <c r="I11" s="19">
        <f>IS!J34</f>
        <v>811.87951910140362</v>
      </c>
      <c r="J11" s="19">
        <f>IS!K34</f>
        <v>811.87951910140362</v>
      </c>
      <c r="K11" s="19">
        <f>IS!L34</f>
        <v>811.87951910140362</v>
      </c>
      <c r="L11" s="19">
        <f>IS!M34</f>
        <v>811.87951910140362</v>
      </c>
      <c r="M11" s="19">
        <f>IS!N34</f>
        <v>811.87951910140362</v>
      </c>
      <c r="N11" s="19">
        <f>IS!O34</f>
        <v>811.87951910140362</v>
      </c>
      <c r="O11" s="19">
        <f>IS!P34</f>
        <v>811.87951910140362</v>
      </c>
      <c r="P11" s="19">
        <f>IS!Q34</f>
        <v>811.87951910140362</v>
      </c>
      <c r="Q11" s="19">
        <f>IS!R34</f>
        <v>811.87951910140362</v>
      </c>
      <c r="R11" s="19">
        <f>IS!S34</f>
        <v>811.87951910140362</v>
      </c>
      <c r="S11" s="19">
        <f>IS!T34</f>
        <v>811.87951910140362</v>
      </c>
      <c r="T11" s="19">
        <f>IS!U34</f>
        <v>811.87951910140362</v>
      </c>
      <c r="U11" s="19">
        <f>IS!V34</f>
        <v>811.87951910140362</v>
      </c>
      <c r="V11" s="19">
        <f>IS!W34</f>
        <v>811.87951910140362</v>
      </c>
      <c r="W11" s="19">
        <f>IS!X34</f>
        <v>811.87951910140362</v>
      </c>
      <c r="X11" s="19">
        <f>IS!Y34</f>
        <v>811.87951910140362</v>
      </c>
      <c r="Y11" s="19">
        <f>IS!Z34</f>
        <v>811.87951910140362</v>
      </c>
      <c r="Z11" s="19">
        <f>IS!AA34</f>
        <v>811.87951910140362</v>
      </c>
      <c r="AA11" s="19">
        <f>IS!AB34</f>
        <v>811.87951910140362</v>
      </c>
      <c r="AB11" s="19">
        <f>IS!AC34</f>
        <v>811.87951910140362</v>
      </c>
      <c r="AC11" s="19">
        <f>IS!AD34</f>
        <v>811.87951910140362</v>
      </c>
      <c r="AD11" s="19">
        <f>IS!AE34</f>
        <v>811.87951910140362</v>
      </c>
      <c r="AE11" s="19">
        <f>IS!AF34</f>
        <v>811.87951910140362</v>
      </c>
      <c r="AF11" s="19">
        <f>IS!AG34</f>
        <v>270.6265063671346</v>
      </c>
    </row>
    <row r="12" spans="1:32" ht="15">
      <c r="A12" s="21" t="s">
        <v>70</v>
      </c>
      <c r="B12" s="131">
        <f>-Depreciation!D34</f>
        <v>-1656.0687985023394</v>
      </c>
      <c r="C12" s="131">
        <f>-Depreciation!E34</f>
        <v>-3025.3562104877778</v>
      </c>
      <c r="D12" s="131">
        <f>-Depreciation!F34</f>
        <v>-2768.2610294390001</v>
      </c>
      <c r="E12" s="131">
        <f>-Depreciation!G34</f>
        <v>-2538.2284990269359</v>
      </c>
      <c r="F12" s="131">
        <f>-Depreciation!H34</f>
        <v>-2329.8460891242426</v>
      </c>
      <c r="G12" s="131">
        <f>-Depreciation!I34</f>
        <v>-1837.4712680005814</v>
      </c>
      <c r="H12" s="131">
        <f>-Depreciation!J34</f>
        <v>-1596.6963875660936</v>
      </c>
      <c r="I12" s="131">
        <f>-Depreciation!K34</f>
        <v>-1599.402652629765</v>
      </c>
      <c r="J12" s="131">
        <f>-Depreciation!L34</f>
        <v>-1596.6963875660936</v>
      </c>
      <c r="K12" s="131">
        <f>-Depreciation!M34</f>
        <v>-1599.402652629765</v>
      </c>
      <c r="L12" s="131">
        <f>-Depreciation!N34</f>
        <v>-1596.6963875660936</v>
      </c>
      <c r="M12" s="131">
        <f>-Depreciation!O34</f>
        <v>-1599.402652629765</v>
      </c>
      <c r="N12" s="131">
        <f>-Depreciation!P34</f>
        <v>-1596.6963875660936</v>
      </c>
      <c r="O12" s="131">
        <f>-Depreciation!Q34</f>
        <v>-1599.402652629765</v>
      </c>
      <c r="P12" s="131">
        <f>-Depreciation!R34</f>
        <v>-1596.6963875660936</v>
      </c>
      <c r="Q12" s="131">
        <f>-Depreciation!S34</f>
        <v>-798.34819378304678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-1813.0970834982704</v>
      </c>
      <c r="C13" s="23">
        <f t="shared" ref="C13:W13" si="0">SUM(C10:C12)</f>
        <v>-3115.2890280384263</v>
      </c>
      <c r="D13" s="23">
        <f t="shared" si="0"/>
        <v>-2920.7785334627815</v>
      </c>
      <c r="E13" s="23">
        <f t="shared" si="0"/>
        <v>-2087.4914627483718</v>
      </c>
      <c r="F13" s="23">
        <f t="shared" si="0"/>
        <v>-1590.7915928861803</v>
      </c>
      <c r="G13" s="23">
        <f t="shared" si="0"/>
        <v>-1070.2123692869436</v>
      </c>
      <c r="H13" s="23">
        <f t="shared" si="0"/>
        <v>-798.23252677854748</v>
      </c>
      <c r="I13" s="23">
        <f t="shared" si="0"/>
        <v>-768.89865343391409</v>
      </c>
      <c r="J13" s="23">
        <f t="shared" si="0"/>
        <v>-669.51816824433536</v>
      </c>
      <c r="K13" s="23">
        <f t="shared" si="0"/>
        <v>-632.67027497578374</v>
      </c>
      <c r="L13" s="23">
        <f t="shared" si="0"/>
        <v>-521.11791359723975</v>
      </c>
      <c r="M13" s="23">
        <f t="shared" si="0"/>
        <v>-475.01802965041884</v>
      </c>
      <c r="N13" s="23">
        <f t="shared" si="0"/>
        <v>-349.21239624578357</v>
      </c>
      <c r="O13" s="23">
        <f t="shared" si="0"/>
        <v>-291.95098130247356</v>
      </c>
      <c r="P13" s="23">
        <f t="shared" si="0"/>
        <v>-225.81570661411888</v>
      </c>
      <c r="Q13" s="23">
        <f t="shared" si="0"/>
        <v>638.9243848840149</v>
      </c>
      <c r="R13" s="23">
        <f t="shared" si="0"/>
        <v>1507.173826547089</v>
      </c>
      <c r="S13" s="23">
        <f t="shared" si="0"/>
        <v>1580.3231127129557</v>
      </c>
      <c r="T13" s="23">
        <f t="shared" si="0"/>
        <v>1657.1200439282879</v>
      </c>
      <c r="U13" s="23">
        <f t="shared" si="0"/>
        <v>1736.425466676375</v>
      </c>
      <c r="V13" s="23">
        <f t="shared" si="0"/>
        <v>-902.60983135450522</v>
      </c>
      <c r="W13" s="23">
        <f t="shared" si="0"/>
        <v>-2361.6117732853063</v>
      </c>
      <c r="X13" s="23">
        <f t="shared" ref="X13:AF13" si="1">SUM(X10:X12)</f>
        <v>-2568.7174941916173</v>
      </c>
      <c r="Y13" s="23">
        <f t="shared" si="1"/>
        <v>-2804.4964198243629</v>
      </c>
      <c r="Z13" s="23">
        <f t="shared" si="1"/>
        <v>-3061.1008232643862</v>
      </c>
      <c r="AA13" s="23">
        <f t="shared" si="1"/>
        <v>-3339.6277780125206</v>
      </c>
      <c r="AB13" s="23">
        <f t="shared" si="1"/>
        <v>-3642.2873572049607</v>
      </c>
      <c r="AC13" s="23">
        <f t="shared" si="1"/>
        <v>-3970.8748786916544</v>
      </c>
      <c r="AD13" s="23">
        <f t="shared" si="1"/>
        <v>-4328.2561914862936</v>
      </c>
      <c r="AE13" s="23">
        <f t="shared" si="1"/>
        <v>-4716.0505169515836</v>
      </c>
      <c r="AF13" s="23">
        <f t="shared" si="1"/>
        <v>-5195.7499563606443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-126.91679584487895</v>
      </c>
      <c r="C16" s="19">
        <f t="shared" si="2"/>
        <v>-218.07023196268986</v>
      </c>
      <c r="D16" s="19">
        <f t="shared" si="2"/>
        <v>-204.45449734239472</v>
      </c>
      <c r="E16" s="19">
        <f t="shared" si="2"/>
        <v>-146.12440239238603</v>
      </c>
      <c r="F16" s="19">
        <f t="shared" si="2"/>
        <v>-111.35541150203264</v>
      </c>
      <c r="G16" s="19">
        <f t="shared" si="2"/>
        <v>-74.914865850086059</v>
      </c>
      <c r="H16" s="19">
        <f t="shared" si="2"/>
        <v>-55.87627687449833</v>
      </c>
      <c r="I16" s="19">
        <f t="shared" si="2"/>
        <v>-53.82290574037399</v>
      </c>
      <c r="J16" s="19">
        <f t="shared" si="2"/>
        <v>-46.866271777103478</v>
      </c>
      <c r="K16" s="19">
        <f t="shared" si="2"/>
        <v>-44.286919248304869</v>
      </c>
      <c r="L16" s="19">
        <f t="shared" si="2"/>
        <v>-36.478253951806785</v>
      </c>
      <c r="M16" s="19">
        <f t="shared" si="2"/>
        <v>-33.251262075529318</v>
      </c>
      <c r="N16" s="19">
        <f t="shared" si="2"/>
        <v>-24.444867737204852</v>
      </c>
      <c r="O16" s="19">
        <f t="shared" si="2"/>
        <v>-20.43656869117315</v>
      </c>
      <c r="P16" s="19">
        <f t="shared" si="2"/>
        <v>-15.807099462988322</v>
      </c>
      <c r="Q16" s="19">
        <f t="shared" si="2"/>
        <v>44.724706941881045</v>
      </c>
      <c r="R16" s="19">
        <f t="shared" si="2"/>
        <v>105.50216785829625</v>
      </c>
      <c r="S16" s="19">
        <f t="shared" si="2"/>
        <v>110.62261788990691</v>
      </c>
      <c r="T16" s="19">
        <f t="shared" si="2"/>
        <v>115.99840307498016</v>
      </c>
      <c r="U16" s="19">
        <f t="shared" si="2"/>
        <v>121.54978266734626</v>
      </c>
      <c r="V16" s="19">
        <f t="shared" si="2"/>
        <v>-63.18268819481537</v>
      </c>
      <c r="W16" s="19">
        <f t="shared" si="2"/>
        <v>-165.31282412997146</v>
      </c>
      <c r="X16" s="19">
        <f t="shared" si="2"/>
        <v>-179.81022459341324</v>
      </c>
      <c r="Y16" s="19">
        <f t="shared" si="2"/>
        <v>-196.31474938770543</v>
      </c>
      <c r="Z16" s="19">
        <f t="shared" si="2"/>
        <v>-214.27705762850707</v>
      </c>
      <c r="AA16" s="19">
        <f t="shared" si="2"/>
        <v>-233.77394446087646</v>
      </c>
      <c r="AB16" s="19">
        <f t="shared" si="2"/>
        <v>-254.96011500434727</v>
      </c>
      <c r="AC16" s="19">
        <f t="shared" si="2"/>
        <v>-277.96124150841581</v>
      </c>
      <c r="AD16" s="19">
        <f t="shared" si="2"/>
        <v>-302.97793340404058</v>
      </c>
      <c r="AE16" s="19">
        <f t="shared" si="2"/>
        <v>-330.12353618661086</v>
      </c>
      <c r="AF16" s="19">
        <f t="shared" si="2"/>
        <v>-363.70249694524512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126.91679584487895</v>
      </c>
      <c r="D18" s="19">
        <f t="shared" ref="D18:W18" si="3">C22</f>
        <v>344.98702780756878</v>
      </c>
      <c r="E18" s="19">
        <f t="shared" si="3"/>
        <v>549.44152514996347</v>
      </c>
      <c r="F18" s="19">
        <f t="shared" si="3"/>
        <v>695.56592754234953</v>
      </c>
      <c r="G18" s="19">
        <f t="shared" si="3"/>
        <v>806.92133904438219</v>
      </c>
      <c r="H18" s="19">
        <f t="shared" si="3"/>
        <v>881.83620489446821</v>
      </c>
      <c r="I18" s="19">
        <f t="shared" si="3"/>
        <v>937.71248176896654</v>
      </c>
      <c r="J18" s="19">
        <f t="shared" si="3"/>
        <v>991.53538750934058</v>
      </c>
      <c r="K18" s="19">
        <f t="shared" si="3"/>
        <v>911.48486344156515</v>
      </c>
      <c r="L18" s="19">
        <f t="shared" si="3"/>
        <v>864.61834657205918</v>
      </c>
      <c r="M18" s="19">
        <f t="shared" si="3"/>
        <v>901.09660052386596</v>
      </c>
      <c r="N18" s="19">
        <f t="shared" si="3"/>
        <v>934.34786259939528</v>
      </c>
      <c r="O18" s="19">
        <f t="shared" si="3"/>
        <v>958.79273033660013</v>
      </c>
      <c r="P18" s="19">
        <f>O22</f>
        <v>979.22929902777332</v>
      </c>
      <c r="Q18" s="19">
        <f t="shared" si="3"/>
        <v>995.0363984907616</v>
      </c>
      <c r="R18" s="19">
        <f t="shared" si="3"/>
        <v>950.3116915488805</v>
      </c>
      <c r="S18" s="19">
        <f t="shared" si="3"/>
        <v>844.80952369058423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63.18268819481537</v>
      </c>
      <c r="X18" s="19">
        <f t="shared" ref="X18:AF18" si="4">W22</f>
        <v>228.49551232478683</v>
      </c>
      <c r="Y18" s="19">
        <f t="shared" si="4"/>
        <v>408.30573691820007</v>
      </c>
      <c r="Z18" s="19">
        <f t="shared" si="4"/>
        <v>604.6204863059055</v>
      </c>
      <c r="AA18" s="19">
        <f t="shared" si="4"/>
        <v>818.89754393441262</v>
      </c>
      <c r="AB18" s="19">
        <f t="shared" si="4"/>
        <v>1052.6714883952891</v>
      </c>
      <c r="AC18" s="19">
        <f t="shared" si="4"/>
        <v>1307.6316033996363</v>
      </c>
      <c r="AD18" s="19">
        <f t="shared" si="4"/>
        <v>1585.592844908052</v>
      </c>
      <c r="AE18" s="19">
        <f t="shared" si="4"/>
        <v>1825.3880901172772</v>
      </c>
      <c r="AF18" s="19">
        <f t="shared" si="4"/>
        <v>2053.3814903687321</v>
      </c>
    </row>
    <row r="19" spans="1:32">
      <c r="A19" s="21" t="s">
        <v>74</v>
      </c>
      <c r="B19" s="140">
        <f>IF(B16&lt;0,-B16,0)</f>
        <v>126.91679584487895</v>
      </c>
      <c r="C19" s="140">
        <f t="shared" ref="C19:W19" si="5">IF(C16&lt;0,-C16,0)</f>
        <v>218.07023196268986</v>
      </c>
      <c r="D19" s="140">
        <f t="shared" si="5"/>
        <v>204.45449734239472</v>
      </c>
      <c r="E19" s="140">
        <f t="shared" si="5"/>
        <v>146.12440239238603</v>
      </c>
      <c r="F19" s="140">
        <f t="shared" si="5"/>
        <v>111.35541150203264</v>
      </c>
      <c r="G19" s="140">
        <f t="shared" si="5"/>
        <v>74.914865850086059</v>
      </c>
      <c r="H19" s="140">
        <f t="shared" si="5"/>
        <v>55.87627687449833</v>
      </c>
      <c r="I19" s="140">
        <f t="shared" si="5"/>
        <v>53.82290574037399</v>
      </c>
      <c r="J19" s="140">
        <f t="shared" si="5"/>
        <v>46.866271777103478</v>
      </c>
      <c r="K19" s="140">
        <f t="shared" si="5"/>
        <v>44.286919248304869</v>
      </c>
      <c r="L19" s="140">
        <f t="shared" si="5"/>
        <v>36.478253951806785</v>
      </c>
      <c r="M19" s="140">
        <f t="shared" si="5"/>
        <v>33.251262075529318</v>
      </c>
      <c r="N19" s="140">
        <f t="shared" si="5"/>
        <v>24.444867737204852</v>
      </c>
      <c r="O19" s="140">
        <f t="shared" si="5"/>
        <v>20.43656869117315</v>
      </c>
      <c r="P19" s="140">
        <f t="shared" si="5"/>
        <v>15.807099462988322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63.18268819481537</v>
      </c>
      <c r="W19" s="140">
        <f t="shared" si="5"/>
        <v>165.31282412997146</v>
      </c>
      <c r="X19" s="140">
        <f t="shared" ref="X19:AF19" si="6">IF(X16&lt;0,-X16,0)</f>
        <v>179.81022459341324</v>
      </c>
      <c r="Y19" s="140">
        <f t="shared" si="6"/>
        <v>196.31474938770543</v>
      </c>
      <c r="Z19" s="140">
        <f t="shared" si="6"/>
        <v>214.27705762850707</v>
      </c>
      <c r="AA19" s="140">
        <f t="shared" si="6"/>
        <v>233.77394446087646</v>
      </c>
      <c r="AB19" s="140">
        <f t="shared" si="6"/>
        <v>254.96011500434727</v>
      </c>
      <c r="AC19" s="140">
        <f t="shared" si="6"/>
        <v>277.96124150841581</v>
      </c>
      <c r="AD19" s="140">
        <f t="shared" si="6"/>
        <v>302.97793340404058</v>
      </c>
      <c r="AE19" s="140">
        <f t="shared" si="6"/>
        <v>330.12353618661086</v>
      </c>
      <c r="AF19" s="140">
        <f t="shared" si="6"/>
        <v>363.70249694524512</v>
      </c>
    </row>
    <row r="20" spans="1:32">
      <c r="A20" s="13" t="s">
        <v>294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-126.91679584487895</v>
      </c>
      <c r="K20" s="476">
        <f t="shared" ref="K20:AF20" si="7">IF(-SUM(C21:J21, C20:J20)&gt;C19,0,-C19-SUM(C21:J21,C20:J20))</f>
        <v>-91.153436117810912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-63.18268819481537</v>
      </c>
      <c r="AE20" s="476">
        <f t="shared" si="7"/>
        <v>-102.13013593515609</v>
      </c>
      <c r="AF20" s="476">
        <f t="shared" si="7"/>
        <v>-14.497400463441778</v>
      </c>
    </row>
    <row r="21" spans="1:32">
      <c r="A21" s="13" t="s">
        <v>293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-44.724706941881045</v>
      </c>
      <c r="R21" s="133">
        <f t="shared" si="8"/>
        <v>-105.50216785829625</v>
      </c>
      <c r="S21" s="133">
        <f t="shared" si="8"/>
        <v>-110.62261788990691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126.91679584487895</v>
      </c>
      <c r="C22" s="133">
        <f t="shared" si="10"/>
        <v>344.98702780756878</v>
      </c>
      <c r="D22" s="133">
        <f t="shared" si="10"/>
        <v>549.44152514996347</v>
      </c>
      <c r="E22" s="133">
        <f t="shared" si="10"/>
        <v>695.56592754234953</v>
      </c>
      <c r="F22" s="133">
        <f t="shared" si="10"/>
        <v>806.92133904438219</v>
      </c>
      <c r="G22" s="133">
        <f t="shared" si="10"/>
        <v>881.83620489446821</v>
      </c>
      <c r="H22" s="133">
        <f t="shared" si="10"/>
        <v>937.71248176896654</v>
      </c>
      <c r="I22" s="133">
        <f t="shared" si="10"/>
        <v>991.53538750934058</v>
      </c>
      <c r="J22" s="133">
        <f t="shared" si="10"/>
        <v>911.48486344156515</v>
      </c>
      <c r="K22" s="133">
        <f t="shared" si="10"/>
        <v>864.61834657205918</v>
      </c>
      <c r="L22" s="133">
        <f t="shared" si="10"/>
        <v>901.09660052386596</v>
      </c>
      <c r="M22" s="133">
        <f t="shared" si="10"/>
        <v>934.34786259939528</v>
      </c>
      <c r="N22" s="133">
        <f t="shared" si="10"/>
        <v>958.79273033660013</v>
      </c>
      <c r="O22" s="133">
        <f t="shared" si="10"/>
        <v>979.22929902777332</v>
      </c>
      <c r="P22" s="133">
        <f t="shared" si="10"/>
        <v>995.0363984907616</v>
      </c>
      <c r="Q22" s="133">
        <f t="shared" si="10"/>
        <v>950.3116915488805</v>
      </c>
      <c r="R22" s="133">
        <f t="shared" si="10"/>
        <v>844.80952369058423</v>
      </c>
      <c r="S22" s="133">
        <f t="shared" si="10"/>
        <v>734.18690580067732</v>
      </c>
      <c r="T22" s="133">
        <f t="shared" si="10"/>
        <v>0</v>
      </c>
      <c r="U22" s="133">
        <f t="shared" si="10"/>
        <v>0</v>
      </c>
      <c r="V22" s="133">
        <f t="shared" si="10"/>
        <v>63.18268819481537</v>
      </c>
      <c r="W22" s="133">
        <f t="shared" si="10"/>
        <v>228.49551232478683</v>
      </c>
      <c r="X22" s="133">
        <f t="shared" si="10"/>
        <v>408.30573691820007</v>
      </c>
      <c r="Y22" s="133">
        <f t="shared" si="10"/>
        <v>604.6204863059055</v>
      </c>
      <c r="Z22" s="133">
        <f t="shared" si="10"/>
        <v>818.89754393441262</v>
      </c>
      <c r="AA22" s="133">
        <f t="shared" si="10"/>
        <v>1052.6714883952891</v>
      </c>
      <c r="AB22" s="133">
        <f t="shared" si="10"/>
        <v>1307.6316033996363</v>
      </c>
      <c r="AC22" s="133">
        <f t="shared" si="10"/>
        <v>1585.592844908052</v>
      </c>
      <c r="AD22" s="133">
        <f t="shared" si="10"/>
        <v>1825.3880901172772</v>
      </c>
      <c r="AE22" s="133">
        <f t="shared" si="10"/>
        <v>2053.3814903687321</v>
      </c>
      <c r="AF22" s="133">
        <f t="shared" si="10"/>
        <v>2402.5865868505352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217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115.99840307498016</v>
      </c>
      <c r="U24" s="137">
        <f t="shared" si="11"/>
        <v>121.54978266734626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-1813.0970834982704</v>
      </c>
      <c r="C28" s="19">
        <f t="shared" ref="C28:AF28" si="12">C13</f>
        <v>-3115.2890280384263</v>
      </c>
      <c r="D28" s="19">
        <f t="shared" si="12"/>
        <v>-2920.7785334627815</v>
      </c>
      <c r="E28" s="19">
        <f t="shared" si="12"/>
        <v>-2087.4914627483718</v>
      </c>
      <c r="F28" s="19">
        <f t="shared" si="12"/>
        <v>-1590.7915928861803</v>
      </c>
      <c r="G28" s="19">
        <f t="shared" si="12"/>
        <v>-1070.2123692869436</v>
      </c>
      <c r="H28" s="19">
        <f t="shared" si="12"/>
        <v>-798.23252677854748</v>
      </c>
      <c r="I28" s="19">
        <f t="shared" si="12"/>
        <v>-768.89865343391409</v>
      </c>
      <c r="J28" s="19">
        <f t="shared" si="12"/>
        <v>-669.51816824433536</v>
      </c>
      <c r="K28" s="19">
        <f t="shared" si="12"/>
        <v>-632.67027497578374</v>
      </c>
      <c r="L28" s="19">
        <f t="shared" si="12"/>
        <v>-521.11791359723975</v>
      </c>
      <c r="M28" s="19">
        <f t="shared" si="12"/>
        <v>-475.01802965041884</v>
      </c>
      <c r="N28" s="19">
        <f t="shared" si="12"/>
        <v>-349.21239624578357</v>
      </c>
      <c r="O28" s="19">
        <f t="shared" si="12"/>
        <v>-291.95098130247356</v>
      </c>
      <c r="P28" s="19">
        <f t="shared" si="12"/>
        <v>-225.81570661411888</v>
      </c>
      <c r="Q28" s="19">
        <f t="shared" si="12"/>
        <v>638.9243848840149</v>
      </c>
      <c r="R28" s="19">
        <f t="shared" si="12"/>
        <v>1507.173826547089</v>
      </c>
      <c r="S28" s="19">
        <f t="shared" si="12"/>
        <v>1580.3231127129557</v>
      </c>
      <c r="T28" s="19">
        <f t="shared" si="12"/>
        <v>1657.1200439282879</v>
      </c>
      <c r="U28" s="19">
        <f t="shared" si="12"/>
        <v>1736.425466676375</v>
      </c>
      <c r="V28" s="19">
        <f t="shared" si="12"/>
        <v>-902.60983135450522</v>
      </c>
      <c r="W28" s="19">
        <f t="shared" si="12"/>
        <v>-2361.6117732853063</v>
      </c>
      <c r="X28" s="19">
        <f t="shared" si="12"/>
        <v>-2568.7174941916173</v>
      </c>
      <c r="Y28" s="19">
        <f t="shared" si="12"/>
        <v>-2804.4964198243629</v>
      </c>
      <c r="Z28" s="19">
        <f t="shared" si="12"/>
        <v>-3061.1008232643862</v>
      </c>
      <c r="AA28" s="19">
        <f t="shared" si="12"/>
        <v>-3339.6277780125206</v>
      </c>
      <c r="AB28" s="19">
        <f t="shared" si="12"/>
        <v>-3642.2873572049607</v>
      </c>
      <c r="AC28" s="19">
        <f t="shared" si="12"/>
        <v>-3970.8748786916544</v>
      </c>
      <c r="AD28" s="19">
        <f t="shared" si="12"/>
        <v>-4328.2561914862936</v>
      </c>
      <c r="AE28" s="19">
        <f t="shared" si="12"/>
        <v>-4716.0505169515836</v>
      </c>
      <c r="AF28" s="19">
        <f t="shared" si="12"/>
        <v>-5195.7499563606443</v>
      </c>
    </row>
    <row r="29" spans="1:32" ht="15">
      <c r="A29" s="21" t="s">
        <v>77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-115.99840307498016</v>
      </c>
      <c r="U29" s="135">
        <f t="shared" si="13"/>
        <v>-121.54978266734626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216</v>
      </c>
      <c r="B30" s="44">
        <f t="shared" ref="B30:AF30" si="14">SUM(B28:B29)</f>
        <v>-1813.0970834982704</v>
      </c>
      <c r="C30" s="44">
        <f t="shared" si="14"/>
        <v>-3115.2890280384263</v>
      </c>
      <c r="D30" s="44">
        <f t="shared" si="14"/>
        <v>-2920.7785334627815</v>
      </c>
      <c r="E30" s="44">
        <f t="shared" si="14"/>
        <v>-2087.4914627483718</v>
      </c>
      <c r="F30" s="44">
        <f t="shared" si="14"/>
        <v>-1590.7915928861803</v>
      </c>
      <c r="G30" s="44">
        <f t="shared" si="14"/>
        <v>-1070.2123692869436</v>
      </c>
      <c r="H30" s="44">
        <f t="shared" si="14"/>
        <v>-798.23252677854748</v>
      </c>
      <c r="I30" s="44">
        <f t="shared" si="14"/>
        <v>-768.89865343391409</v>
      </c>
      <c r="J30" s="44">
        <f t="shared" si="14"/>
        <v>-669.51816824433536</v>
      </c>
      <c r="K30" s="44">
        <f t="shared" si="14"/>
        <v>-632.67027497578374</v>
      </c>
      <c r="L30" s="44">
        <f t="shared" si="14"/>
        <v>-521.11791359723975</v>
      </c>
      <c r="M30" s="44">
        <f t="shared" si="14"/>
        <v>-475.01802965041884</v>
      </c>
      <c r="N30" s="44">
        <f t="shared" si="14"/>
        <v>-349.21239624578357</v>
      </c>
      <c r="O30" s="44">
        <f t="shared" si="14"/>
        <v>-291.95098130247356</v>
      </c>
      <c r="P30" s="44">
        <f t="shared" si="14"/>
        <v>-225.81570661411888</v>
      </c>
      <c r="Q30" s="44">
        <f t="shared" si="14"/>
        <v>638.9243848840149</v>
      </c>
      <c r="R30" s="44">
        <f t="shared" si="14"/>
        <v>1507.173826547089</v>
      </c>
      <c r="S30" s="44">
        <f t="shared" si="14"/>
        <v>1580.3231127129557</v>
      </c>
      <c r="T30" s="44">
        <f t="shared" si="14"/>
        <v>1541.1216408533078</v>
      </c>
      <c r="U30" s="44">
        <f t="shared" si="14"/>
        <v>1614.8756840090286</v>
      </c>
      <c r="V30" s="44">
        <f t="shared" si="14"/>
        <v>-902.60983135450522</v>
      </c>
      <c r="W30" s="44">
        <f t="shared" si="14"/>
        <v>-2361.6117732853063</v>
      </c>
      <c r="X30" s="44">
        <f t="shared" si="14"/>
        <v>-2568.7174941916173</v>
      </c>
      <c r="Y30" s="44">
        <f t="shared" si="14"/>
        <v>-2804.4964198243629</v>
      </c>
      <c r="Z30" s="44">
        <f t="shared" si="14"/>
        <v>-3061.1008232643862</v>
      </c>
      <c r="AA30" s="44">
        <f t="shared" si="14"/>
        <v>-3339.6277780125206</v>
      </c>
      <c r="AB30" s="44">
        <f t="shared" si="14"/>
        <v>-3642.2873572049607</v>
      </c>
      <c r="AC30" s="44">
        <f t="shared" si="14"/>
        <v>-3970.8748786916544</v>
      </c>
      <c r="AD30" s="44">
        <f t="shared" si="14"/>
        <v>-4328.2561914862936</v>
      </c>
      <c r="AE30" s="44">
        <f t="shared" si="14"/>
        <v>-4716.0505169515836</v>
      </c>
      <c r="AF30" s="44">
        <f t="shared" si="14"/>
        <v>-5195.7499563606443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-634.58397922439462</v>
      </c>
      <c r="C33" s="19">
        <f t="shared" ref="C33:W33" si="15">C30*C32</f>
        <v>-1090.3511598134492</v>
      </c>
      <c r="D33" s="19">
        <f t="shared" si="15"/>
        <v>-1022.2724867119734</v>
      </c>
      <c r="E33" s="19">
        <f t="shared" si="15"/>
        <v>-730.62201196193007</v>
      </c>
      <c r="F33" s="19">
        <f t="shared" si="15"/>
        <v>-556.7770575101631</v>
      </c>
      <c r="G33" s="19">
        <f t="shared" si="15"/>
        <v>-374.57432925043025</v>
      </c>
      <c r="H33" s="19">
        <f t="shared" si="15"/>
        <v>-279.3813843724916</v>
      </c>
      <c r="I33" s="19">
        <f t="shared" si="15"/>
        <v>-269.11452870186992</v>
      </c>
      <c r="J33" s="19">
        <f t="shared" si="15"/>
        <v>-234.33135888551735</v>
      </c>
      <c r="K33" s="19">
        <f t="shared" si="15"/>
        <v>-221.4345962415243</v>
      </c>
      <c r="L33" s="19">
        <f t="shared" si="15"/>
        <v>-182.39126975903389</v>
      </c>
      <c r="M33" s="19">
        <f t="shared" si="15"/>
        <v>-166.25631037764657</v>
      </c>
      <c r="N33" s="19">
        <f t="shared" si="15"/>
        <v>-122.22433868602424</v>
      </c>
      <c r="O33" s="19">
        <f t="shared" si="15"/>
        <v>-102.18284345586574</v>
      </c>
      <c r="P33" s="19">
        <f t="shared" si="15"/>
        <v>-79.035497314941608</v>
      </c>
      <c r="Q33" s="19">
        <f t="shared" si="15"/>
        <v>223.62353470940519</v>
      </c>
      <c r="R33" s="19">
        <f t="shared" si="15"/>
        <v>527.51083929148115</v>
      </c>
      <c r="S33" s="19">
        <f t="shared" si="15"/>
        <v>553.11308944953441</v>
      </c>
      <c r="T33" s="19">
        <f t="shared" si="15"/>
        <v>539.39257429865768</v>
      </c>
      <c r="U33" s="19">
        <f t="shared" si="15"/>
        <v>565.20648940315994</v>
      </c>
      <c r="V33" s="19">
        <f t="shared" si="15"/>
        <v>-315.91344097407682</v>
      </c>
      <c r="W33" s="19">
        <f t="shared" si="15"/>
        <v>-826.56412064985716</v>
      </c>
      <c r="X33" s="19">
        <f t="shared" ref="X33:AF33" si="16">X30*X32</f>
        <v>-899.05112296706602</v>
      </c>
      <c r="Y33" s="19">
        <f t="shared" si="16"/>
        <v>-981.57374693852694</v>
      </c>
      <c r="Z33" s="19">
        <f t="shared" si="16"/>
        <v>-1071.385288142535</v>
      </c>
      <c r="AA33" s="19">
        <f t="shared" si="16"/>
        <v>-1168.8697223043821</v>
      </c>
      <c r="AB33" s="19">
        <f t="shared" si="16"/>
        <v>-1274.8005750217362</v>
      </c>
      <c r="AC33" s="19">
        <f t="shared" si="16"/>
        <v>-1389.8062075420789</v>
      </c>
      <c r="AD33" s="19">
        <f t="shared" si="16"/>
        <v>-1514.8896670202028</v>
      </c>
      <c r="AE33" s="19">
        <f t="shared" si="16"/>
        <v>-1650.6176809330541</v>
      </c>
      <c r="AF33" s="19">
        <f t="shared" si="16"/>
        <v>-1818.5124847262255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634.58397922439462</v>
      </c>
      <c r="D35" s="19">
        <f t="shared" si="17"/>
        <v>1724.9351390378438</v>
      </c>
      <c r="E35" s="19">
        <f t="shared" si="17"/>
        <v>2747.2076257498175</v>
      </c>
      <c r="F35" s="19">
        <f t="shared" si="17"/>
        <v>3477.8296377117476</v>
      </c>
      <c r="G35" s="19">
        <f t="shared" si="17"/>
        <v>4034.6066952219107</v>
      </c>
      <c r="H35" s="19">
        <f t="shared" si="17"/>
        <v>4409.1810244723411</v>
      </c>
      <c r="I35" s="19">
        <f t="shared" si="17"/>
        <v>4688.562408844833</v>
      </c>
      <c r="J35" s="19">
        <f t="shared" si="17"/>
        <v>4957.6769375467029</v>
      </c>
      <c r="K35" s="19">
        <f t="shared" si="17"/>
        <v>5192.00829643222</v>
      </c>
      <c r="L35" s="19">
        <f t="shared" si="17"/>
        <v>5413.4428926737446</v>
      </c>
      <c r="M35" s="19">
        <f t="shared" si="17"/>
        <v>5595.8341624327786</v>
      </c>
      <c r="N35" s="19">
        <f t="shared" si="17"/>
        <v>5762.0904728104251</v>
      </c>
      <c r="O35" s="19">
        <f t="shared" si="17"/>
        <v>5884.3148114964497</v>
      </c>
      <c r="P35" s="19">
        <f t="shared" si="17"/>
        <v>5986.4976549523153</v>
      </c>
      <c r="Q35" s="19">
        <f t="shared" si="17"/>
        <v>6065.5331522672568</v>
      </c>
      <c r="R35" s="19">
        <f t="shared" si="17"/>
        <v>5207.3256383334565</v>
      </c>
      <c r="S35" s="19">
        <f t="shared" si="17"/>
        <v>4447.6711531623259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315.91344097407682</v>
      </c>
      <c r="X35" s="19">
        <f t="shared" si="18"/>
        <v>1142.477561623934</v>
      </c>
      <c r="Y35" s="19">
        <f t="shared" si="18"/>
        <v>2041.528684591</v>
      </c>
      <c r="Z35" s="19">
        <f t="shared" si="18"/>
        <v>3023.1024315295272</v>
      </c>
      <c r="AA35" s="19">
        <f t="shared" si="18"/>
        <v>4094.4877196720622</v>
      </c>
      <c r="AB35" s="19">
        <f t="shared" si="18"/>
        <v>5263.3574419764445</v>
      </c>
      <c r="AC35" s="19">
        <f t="shared" si="18"/>
        <v>6538.1580169981808</v>
      </c>
      <c r="AD35" s="19">
        <f t="shared" si="18"/>
        <v>7927.9642245402592</v>
      </c>
      <c r="AE35" s="19">
        <f t="shared" si="18"/>
        <v>9442.8538915604622</v>
      </c>
      <c r="AF35" s="19">
        <f t="shared" si="18"/>
        <v>11093.471572493516</v>
      </c>
    </row>
    <row r="36" spans="1:32">
      <c r="A36" s="21" t="s">
        <v>74</v>
      </c>
      <c r="B36" s="140">
        <f>IF(B33&lt;0,-B33,0)</f>
        <v>634.58397922439462</v>
      </c>
      <c r="C36" s="140">
        <f t="shared" ref="C36:AF36" si="19">IF(C33&lt;0,-C33,0)</f>
        <v>1090.3511598134492</v>
      </c>
      <c r="D36" s="140">
        <f t="shared" si="19"/>
        <v>1022.2724867119734</v>
      </c>
      <c r="E36" s="140">
        <f t="shared" si="19"/>
        <v>730.62201196193007</v>
      </c>
      <c r="F36" s="140">
        <f t="shared" si="19"/>
        <v>556.7770575101631</v>
      </c>
      <c r="G36" s="140">
        <f t="shared" si="19"/>
        <v>374.57432925043025</v>
      </c>
      <c r="H36" s="140">
        <f t="shared" si="19"/>
        <v>279.3813843724916</v>
      </c>
      <c r="I36" s="140">
        <f t="shared" si="19"/>
        <v>269.11452870186992</v>
      </c>
      <c r="J36" s="140">
        <f t="shared" si="19"/>
        <v>234.33135888551735</v>
      </c>
      <c r="K36" s="140">
        <f t="shared" si="19"/>
        <v>221.4345962415243</v>
      </c>
      <c r="L36" s="140">
        <f t="shared" si="19"/>
        <v>182.39126975903389</v>
      </c>
      <c r="M36" s="140">
        <f t="shared" si="19"/>
        <v>166.25631037764657</v>
      </c>
      <c r="N36" s="140">
        <f t="shared" si="19"/>
        <v>122.22433868602424</v>
      </c>
      <c r="O36" s="140">
        <f t="shared" si="19"/>
        <v>102.18284345586574</v>
      </c>
      <c r="P36" s="140">
        <f t="shared" si="19"/>
        <v>79.035497314941608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315.91344097407682</v>
      </c>
      <c r="W36" s="140">
        <f t="shared" si="19"/>
        <v>826.56412064985716</v>
      </c>
      <c r="X36" s="140">
        <f t="shared" si="19"/>
        <v>899.05112296706602</v>
      </c>
      <c r="Y36" s="140">
        <f t="shared" si="19"/>
        <v>981.57374693852694</v>
      </c>
      <c r="Z36" s="140">
        <f t="shared" si="19"/>
        <v>1071.385288142535</v>
      </c>
      <c r="AA36" s="140">
        <f t="shared" si="19"/>
        <v>1168.8697223043821</v>
      </c>
      <c r="AB36" s="140">
        <f t="shared" si="19"/>
        <v>1274.8005750217362</v>
      </c>
      <c r="AC36" s="140">
        <f t="shared" si="19"/>
        <v>1389.8062075420789</v>
      </c>
      <c r="AD36" s="140">
        <f t="shared" si="19"/>
        <v>1514.8896670202028</v>
      </c>
      <c r="AE36" s="140">
        <f t="shared" si="19"/>
        <v>1650.6176809330541</v>
      </c>
      <c r="AF36" s="140">
        <f t="shared" si="19"/>
        <v>1818.5124847262255</v>
      </c>
    </row>
    <row r="37" spans="1:32">
      <c r="A37" s="13" t="s">
        <v>294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-634.58397922439462</v>
      </c>
      <c r="R37" s="476">
        <f t="shared" ref="R37:AF37" si="20">IF(-SUM(C38:Q38, C37:Q37)&gt;C36,0,-C36-SUM(C38:Q38,C37:Q37))</f>
        <v>-232.14364587964928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295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-223.62353470940519</v>
      </c>
      <c r="R38" s="133">
        <f t="shared" si="21"/>
        <v>-527.51083929148115</v>
      </c>
      <c r="S38" s="133">
        <f t="shared" si="21"/>
        <v>-553.11308944953441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634.58397922439462</v>
      </c>
      <c r="C39" s="133">
        <f t="shared" si="23"/>
        <v>1724.9351390378438</v>
      </c>
      <c r="D39" s="133">
        <f t="shared" si="23"/>
        <v>2747.2076257498175</v>
      </c>
      <c r="E39" s="133">
        <f t="shared" si="23"/>
        <v>3477.8296377117476</v>
      </c>
      <c r="F39" s="133">
        <f t="shared" si="23"/>
        <v>4034.6066952219107</v>
      </c>
      <c r="G39" s="133">
        <f t="shared" si="23"/>
        <v>4409.1810244723411</v>
      </c>
      <c r="H39" s="133">
        <f t="shared" si="23"/>
        <v>4688.562408844833</v>
      </c>
      <c r="I39" s="133">
        <f t="shared" si="23"/>
        <v>4957.6769375467029</v>
      </c>
      <c r="J39" s="133">
        <f t="shared" si="23"/>
        <v>5192.00829643222</v>
      </c>
      <c r="K39" s="133">
        <f t="shared" si="23"/>
        <v>5413.4428926737446</v>
      </c>
      <c r="L39" s="133">
        <f t="shared" si="23"/>
        <v>5595.8341624327786</v>
      </c>
      <c r="M39" s="133">
        <f t="shared" si="23"/>
        <v>5762.0904728104251</v>
      </c>
      <c r="N39" s="133">
        <f t="shared" si="23"/>
        <v>5884.3148114964497</v>
      </c>
      <c r="O39" s="133">
        <f t="shared" si="23"/>
        <v>5986.4976549523153</v>
      </c>
      <c r="P39" s="133">
        <f t="shared" si="23"/>
        <v>6065.5331522672568</v>
      </c>
      <c r="Q39" s="133">
        <f t="shared" si="23"/>
        <v>5207.3256383334565</v>
      </c>
      <c r="R39" s="133">
        <f t="shared" si="23"/>
        <v>4447.6711531623259</v>
      </c>
      <c r="S39" s="133">
        <f t="shared" si="23"/>
        <v>3894.5580637127914</v>
      </c>
      <c r="T39" s="133">
        <f t="shared" si="23"/>
        <v>0</v>
      </c>
      <c r="U39" s="133">
        <f t="shared" si="23"/>
        <v>0</v>
      </c>
      <c r="V39" s="133">
        <f t="shared" si="23"/>
        <v>315.91344097407682</v>
      </c>
      <c r="W39" s="133">
        <f t="shared" si="23"/>
        <v>1142.477561623934</v>
      </c>
      <c r="X39" s="133">
        <f t="shared" si="23"/>
        <v>2041.528684591</v>
      </c>
      <c r="Y39" s="133">
        <f t="shared" si="23"/>
        <v>3023.1024315295272</v>
      </c>
      <c r="Z39" s="133">
        <f t="shared" si="23"/>
        <v>4094.4877196720622</v>
      </c>
      <c r="AA39" s="133">
        <f t="shared" si="23"/>
        <v>5263.3574419764445</v>
      </c>
      <c r="AB39" s="133">
        <f t="shared" si="23"/>
        <v>6538.1580169981808</v>
      </c>
      <c r="AC39" s="133">
        <f t="shared" si="23"/>
        <v>7927.9642245402592</v>
      </c>
      <c r="AD39" s="133">
        <f t="shared" si="23"/>
        <v>9442.8538915604622</v>
      </c>
      <c r="AE39" s="133">
        <f t="shared" si="23"/>
        <v>11093.471572493516</v>
      </c>
      <c r="AF39" s="133">
        <f t="shared" si="23"/>
        <v>12911.984057219741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217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539.39257429865768</v>
      </c>
      <c r="U41" s="137">
        <f t="shared" si="24"/>
        <v>565.20648940315994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7" sqref="C7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Rochester</v>
      </c>
    </row>
    <row r="4" spans="1:25" ht="18.75">
      <c r="A4" s="61" t="s">
        <v>194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356</v>
      </c>
      <c r="B6" s="236"/>
      <c r="C6" s="449">
        <v>33317.08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201</v>
      </c>
      <c r="B7" s="236"/>
      <c r="C7" s="459">
        <f>Assumptions!H16</f>
        <v>5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199</v>
      </c>
      <c r="B8" s="236"/>
      <c r="C8" s="532">
        <f>Assumptions!H39</f>
        <v>8.2500000000000004E-2</v>
      </c>
      <c r="D8" s="245">
        <f>C8/360</f>
        <v>2.2916666666666669E-4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200</v>
      </c>
      <c r="D9" s="244" t="s">
        <v>236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188</v>
      </c>
      <c r="E12" s="232" t="s">
        <v>195</v>
      </c>
      <c r="F12" s="233"/>
      <c r="G12" s="233"/>
      <c r="H12" s="233"/>
      <c r="I12" s="233"/>
      <c r="J12" s="228"/>
    </row>
    <row r="13" spans="1:25">
      <c r="A13" s="232" t="s">
        <v>185</v>
      </c>
      <c r="B13" s="5"/>
      <c r="C13" s="5"/>
      <c r="D13" s="234" t="s">
        <v>196</v>
      </c>
      <c r="E13" s="234" t="s">
        <v>189</v>
      </c>
      <c r="F13" s="234" t="s">
        <v>190</v>
      </c>
      <c r="G13" s="239" t="s">
        <v>191</v>
      </c>
      <c r="H13" s="234" t="s">
        <v>192</v>
      </c>
      <c r="I13" s="234" t="s">
        <v>193</v>
      </c>
      <c r="J13" s="66"/>
    </row>
    <row r="14" spans="1:25">
      <c r="A14" s="229" t="s">
        <v>186</v>
      </c>
      <c r="B14" s="229" t="s">
        <v>134</v>
      </c>
      <c r="C14" s="229" t="s">
        <v>187</v>
      </c>
      <c r="D14" s="229" t="s">
        <v>198</v>
      </c>
      <c r="E14" s="229" t="s">
        <v>198</v>
      </c>
      <c r="F14" s="229" t="s">
        <v>198</v>
      </c>
      <c r="G14" s="229" t="s">
        <v>198</v>
      </c>
      <c r="H14" s="229" t="s">
        <v>198</v>
      </c>
      <c r="I14" s="229" t="s">
        <v>198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D59*3</f>
        <v>42781.348821995125</v>
      </c>
      <c r="E15" s="242">
        <f t="shared" ref="E15:E33" si="0">C15*$C$6</f>
        <v>3331.7080000000005</v>
      </c>
      <c r="F15" s="242">
        <f t="shared" ref="F15:F33" si="1">+E15+D15</f>
        <v>46113.056821995124</v>
      </c>
      <c r="G15" s="242">
        <f>F15+H15</f>
        <v>46113.056821995124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1332.6832000000002</v>
      </c>
      <c r="F16" s="242">
        <f t="shared" si="1"/>
        <v>1332.6832000000002</v>
      </c>
      <c r="G16" s="242">
        <f t="shared" ref="G16:G33" si="3">F16+G15+H16</f>
        <v>47762.76728764634</v>
      </c>
      <c r="H16" s="242">
        <f>IF(A16&gt;$C$7+1,0,G15*(B16-B15)*$D$8)</f>
        <v>317.02726565121645</v>
      </c>
      <c r="I16" s="242">
        <f>IF(A16&lt;=$C$7+1,H16+I15,I15)</f>
        <v>317.02726565121645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2665.3664000000003</v>
      </c>
      <c r="F17" s="242">
        <f t="shared" si="1"/>
        <v>2665.3664000000003</v>
      </c>
      <c r="G17" s="242">
        <f t="shared" si="3"/>
        <v>50767.448346918995</v>
      </c>
      <c r="H17" s="242">
        <f t="shared" ref="H17:H33" si="4">IF(A17&gt;$C$7+1,0,G16*(B17-B16)*$D$8)</f>
        <v>339.31465927265424</v>
      </c>
      <c r="I17" s="242">
        <f t="shared" ref="I17:I33" si="5">IF(A17&lt;=$C$7+1,H17+I16,I16)</f>
        <v>656.34192492387069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0.12</v>
      </c>
      <c r="D18" s="241">
        <v>0</v>
      </c>
      <c r="E18" s="242">
        <f t="shared" si="0"/>
        <v>3998.0496000000003</v>
      </c>
      <c r="F18" s="242">
        <f t="shared" si="1"/>
        <v>3998.0496000000003</v>
      </c>
      <c r="G18" s="242">
        <f t="shared" si="3"/>
        <v>55114.524154304061</v>
      </c>
      <c r="H18" s="242">
        <f t="shared" si="4"/>
        <v>349.02620738506812</v>
      </c>
      <c r="I18" s="242">
        <f t="shared" si="5"/>
        <v>1005.3681323089388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0.12</v>
      </c>
      <c r="D19" s="241">
        <v>0</v>
      </c>
      <c r="E19" s="242">
        <f t="shared" si="0"/>
        <v>3998.0496000000003</v>
      </c>
      <c r="F19" s="242">
        <f t="shared" si="1"/>
        <v>3998.0496000000003</v>
      </c>
      <c r="G19" s="242">
        <f t="shared" si="3"/>
        <v>59504.116519650262</v>
      </c>
      <c r="H19" s="242">
        <f t="shared" si="4"/>
        <v>391.5427653462018</v>
      </c>
      <c r="I19" s="242">
        <f t="shared" si="5"/>
        <v>1396.9108976551406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0.12</v>
      </c>
      <c r="D20" s="241">
        <v>0</v>
      </c>
      <c r="E20" s="242">
        <f t="shared" si="0"/>
        <v>3998.0496000000003</v>
      </c>
      <c r="F20" s="242">
        <f t="shared" si="1"/>
        <v>3998.0496000000003</v>
      </c>
      <c r="G20" s="242">
        <f t="shared" si="3"/>
        <v>63924.89328075861</v>
      </c>
      <c r="H20" s="242">
        <f t="shared" si="4"/>
        <v>422.72716110834881</v>
      </c>
      <c r="I20" s="242">
        <f t="shared" si="5"/>
        <v>1819.6380587634894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3331.7080000000005</v>
      </c>
      <c r="F21" s="242">
        <f t="shared" si="1"/>
        <v>3331.7080000000005</v>
      </c>
      <c r="G21" s="242">
        <f t="shared" si="3"/>
        <v>67256.601280758608</v>
      </c>
      <c r="H21" s="242">
        <f t="shared" si="4"/>
        <v>0</v>
      </c>
      <c r="I21" s="242">
        <f t="shared" si="5"/>
        <v>1819.6380587634894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2665.3664000000003</v>
      </c>
      <c r="F22" s="242">
        <f t="shared" si="1"/>
        <v>2665.3664000000003</v>
      </c>
      <c r="G22" s="242">
        <f t="shared" si="3"/>
        <v>69921.967680758607</v>
      </c>
      <c r="H22" s="242">
        <f t="shared" si="4"/>
        <v>0</v>
      </c>
      <c r="I22" s="242">
        <f t="shared" si="5"/>
        <v>1819.6380587634894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1999.0248000000001</v>
      </c>
      <c r="F23" s="242">
        <f t="shared" si="1"/>
        <v>1999.0248000000001</v>
      </c>
      <c r="G23" s="242">
        <f t="shared" si="3"/>
        <v>71920.992480758607</v>
      </c>
      <c r="H23" s="242">
        <f t="shared" si="4"/>
        <v>0</v>
      </c>
      <c r="I23" s="242">
        <f t="shared" si="5"/>
        <v>1819.6380587634894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1999.0248000000001</v>
      </c>
      <c r="F24" s="242">
        <f t="shared" si="1"/>
        <v>1999.0248000000001</v>
      </c>
      <c r="G24" s="242">
        <f t="shared" si="3"/>
        <v>73920.017280758606</v>
      </c>
      <c r="H24" s="242">
        <f t="shared" si="4"/>
        <v>0</v>
      </c>
      <c r="I24" s="242">
        <f t="shared" si="5"/>
        <v>1819.6380587634894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999.51240000000007</v>
      </c>
      <c r="F25" s="242">
        <f t="shared" si="1"/>
        <v>999.51240000000007</v>
      </c>
      <c r="G25" s="242">
        <f t="shared" si="3"/>
        <v>74919.529680758613</v>
      </c>
      <c r="H25" s="242">
        <f t="shared" si="4"/>
        <v>0</v>
      </c>
      <c r="I25" s="242">
        <f t="shared" si="5"/>
        <v>1819.6380587634894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1332.6832000000002</v>
      </c>
      <c r="F26" s="242">
        <f t="shared" si="1"/>
        <v>1332.6832000000002</v>
      </c>
      <c r="G26" s="242">
        <f t="shared" si="3"/>
        <v>76252.212880758612</v>
      </c>
      <c r="H26" s="242">
        <f t="shared" si="4"/>
        <v>0</v>
      </c>
      <c r="I26" s="242">
        <f t="shared" si="5"/>
        <v>1819.6380587634894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0.05</v>
      </c>
      <c r="D27" s="241">
        <v>0</v>
      </c>
      <c r="E27" s="242">
        <f t="shared" si="0"/>
        <v>1665.8540000000003</v>
      </c>
      <c r="F27" s="242">
        <f t="shared" si="1"/>
        <v>1665.8540000000003</v>
      </c>
      <c r="G27" s="242">
        <f t="shared" si="3"/>
        <v>77918.066880758619</v>
      </c>
      <c r="H27" s="242">
        <f t="shared" si="4"/>
        <v>0</v>
      </c>
      <c r="I27" s="242">
        <f t="shared" si="5"/>
        <v>1819.6380587634894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77918.066880758619</v>
      </c>
      <c r="H28" s="242">
        <f t="shared" si="4"/>
        <v>0</v>
      </c>
      <c r="I28" s="242">
        <f t="shared" si="5"/>
        <v>1819.6380587634894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77918.066880758619</v>
      </c>
      <c r="H29" s="242">
        <f t="shared" si="4"/>
        <v>0</v>
      </c>
      <c r="I29" s="242">
        <f t="shared" si="5"/>
        <v>1819.6380587634894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77918.066880758619</v>
      </c>
      <c r="H30" s="242">
        <f t="shared" si="4"/>
        <v>0</v>
      </c>
      <c r="I30" s="242">
        <f t="shared" si="5"/>
        <v>1819.6380587634894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77918.066880758619</v>
      </c>
      <c r="H31" s="242">
        <f t="shared" si="4"/>
        <v>0</v>
      </c>
      <c r="I31" s="242">
        <f t="shared" si="5"/>
        <v>1819.6380587634894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77918.066880758619</v>
      </c>
      <c r="H32" s="242">
        <f t="shared" si="4"/>
        <v>0</v>
      </c>
      <c r="I32" s="242">
        <f t="shared" si="5"/>
        <v>1819.6380587634894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77918.066880758619</v>
      </c>
      <c r="H33" s="247">
        <f t="shared" si="4"/>
        <v>0</v>
      </c>
      <c r="I33" s="247">
        <f t="shared" si="5"/>
        <v>1819.6380587634894</v>
      </c>
      <c r="K33" s="447"/>
    </row>
    <row r="34" spans="1:12">
      <c r="C34" s="235">
        <f>SUM(C15:C33)</f>
        <v>1.0000000000000002</v>
      </c>
      <c r="D34" s="243">
        <f>SUM(D15:D33)</f>
        <v>42781.348821995125</v>
      </c>
      <c r="E34" s="243">
        <f>SUM(E15:E33)</f>
        <v>33317.079999999994</v>
      </c>
      <c r="F34" s="243">
        <f>SUM(F15:F33)</f>
        <v>76098.428821995127</v>
      </c>
      <c r="G34" s="18"/>
      <c r="H34" s="243">
        <f>SUM(H15:H33)</f>
        <v>1819.6380587634894</v>
      </c>
      <c r="I34" s="243"/>
    </row>
    <row r="38" spans="1:12" ht="18.75">
      <c r="A38" s="61" t="s">
        <v>232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434</v>
      </c>
    </row>
    <row r="40" spans="1:12">
      <c r="F40" s="429"/>
      <c r="G40" s="425" t="s">
        <v>342</v>
      </c>
      <c r="H40" s="535">
        <v>1</v>
      </c>
      <c r="I40" s="425">
        <v>2</v>
      </c>
      <c r="J40" s="425">
        <v>3</v>
      </c>
      <c r="K40" s="425">
        <v>4</v>
      </c>
      <c r="L40" s="426">
        <v>5</v>
      </c>
    </row>
    <row r="41" spans="1:12" ht="13.5" thickBot="1">
      <c r="A41" s="232" t="s">
        <v>343</v>
      </c>
      <c r="B41" s="232" t="s">
        <v>345</v>
      </c>
      <c r="C41" s="232" t="s">
        <v>347</v>
      </c>
      <c r="D41" s="232" t="s">
        <v>231</v>
      </c>
      <c r="F41" s="430" t="s">
        <v>186</v>
      </c>
      <c r="G41" s="427" t="s">
        <v>352</v>
      </c>
      <c r="H41" s="427">
        <v>13</v>
      </c>
      <c r="I41" s="427">
        <v>13.5</v>
      </c>
      <c r="J41" s="427">
        <v>14</v>
      </c>
      <c r="K41" s="427">
        <v>14.5</v>
      </c>
      <c r="L41" s="428">
        <v>15</v>
      </c>
    </row>
    <row r="42" spans="1:12" ht="13.5" thickBot="1">
      <c r="A42" s="232" t="s">
        <v>344</v>
      </c>
      <c r="B42" s="232" t="s">
        <v>346</v>
      </c>
      <c r="C42" s="232" t="s">
        <v>348</v>
      </c>
      <c r="D42" s="232" t="s">
        <v>349</v>
      </c>
      <c r="F42" s="431">
        <v>1</v>
      </c>
      <c r="G42" s="417"/>
      <c r="H42" s="529">
        <v>0.1</v>
      </c>
      <c r="I42" s="529">
        <v>0.1</v>
      </c>
      <c r="J42" s="418">
        <v>0.1</v>
      </c>
      <c r="K42" s="418">
        <v>0.1</v>
      </c>
      <c r="L42" s="419">
        <v>0.1</v>
      </c>
    </row>
    <row r="43" spans="1:12">
      <c r="A43" s="435" t="s">
        <v>230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420">
        <v>0.04</v>
      </c>
      <c r="K43" s="420">
        <v>0.04</v>
      </c>
      <c r="L43" s="421">
        <v>0.04</v>
      </c>
    </row>
    <row r="44" spans="1:12">
      <c r="A44" s="439" t="s">
        <v>229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420">
        <v>0.08</v>
      </c>
      <c r="K44" s="420">
        <v>0.08</v>
      </c>
      <c r="L44" s="421">
        <v>0.08</v>
      </c>
    </row>
    <row r="45" spans="1:12">
      <c r="A45" s="439" t="s">
        <v>228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420">
        <v>0.1</v>
      </c>
      <c r="K45" s="420">
        <v>0.1</v>
      </c>
      <c r="L45" s="421">
        <v>0.1</v>
      </c>
    </row>
    <row r="46" spans="1:12">
      <c r="A46" s="439" t="s">
        <v>227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420">
        <v>0.11</v>
      </c>
      <c r="K46" s="420">
        <v>0.11</v>
      </c>
      <c r="L46" s="421">
        <v>0.1</v>
      </c>
    </row>
    <row r="47" spans="1:12">
      <c r="A47" s="439" t="s">
        <v>226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420">
        <v>0.11</v>
      </c>
      <c r="K47" s="420">
        <v>0.11</v>
      </c>
      <c r="L47" s="421">
        <v>0.1</v>
      </c>
    </row>
    <row r="48" spans="1:12">
      <c r="A48" s="441" t="s">
        <v>225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420">
        <v>0.1</v>
      </c>
      <c r="K48" s="420">
        <v>0.1</v>
      </c>
      <c r="L48" s="421">
        <v>0.08</v>
      </c>
    </row>
    <row r="49" spans="1:12">
      <c r="A49" s="441" t="s">
        <v>224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420">
        <v>0.08</v>
      </c>
      <c r="K49" s="420">
        <v>0.08</v>
      </c>
      <c r="L49" s="421">
        <v>0.08</v>
      </c>
    </row>
    <row r="50" spans="1:12">
      <c r="A50" s="441" t="s">
        <v>223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420">
        <v>0.06</v>
      </c>
      <c r="K50" s="420">
        <v>0.06</v>
      </c>
      <c r="L50" s="421">
        <v>0.06</v>
      </c>
    </row>
    <row r="51" spans="1:12">
      <c r="A51" s="441" t="s">
        <v>222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420">
        <v>0.06</v>
      </c>
      <c r="K51" s="420">
        <v>0.06</v>
      </c>
      <c r="L51" s="421">
        <v>0.06</v>
      </c>
    </row>
    <row r="52" spans="1:12" ht="13.5" thickBot="1">
      <c r="A52" s="442" t="s">
        <v>221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420">
        <v>0.03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420">
        <v>0.04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420">
        <v>0.04</v>
      </c>
      <c r="K54" s="420">
        <v>0.04</v>
      </c>
      <c r="L54" s="421">
        <v>0.04</v>
      </c>
    </row>
    <row r="55" spans="1:12">
      <c r="A55" s="292" t="s">
        <v>350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420">
        <v>0.05</v>
      </c>
      <c r="K55" s="420">
        <v>0.05</v>
      </c>
      <c r="L55" s="421">
        <v>0.04</v>
      </c>
    </row>
    <row r="56" spans="1:12" ht="13.5" thickBot="1">
      <c r="A56" s="41" t="s">
        <v>234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423">
        <v>0</v>
      </c>
      <c r="K56" s="423">
        <v>0</v>
      </c>
      <c r="L56" s="424">
        <v>0.05</v>
      </c>
    </row>
    <row r="57" spans="1:12" ht="13.5" thickBot="1">
      <c r="A57" s="41" t="s">
        <v>235</v>
      </c>
      <c r="B57" s="13"/>
      <c r="C57" s="13"/>
      <c r="D57" s="290">
        <v>289.6162739983738</v>
      </c>
      <c r="F57" s="448" t="s">
        <v>353</v>
      </c>
      <c r="G57" s="422"/>
      <c r="H57" s="423">
        <f>SUM(H42:H56)</f>
        <v>1.0000000000000002</v>
      </c>
      <c r="I57" s="423">
        <f>SUM(I42:I56)</f>
        <v>1.0000000000000002</v>
      </c>
      <c r="J57" s="423">
        <f>SUM(J42:J56)</f>
        <v>1.0000000000000002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233</v>
      </c>
      <c r="B58" s="42"/>
      <c r="C58" s="42"/>
      <c r="D58" s="291">
        <v>20.833333333333314</v>
      </c>
      <c r="E58" s="66"/>
    </row>
    <row r="59" spans="1:12" ht="13.5" thickBot="1">
      <c r="A59" s="293" t="s">
        <v>351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Rochester</v>
      </c>
    </row>
    <row r="4" spans="1:4" ht="18.75">
      <c r="A4" s="171" t="s">
        <v>125</v>
      </c>
    </row>
    <row r="6" spans="1:4" ht="13.5" thickBot="1"/>
    <row r="7" spans="1:4" ht="13.5" thickBot="1">
      <c r="A7" s="527"/>
      <c r="B7" s="483" t="s">
        <v>416</v>
      </c>
      <c r="C7" s="484" t="s">
        <v>0</v>
      </c>
      <c r="D7" s="485"/>
    </row>
    <row r="8" spans="1:4">
      <c r="A8" s="486"/>
      <c r="B8" s="298" t="s">
        <v>127</v>
      </c>
      <c r="C8" s="298" t="s">
        <v>2</v>
      </c>
      <c r="D8" s="487" t="s">
        <v>423</v>
      </c>
    </row>
    <row r="9" spans="1:4" ht="13.5" thickBot="1">
      <c r="A9" s="488" t="s">
        <v>124</v>
      </c>
      <c r="B9" s="489" t="e">
        <f>'Returns Analysis'!C39</f>
        <v>#NUM!</v>
      </c>
      <c r="C9" s="490">
        <f>Debt!E69</f>
        <v>1.2999999999999983</v>
      </c>
      <c r="D9" s="491">
        <f>Debt!E68</f>
        <v>1.3018383141726013</v>
      </c>
    </row>
    <row r="10" spans="1:4">
      <c r="A10" s="63"/>
      <c r="C10" s="492"/>
      <c r="D10" s="492"/>
    </row>
    <row r="11" spans="1:4" ht="13.5" thickBot="1"/>
    <row r="12" spans="1:4">
      <c r="A12" s="493" t="s">
        <v>381</v>
      </c>
      <c r="B12" s="494" t="e">
        <f>B9</f>
        <v>#NUM!</v>
      </c>
      <c r="C12" s="495">
        <f>C9</f>
        <v>1.2999999999999983</v>
      </c>
      <c r="D12" s="496">
        <f>D9</f>
        <v>1.3018383141726013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J18" sqref="J18"/>
    </sheetView>
  </sheetViews>
  <sheetFormatPr defaultRowHeight="12.75"/>
  <cols>
    <col min="1" max="1" width="34.140625" customWidth="1"/>
    <col min="2" max="2" width="1.28515625" customWidth="1"/>
    <col min="3" max="3" width="14.28515625" customWidth="1"/>
    <col min="4" max="4" width="1.85546875" customWidth="1"/>
    <col min="5" max="5" width="12.42578125" customWidth="1"/>
  </cols>
  <sheetData>
    <row r="2" spans="1:5">
      <c r="A2" s="536" t="s">
        <v>437</v>
      </c>
    </row>
    <row r="4" spans="1:5">
      <c r="C4" s="536" t="s">
        <v>438</v>
      </c>
      <c r="D4" s="536"/>
      <c r="E4" s="536" t="s">
        <v>439</v>
      </c>
    </row>
    <row r="6" spans="1:5">
      <c r="A6" t="s">
        <v>440</v>
      </c>
      <c r="C6" s="537">
        <v>25</v>
      </c>
      <c r="D6" s="537"/>
      <c r="E6" s="537">
        <v>47.5</v>
      </c>
    </row>
    <row r="7" spans="1:5">
      <c r="A7" t="s">
        <v>441</v>
      </c>
      <c r="E7" s="538">
        <v>10500</v>
      </c>
    </row>
    <row r="8" spans="1:5">
      <c r="A8" t="s">
        <v>442</v>
      </c>
      <c r="C8">
        <v>1</v>
      </c>
      <c r="E8">
        <v>1</v>
      </c>
    </row>
    <row r="9" spans="1:5">
      <c r="A9" t="s">
        <v>443</v>
      </c>
      <c r="C9" s="537">
        <v>22.8</v>
      </c>
      <c r="D9" s="537"/>
      <c r="E9" s="537">
        <f>E8*E6</f>
        <v>47.5</v>
      </c>
    </row>
    <row r="11" spans="1:5">
      <c r="A11" s="539" t="s">
        <v>444</v>
      </c>
    </row>
    <row r="12" spans="1:5">
      <c r="A12" t="s">
        <v>445</v>
      </c>
      <c r="C12" s="540">
        <v>11800</v>
      </c>
      <c r="D12" s="540"/>
      <c r="E12" s="540">
        <v>14200</v>
      </c>
    </row>
    <row r="13" spans="1:5">
      <c r="A13" t="s">
        <v>446</v>
      </c>
      <c r="C13" s="540">
        <f>1200+400</f>
        <v>1600</v>
      </c>
      <c r="E13">
        <v>7000</v>
      </c>
    </row>
    <row r="14" spans="1:5">
      <c r="A14" t="s">
        <v>447</v>
      </c>
      <c r="C14" s="540">
        <v>3600</v>
      </c>
    </row>
    <row r="16" spans="1:5">
      <c r="A16" t="s">
        <v>448</v>
      </c>
      <c r="C16" s="540">
        <f>SUM(C12:C14)</f>
        <v>17000</v>
      </c>
      <c r="D16" s="540"/>
      <c r="E16" s="540">
        <v>26000</v>
      </c>
    </row>
    <row r="17" spans="1:5">
      <c r="A17" s="541" t="s">
        <v>202</v>
      </c>
      <c r="B17" s="541"/>
      <c r="C17" s="542">
        <f>C16/C9</f>
        <v>745.61403508771923</v>
      </c>
      <c r="D17" s="542"/>
      <c r="E17" s="542">
        <f>E16/E9</f>
        <v>547.36842105263156</v>
      </c>
    </row>
    <row r="19" spans="1:5">
      <c r="C19" s="536" t="s">
        <v>449</v>
      </c>
    </row>
    <row r="20" spans="1:5">
      <c r="C20" s="543">
        <f>C17*0.7</f>
        <v>521.92982456140339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L7" sqref="L7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83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435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91</v>
      </c>
      <c r="G8" s="114"/>
      <c r="H8" s="115"/>
      <c r="I8" s="203"/>
      <c r="J8" s="39"/>
      <c r="L8" s="95" t="s">
        <v>207</v>
      </c>
      <c r="M8" s="120"/>
      <c r="N8" s="38"/>
      <c r="O8" s="38"/>
      <c r="P8" s="39"/>
      <c r="U8" s="342" t="s">
        <v>240</v>
      </c>
      <c r="V8" s="343" t="s">
        <v>245</v>
      </c>
      <c r="W8" s="343" t="s">
        <v>249</v>
      </c>
      <c r="X8" s="343" t="s">
        <v>126</v>
      </c>
      <c r="Y8" s="343" t="s">
        <v>265</v>
      </c>
      <c r="Z8" s="343" t="s">
        <v>266</v>
      </c>
      <c r="AA8" s="343" t="s">
        <v>267</v>
      </c>
      <c r="AB8" s="365" t="s">
        <v>326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314</v>
      </c>
      <c r="M9" s="13"/>
      <c r="N9" s="13"/>
      <c r="O9" s="13"/>
      <c r="P9" s="40"/>
      <c r="U9" s="332" t="s">
        <v>244</v>
      </c>
      <c r="V9" s="333" t="s">
        <v>246</v>
      </c>
      <c r="W9" s="333" t="s">
        <v>320</v>
      </c>
      <c r="X9" s="333" t="s">
        <v>261</v>
      </c>
      <c r="Y9" s="333" t="s">
        <v>270</v>
      </c>
      <c r="Z9" s="333" t="s">
        <v>268</v>
      </c>
      <c r="AA9" s="333" t="s">
        <v>268</v>
      </c>
      <c r="AB9" s="366" t="s">
        <v>329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202</v>
      </c>
      <c r="E10" s="13"/>
      <c r="F10" s="117" t="s">
        <v>105</v>
      </c>
      <c r="G10" s="13"/>
      <c r="H10" s="222" t="s">
        <v>118</v>
      </c>
      <c r="I10" s="13"/>
      <c r="J10" s="40"/>
      <c r="L10" s="41"/>
      <c r="M10" s="13"/>
      <c r="N10" s="13"/>
      <c r="O10" s="13"/>
      <c r="P10" s="40"/>
      <c r="U10" s="296" t="s">
        <v>241</v>
      </c>
      <c r="V10" s="208" t="s">
        <v>247</v>
      </c>
      <c r="W10" s="208" t="s">
        <v>321</v>
      </c>
      <c r="X10" s="208" t="s">
        <v>259</v>
      </c>
      <c r="Y10" s="208" t="s">
        <v>335</v>
      </c>
      <c r="Z10" s="208" t="s">
        <v>269</v>
      </c>
      <c r="AA10" s="208" t="s">
        <v>269</v>
      </c>
      <c r="AB10" s="367" t="s">
        <v>327</v>
      </c>
    </row>
    <row r="11" spans="1:38" ht="15.75">
      <c r="A11" s="99" t="s">
        <v>9</v>
      </c>
      <c r="B11" s="273">
        <f>C11/C14</f>
        <v>0.60525957569653588</v>
      </c>
      <c r="C11" s="197">
        <f>C58-C12</f>
        <v>17211.942464736254</v>
      </c>
      <c r="D11" s="352">
        <f>C11/$H$68</f>
        <v>362.35668346813168</v>
      </c>
      <c r="E11" s="13"/>
      <c r="F11" s="117" t="s">
        <v>219</v>
      </c>
      <c r="G11" s="13"/>
      <c r="H11" s="287">
        <v>14260.449607331708</v>
      </c>
      <c r="I11" s="13"/>
      <c r="J11" s="40"/>
      <c r="L11" s="119" t="s">
        <v>132</v>
      </c>
      <c r="M11" s="13"/>
      <c r="N11" s="264">
        <v>0.03</v>
      </c>
      <c r="O11" s="224"/>
      <c r="P11" s="40"/>
      <c r="U11" s="296" t="s">
        <v>38</v>
      </c>
      <c r="V11" s="208" t="s">
        <v>244</v>
      </c>
      <c r="W11" s="208"/>
      <c r="X11" s="208" t="s">
        <v>322</v>
      </c>
      <c r="Y11" s="208"/>
      <c r="Z11" s="208"/>
      <c r="AA11" s="208"/>
      <c r="AB11" s="367" t="s">
        <v>328</v>
      </c>
    </row>
    <row r="12" spans="1:38" ht="15.75">
      <c r="A12" s="99" t="s">
        <v>86</v>
      </c>
      <c r="B12" s="152">
        <f>C12/C14</f>
        <v>0.39474042430346407</v>
      </c>
      <c r="C12" s="197">
        <f>Debt!B19</f>
        <v>11225.348171977193</v>
      </c>
      <c r="D12" s="352">
        <f>C12/$H$68</f>
        <v>236.32311941004619</v>
      </c>
      <c r="E12" s="13"/>
      <c r="F12" s="117" t="s">
        <v>11</v>
      </c>
      <c r="G12" s="177"/>
      <c r="H12" s="254">
        <v>1</v>
      </c>
      <c r="I12" s="111"/>
      <c r="J12" s="40"/>
      <c r="L12" s="102"/>
      <c r="M12" s="13"/>
      <c r="N12" s="13"/>
      <c r="O12" s="224"/>
      <c r="P12" s="40"/>
      <c r="U12" s="344"/>
      <c r="V12" s="208" t="s">
        <v>38</v>
      </c>
      <c r="W12" s="13"/>
      <c r="X12" s="208" t="s">
        <v>264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273</v>
      </c>
      <c r="G13" s="177"/>
      <c r="H13" s="255">
        <v>47.5</v>
      </c>
      <c r="I13" s="111"/>
      <c r="J13" s="40"/>
      <c r="L13" s="119" t="s">
        <v>88</v>
      </c>
      <c r="M13" s="13"/>
      <c r="N13" s="98"/>
      <c r="O13" s="224"/>
      <c r="P13" s="40"/>
      <c r="U13" s="332">
        <v>3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28437.290636713449</v>
      </c>
      <c r="D14" s="458">
        <f>C14/$H$68</f>
        <v>598.67980287817784</v>
      </c>
      <c r="E14" s="13"/>
      <c r="F14" s="117" t="s">
        <v>384</v>
      </c>
      <c r="G14" s="177"/>
      <c r="H14" s="254">
        <v>10200</v>
      </c>
      <c r="I14" s="13"/>
      <c r="J14" s="40"/>
      <c r="L14" s="41"/>
      <c r="M14" s="13"/>
      <c r="N14" s="276" t="s">
        <v>204</v>
      </c>
      <c r="O14" s="207" t="s">
        <v>178</v>
      </c>
      <c r="P14" s="204" t="s">
        <v>431</v>
      </c>
      <c r="U14" s="297" t="str">
        <f>CHOOSE(U13,U9,U10,U11)</f>
        <v>Custom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385</v>
      </c>
      <c r="G15" s="177"/>
      <c r="H15" s="254">
        <v>10500</v>
      </c>
      <c r="I15" s="111"/>
      <c r="J15" s="40"/>
      <c r="L15" s="102" t="s">
        <v>205</v>
      </c>
      <c r="M15" s="13"/>
      <c r="N15" s="544">
        <v>60.6</v>
      </c>
      <c r="O15" s="225"/>
      <c r="P15" s="265">
        <v>1.0329999999999999</v>
      </c>
    </row>
    <row r="16" spans="1:38" ht="15.75">
      <c r="A16" s="41"/>
      <c r="B16" s="13"/>
      <c r="C16" s="13"/>
      <c r="D16" s="354"/>
      <c r="E16" s="13"/>
      <c r="F16" s="117" t="s">
        <v>197</v>
      </c>
      <c r="G16" s="13"/>
      <c r="H16" s="223">
        <v>5</v>
      </c>
      <c r="I16" s="13"/>
      <c r="J16" s="40"/>
      <c r="L16" s="105" t="s">
        <v>253</v>
      </c>
      <c r="M16" s="13"/>
      <c r="N16" s="545">
        <v>131.24100000000001</v>
      </c>
      <c r="O16" s="301"/>
      <c r="P16" s="302">
        <v>1.9990000000000001</v>
      </c>
      <c r="U16" s="336"/>
      <c r="V16" s="57" t="s">
        <v>274</v>
      </c>
      <c r="W16" s="337" t="s">
        <v>275</v>
      </c>
    </row>
    <row r="17" spans="1:23" ht="15.75">
      <c r="A17" s="96" t="s">
        <v>104</v>
      </c>
      <c r="B17" s="97"/>
      <c r="C17" s="199"/>
      <c r="D17" s="352"/>
      <c r="E17" s="13"/>
      <c r="F17" s="117" t="s">
        <v>107</v>
      </c>
      <c r="G17" s="177"/>
      <c r="H17" s="257">
        <v>37012</v>
      </c>
      <c r="I17" s="13"/>
      <c r="J17" s="40"/>
      <c r="L17" s="117" t="s">
        <v>250</v>
      </c>
      <c r="M17" s="6"/>
      <c r="N17" s="279">
        <f>SUM(N15:N16)</f>
        <v>191.84100000000001</v>
      </c>
      <c r="O17" s="226"/>
      <c r="P17" s="303">
        <f>SUM(P15:P16)</f>
        <v>3.032</v>
      </c>
      <c r="U17" s="55" t="s">
        <v>270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135</v>
      </c>
      <c r="G18" s="98"/>
      <c r="H18" s="279">
        <f>13-MONTH(H17)</f>
        <v>8</v>
      </c>
      <c r="I18" s="111"/>
      <c r="J18" s="40"/>
      <c r="L18" s="41"/>
      <c r="M18" s="13"/>
      <c r="N18" s="13"/>
      <c r="O18" s="13"/>
      <c r="P18" s="190" t="s">
        <v>450</v>
      </c>
      <c r="U18" s="339" t="s">
        <v>271</v>
      </c>
      <c r="V18" s="58">
        <v>12</v>
      </c>
      <c r="W18" s="299">
        <v>22</v>
      </c>
    </row>
    <row r="19" spans="1:23" ht="15.75">
      <c r="A19" s="99" t="s">
        <v>425</v>
      </c>
      <c r="B19" s="13"/>
      <c r="C19" s="13"/>
      <c r="D19" s="354"/>
      <c r="E19" s="13"/>
      <c r="F19" s="117" t="s">
        <v>106</v>
      </c>
      <c r="G19" s="13"/>
      <c r="H19" s="254">
        <v>20</v>
      </c>
      <c r="I19" s="111"/>
      <c r="J19" s="40"/>
      <c r="L19" s="102" t="s">
        <v>206</v>
      </c>
      <c r="M19" s="13"/>
      <c r="N19" s="256">
        <v>483.93099999999998</v>
      </c>
      <c r="O19" s="275">
        <f t="shared" ref="O19:O25" si="0">N19/$H$68</f>
        <v>10.188021052631578</v>
      </c>
      <c r="P19" s="40"/>
    </row>
    <row r="20" spans="1:23" ht="15.75">
      <c r="A20" s="102" t="s">
        <v>426</v>
      </c>
      <c r="B20" s="169">
        <f t="shared" ref="B20:B33" si="1">C20/$C$58</f>
        <v>0.50147005175384085</v>
      </c>
      <c r="C20" s="200">
        <f>H11*H12</f>
        <v>14260.449607331708</v>
      </c>
      <c r="D20" s="352">
        <f t="shared" ref="D20:D33" si="2">C20/$H$68</f>
        <v>300.21999173329908</v>
      </c>
      <c r="E20" s="13"/>
      <c r="F20" s="117" t="s">
        <v>307</v>
      </c>
      <c r="G20" s="13"/>
      <c r="H20" s="341" t="s">
        <v>308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2.357894736842105</v>
      </c>
      <c r="P20" s="40"/>
    </row>
    <row r="21" spans="1:23" ht="15.75">
      <c r="A21" s="102" t="s">
        <v>262</v>
      </c>
      <c r="B21" s="169">
        <f t="shared" si="1"/>
        <v>2.1802358316075311E-3</v>
      </c>
      <c r="C21" s="200">
        <f>62*H12</f>
        <v>62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3.7894736842105261</v>
      </c>
      <c r="P21" s="40"/>
    </row>
    <row r="22" spans="1:23" ht="15.75">
      <c r="A22" s="102" t="s">
        <v>180</v>
      </c>
      <c r="B22" s="169">
        <f t="shared" si="1"/>
        <v>0.24615565840730189</v>
      </c>
      <c r="C22" s="252">
        <v>7000</v>
      </c>
      <c r="D22" s="352">
        <f t="shared" si="2"/>
        <v>147.36842105263159</v>
      </c>
      <c r="E22" s="13"/>
      <c r="F22" s="116" t="s">
        <v>260</v>
      </c>
      <c r="G22" s="13"/>
      <c r="H22" s="331"/>
      <c r="I22" s="13"/>
      <c r="J22" s="40"/>
      <c r="L22" s="102" t="s">
        <v>357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109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261</v>
      </c>
      <c r="G23" s="177"/>
      <c r="H23" s="329">
        <v>5</v>
      </c>
      <c r="I23" s="363"/>
      <c r="J23" s="40"/>
      <c r="L23" s="102" t="s">
        <v>44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436</v>
      </c>
      <c r="B24" s="169">
        <f t="shared" si="1"/>
        <v>3.2879362944403891E-2</v>
      </c>
      <c r="C24" s="252">
        <v>935</v>
      </c>
      <c r="D24" s="352">
        <f t="shared" si="2"/>
        <v>19.684210526315791</v>
      </c>
      <c r="E24" s="13"/>
      <c r="F24" s="330" t="s">
        <v>383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110</v>
      </c>
      <c r="B25" s="169">
        <f t="shared" si="1"/>
        <v>0</v>
      </c>
      <c r="C25" s="252">
        <v>0</v>
      </c>
      <c r="D25" s="352">
        <f t="shared" si="2"/>
        <v>0</v>
      </c>
      <c r="E25" s="13"/>
      <c r="F25" s="251" t="s">
        <v>202</v>
      </c>
      <c r="G25" s="42"/>
      <c r="H25" s="361">
        <v>200</v>
      </c>
      <c r="I25" s="42"/>
      <c r="J25" s="81"/>
      <c r="L25" s="105" t="s">
        <v>451</v>
      </c>
      <c r="M25" s="220"/>
      <c r="N25" s="300">
        <f>100+26</f>
        <v>126</v>
      </c>
      <c r="O25" s="304">
        <f t="shared" si="0"/>
        <v>2.6526315789473682</v>
      </c>
      <c r="P25" s="40"/>
    </row>
    <row r="26" spans="1:23" ht="16.5" thickBot="1">
      <c r="A26" s="102" t="s">
        <v>111</v>
      </c>
      <c r="B26" s="169">
        <f t="shared" si="1"/>
        <v>2.3912263959566468E-2</v>
      </c>
      <c r="C26" s="252">
        <v>680</v>
      </c>
      <c r="D26" s="352">
        <f t="shared" si="2"/>
        <v>14.315789473684211</v>
      </c>
      <c r="E26" s="13"/>
      <c r="L26" s="117" t="s">
        <v>251</v>
      </c>
      <c r="M26" s="6"/>
      <c r="N26" s="279">
        <f>SUM(N19:N25)</f>
        <v>901.93100000000004</v>
      </c>
      <c r="O26" s="305">
        <f>SUM(O19:O25)</f>
        <v>18.988021052631577</v>
      </c>
      <c r="P26" s="368"/>
    </row>
    <row r="27" spans="1:23" ht="15.75">
      <c r="A27" s="102" t="s">
        <v>112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340</v>
      </c>
      <c r="B28" s="169">
        <f t="shared" si="1"/>
        <v>9.4242452075938427E-3</v>
      </c>
      <c r="C28" s="252">
        <v>268</v>
      </c>
      <c r="D28" s="352">
        <f t="shared" si="2"/>
        <v>5.6421052631578945</v>
      </c>
      <c r="E28" s="13"/>
      <c r="F28" s="359" t="s">
        <v>115</v>
      </c>
      <c r="G28" s="360"/>
      <c r="H28" s="360" t="s">
        <v>325</v>
      </c>
      <c r="I28" s="181"/>
      <c r="J28" s="335"/>
      <c r="L28" s="119" t="s">
        <v>89</v>
      </c>
      <c r="M28" s="13"/>
      <c r="N28" s="162"/>
      <c r="O28" s="226"/>
      <c r="P28" s="40"/>
      <c r="R28" s="3"/>
    </row>
    <row r="29" spans="1:23" ht="15.75">
      <c r="A29" s="102" t="s">
        <v>113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84</v>
      </c>
      <c r="G29" s="257">
        <v>36617</v>
      </c>
      <c r="H29" s="358"/>
      <c r="I29" s="181"/>
      <c r="J29" s="335"/>
      <c r="L29" s="102" t="s">
        <v>240</v>
      </c>
      <c r="M29" s="13"/>
      <c r="N29" s="279">
        <f>IS!C16</f>
        <v>1053.3659849999999</v>
      </c>
      <c r="O29" s="226">
        <f>N29/$H$68</f>
        <v>22.176125999999996</v>
      </c>
      <c r="P29" s="40"/>
      <c r="R29" s="346"/>
    </row>
    <row r="30" spans="1:23" ht="15.75">
      <c r="A30" s="102" t="s">
        <v>181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128</v>
      </c>
      <c r="G30" s="257">
        <v>36557</v>
      </c>
      <c r="H30" s="358"/>
      <c r="I30" s="181"/>
      <c r="J30" s="335"/>
      <c r="L30" s="102" t="s">
        <v>218</v>
      </c>
      <c r="M30" s="13"/>
      <c r="N30" s="279">
        <f>IS!C23/IS!C6</f>
        <v>600</v>
      </c>
      <c r="O30" s="226">
        <f>N30/$H$68</f>
        <v>12.631578947368421</v>
      </c>
      <c r="P30" s="191">
        <v>0.02</v>
      </c>
      <c r="R30" s="3"/>
    </row>
    <row r="31" spans="1:23" ht="15.75">
      <c r="A31" s="102" t="s">
        <v>182</v>
      </c>
      <c r="B31" s="169">
        <f t="shared" si="1"/>
        <v>1.7582547029092992E-3</v>
      </c>
      <c r="C31" s="252">
        <v>50</v>
      </c>
      <c r="D31" s="352">
        <f t="shared" si="2"/>
        <v>1.0526315789473684</v>
      </c>
      <c r="E31" s="13"/>
      <c r="F31" s="41"/>
      <c r="G31" s="13"/>
      <c r="H31" s="6"/>
      <c r="I31" s="181"/>
      <c r="J31" s="335"/>
      <c r="L31" s="102" t="s">
        <v>208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432</v>
      </c>
      <c r="B32" s="169">
        <f t="shared" si="1"/>
        <v>3.5165094058185985E-2</v>
      </c>
      <c r="C32" s="252">
        <v>1000</v>
      </c>
      <c r="D32" s="352">
        <f t="shared" si="2"/>
        <v>21.05263157894737</v>
      </c>
      <c r="E32" s="13"/>
      <c r="F32" s="106" t="s">
        <v>14</v>
      </c>
      <c r="G32" s="107">
        <f>Debt!B19</f>
        <v>11225.348171977193</v>
      </c>
      <c r="H32" s="107"/>
      <c r="I32" s="181"/>
      <c r="J32" s="335"/>
      <c r="L32" s="102" t="s">
        <v>212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114</v>
      </c>
      <c r="B33" s="185">
        <f t="shared" si="1"/>
        <v>3.5165094058185985E-2</v>
      </c>
      <c r="C33" s="253">
        <v>1000</v>
      </c>
      <c r="D33" s="353">
        <f t="shared" si="2"/>
        <v>21.05263157894737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433</v>
      </c>
      <c r="M33" s="42"/>
      <c r="N33" s="282">
        <f>IS!C26/IS!C6</f>
        <v>80.573226367445926</v>
      </c>
      <c r="O33" s="227">
        <f>N33/$H$68</f>
        <v>1.6962784498409669</v>
      </c>
      <c r="P33" s="81"/>
      <c r="R33" s="3"/>
    </row>
    <row r="34" spans="1:18" ht="16.5" thickBot="1">
      <c r="A34" s="102" t="s">
        <v>108</v>
      </c>
      <c r="B34" s="169">
        <f>SUM(B20:B33)</f>
        <v>0.8881102609235958</v>
      </c>
      <c r="C34" s="200">
        <f>SUM(C20:C33)</f>
        <v>25255.449607331706</v>
      </c>
      <c r="D34" s="352">
        <f>SUM(D20:D33)</f>
        <v>531.69367594382538</v>
      </c>
      <c r="E34" s="13"/>
      <c r="F34" s="106" t="s">
        <v>16</v>
      </c>
      <c r="G34" s="358">
        <v>44287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-53.212232275954904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386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167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175</v>
      </c>
      <c r="B38" s="169">
        <f t="shared" si="3"/>
        <v>3.1556522436123051E-2</v>
      </c>
      <c r="C38" s="252">
        <v>897.38199999999995</v>
      </c>
      <c r="D38" s="352">
        <f t="shared" si="4"/>
        <v>18.892252631578945</v>
      </c>
      <c r="E38" s="13"/>
      <c r="F38" s="102" t="s">
        <v>19</v>
      </c>
      <c r="G38" s="260">
        <v>1.7500000000000002E-2</v>
      </c>
      <c r="H38" s="260">
        <v>1.7500000000000002E-2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168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330</v>
      </c>
      <c r="G39" s="108">
        <f>Debt!E64</f>
        <v>8.2500000000000004E-2</v>
      </c>
      <c r="H39" s="108">
        <f>SUM(H37:H38)</f>
        <v>8.2500000000000004E-2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169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256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170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129</v>
      </c>
      <c r="G41" s="258">
        <v>4028.6613183722961</v>
      </c>
      <c r="H41" s="258">
        <v>6</v>
      </c>
      <c r="I41" s="98" t="s">
        <v>130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179</v>
      </c>
      <c r="B42" s="169">
        <f t="shared" si="3"/>
        <v>1.7582547029092992E-2</v>
      </c>
      <c r="C42" s="252">
        <v>500</v>
      </c>
      <c r="D42" s="352">
        <f t="shared" si="4"/>
        <v>10.526315789473685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171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172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176</v>
      </c>
      <c r="B45" s="169">
        <f t="shared" si="3"/>
        <v>0</v>
      </c>
      <c r="C45" s="252">
        <v>0</v>
      </c>
      <c r="D45" s="352">
        <f t="shared" si="4"/>
        <v>0</v>
      </c>
      <c r="E45" s="13"/>
      <c r="F45" s="359" t="s">
        <v>116</v>
      </c>
      <c r="G45" s="13"/>
      <c r="H45" s="13"/>
      <c r="I45" s="13"/>
      <c r="J45" s="40"/>
      <c r="L45" s="117" t="s">
        <v>256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220</v>
      </c>
      <c r="B46" s="169">
        <f t="shared" si="3"/>
        <v>3.199387174413653E-2</v>
      </c>
      <c r="C46" s="200">
        <f>IDC!H34/2</f>
        <v>909.81902938174471</v>
      </c>
      <c r="D46" s="352">
        <f t="shared" si="4"/>
        <v>19.154084829089363</v>
      </c>
      <c r="E46" s="13"/>
      <c r="F46" s="330" t="s">
        <v>85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183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278</v>
      </c>
      <c r="B48" s="169">
        <f t="shared" si="3"/>
        <v>3.0756797867051787E-2</v>
      </c>
      <c r="C48" s="200">
        <f>SUM(C22:C33)*N55</f>
        <v>874.64</v>
      </c>
      <c r="D48" s="352">
        <f t="shared" si="4"/>
        <v>18.413473684210526</v>
      </c>
      <c r="E48" s="64"/>
      <c r="F48" s="104" t="s">
        <v>13</v>
      </c>
      <c r="G48" s="274">
        <f>1-G47</f>
        <v>1</v>
      </c>
      <c r="H48" s="146">
        <f>G48*C11</f>
        <v>17211.942464736254</v>
      </c>
      <c r="I48" s="42"/>
      <c r="J48" s="81"/>
      <c r="L48" s="94" t="s">
        <v>387</v>
      </c>
      <c r="M48" s="115"/>
      <c r="N48" s="284"/>
      <c r="O48" s="285"/>
      <c r="P48" s="369"/>
    </row>
    <row r="49" spans="1:16" ht="16.5" thickBot="1">
      <c r="A49" s="96" t="s">
        <v>184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108</v>
      </c>
      <c r="B50" s="169">
        <f>SUM(B37:B49)</f>
        <v>0.11188973907640437</v>
      </c>
      <c r="C50" s="200">
        <f>SUM(C37:C49)</f>
        <v>3181.8410293817446</v>
      </c>
      <c r="D50" s="352">
        <f t="shared" si="4"/>
        <v>66.986126934352512</v>
      </c>
      <c r="E50" s="13"/>
      <c r="F50" s="94" t="s">
        <v>203</v>
      </c>
      <c r="G50" s="114"/>
      <c r="H50" s="120"/>
      <c r="I50" s="205"/>
      <c r="J50" s="39"/>
      <c r="L50" s="117" t="s">
        <v>133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292</v>
      </c>
      <c r="M51" s="6"/>
      <c r="N51" s="264">
        <v>7.0000000000000007E-2</v>
      </c>
      <c r="O51" s="370" t="s">
        <v>238</v>
      </c>
      <c r="P51" s="368"/>
    </row>
    <row r="52" spans="1:16" ht="15.75">
      <c r="A52" s="99" t="s">
        <v>101</v>
      </c>
      <c r="B52" s="13"/>
      <c r="C52" s="200"/>
      <c r="D52" s="354"/>
      <c r="E52" s="85"/>
      <c r="F52" s="105" t="s">
        <v>309</v>
      </c>
      <c r="G52" s="13"/>
      <c r="H52" s="13"/>
      <c r="I52" s="13"/>
      <c r="J52" s="40"/>
      <c r="L52" s="117" t="s">
        <v>258</v>
      </c>
      <c r="M52" s="6"/>
      <c r="N52" s="264">
        <v>0</v>
      </c>
      <c r="O52" s="370" t="s">
        <v>238</v>
      </c>
      <c r="P52" s="368"/>
    </row>
    <row r="53" spans="1:16" ht="15.75">
      <c r="A53" s="99" t="s">
        <v>173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311</v>
      </c>
      <c r="G53" s="13"/>
      <c r="H53" s="256">
        <v>3</v>
      </c>
      <c r="I53" s="111"/>
      <c r="J53" s="40"/>
      <c r="L53" s="117" t="s">
        <v>213</v>
      </c>
      <c r="M53" s="6"/>
      <c r="N53" s="264">
        <v>0</v>
      </c>
      <c r="O53" s="370" t="s">
        <v>238</v>
      </c>
      <c r="P53" s="368"/>
    </row>
    <row r="54" spans="1:16" ht="15.75">
      <c r="A54" s="99" t="s">
        <v>174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422</v>
      </c>
      <c r="G54" s="13"/>
      <c r="H54" s="255">
        <v>4</v>
      </c>
      <c r="I54" s="13"/>
      <c r="J54" s="40"/>
      <c r="L54" s="117" t="s">
        <v>243</v>
      </c>
      <c r="M54" s="13"/>
      <c r="N54" s="264">
        <v>1.4999999999999999E-2</v>
      </c>
      <c r="O54" s="370" t="s">
        <v>238</v>
      </c>
      <c r="P54" s="40"/>
    </row>
    <row r="55" spans="1:16" ht="16.5" thickBot="1">
      <c r="A55" s="105" t="s">
        <v>102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279</v>
      </c>
      <c r="M55" s="42"/>
      <c r="N55" s="280">
        <v>0.08</v>
      </c>
      <c r="O55" s="371" t="s">
        <v>238</v>
      </c>
      <c r="P55" s="81"/>
    </row>
    <row r="56" spans="1:16" ht="15.75">
      <c r="A56" s="102" t="s">
        <v>108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312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311</v>
      </c>
      <c r="G57" s="13"/>
      <c r="H57" s="279">
        <f>H19-H53</f>
        <v>17</v>
      </c>
      <c r="I57" s="111"/>
      <c r="J57" s="40"/>
    </row>
    <row r="58" spans="1:16" ht="16.5" thickBot="1">
      <c r="A58" s="188" t="s">
        <v>103</v>
      </c>
      <c r="B58" s="184">
        <f>B56+B50+B34</f>
        <v>1.0000000000000002</v>
      </c>
      <c r="C58" s="201">
        <f>C56+C50+C34</f>
        <v>28437.290636713449</v>
      </c>
      <c r="D58" s="356">
        <f>C58/$H$68</f>
        <v>598.67980287817784</v>
      </c>
      <c r="E58" s="13"/>
      <c r="F58" s="102" t="s">
        <v>422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430</v>
      </c>
      <c r="G60" s="98"/>
      <c r="H60" s="155">
        <f>P17</f>
        <v>3.032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276</v>
      </c>
      <c r="B62" s="348"/>
      <c r="C62" s="349">
        <f>D58</f>
        <v>598.67980287817784</v>
      </c>
      <c r="D62" s="40"/>
      <c r="E62" s="13"/>
      <c r="F62" s="104" t="s">
        <v>123</v>
      </c>
      <c r="G62" s="42"/>
      <c r="H62" s="281">
        <f>H68*H72</f>
        <v>66500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1.3018383141726013</v>
      </c>
      <c r="D65" s="357">
        <f>Debt!E69</f>
        <v>1.2999999999999983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131</v>
      </c>
      <c r="G66" s="13"/>
      <c r="H66" s="223">
        <f>H12*H13</f>
        <v>47.5</v>
      </c>
      <c r="I66" s="13"/>
      <c r="J66" s="40"/>
    </row>
    <row r="67" spans="1:10" ht="15.75">
      <c r="A67" s="105" t="s">
        <v>341</v>
      </c>
      <c r="B67" s="13"/>
      <c r="C67" s="13"/>
      <c r="D67" s="40"/>
      <c r="E67" s="13"/>
      <c r="F67" s="105" t="s">
        <v>90</v>
      </c>
      <c r="G67" s="13"/>
      <c r="H67" s="345">
        <v>0</v>
      </c>
      <c r="I67" s="13"/>
      <c r="J67" s="40"/>
    </row>
    <row r="68" spans="1:10" ht="15.75">
      <c r="A68" s="102" t="s">
        <v>382</v>
      </c>
      <c r="B68" s="98"/>
      <c r="C68" s="147" t="e">
        <f>'Returns Analysis'!C39</f>
        <v>#NUM!</v>
      </c>
      <c r="D68" s="40"/>
      <c r="E68" s="13"/>
      <c r="F68" s="119" t="s">
        <v>315</v>
      </c>
      <c r="G68" s="43"/>
      <c r="H68" s="364">
        <f>SUM(H66:H67)</f>
        <v>47.5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 t="e">
        <f>'Returns Analysis'!C46</f>
        <v>#NUM!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-2.5140941888093946E-2</v>
      </c>
      <c r="D70" s="103"/>
      <c r="E70" s="13"/>
      <c r="F70" s="102" t="s">
        <v>358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-6.7697510123252876E-3</v>
      </c>
      <c r="D71" s="103"/>
      <c r="E71" s="13"/>
      <c r="F71" s="102" t="s">
        <v>272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177</v>
      </c>
      <c r="G72" s="42"/>
      <c r="H72" s="263">
        <v>1400</v>
      </c>
      <c r="I72" s="42"/>
      <c r="J72" s="81"/>
    </row>
    <row r="73" spans="1:10" ht="15.75">
      <c r="A73" s="105" t="s">
        <v>87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98</v>
      </c>
      <c r="B74" s="112">
        <f>IS!C32</f>
        <v>464.9971824217032</v>
      </c>
      <c r="C74" s="112">
        <f>IS!D32</f>
        <v>862.43784363255463</v>
      </c>
      <c r="D74" s="167">
        <f>IS!E32</f>
        <v>826.4081757325539</v>
      </c>
      <c r="E74" s="98"/>
    </row>
    <row r="75" spans="1:10" ht="15.75">
      <c r="A75" s="102" t="s">
        <v>99</v>
      </c>
      <c r="B75" s="112">
        <f>IS!C45</f>
        <v>-605.23601767790592</v>
      </c>
      <c r="C75" s="112">
        <f>IS!D45</f>
        <v>-819.8330173061654</v>
      </c>
      <c r="D75" s="167">
        <f>IS!E45</f>
        <v>-857.66546027917411</v>
      </c>
      <c r="E75" s="98"/>
    </row>
    <row r="76" spans="1:10" ht="15.75">
      <c r="A76" s="102" t="s">
        <v>100</v>
      </c>
      <c r="B76" s="112">
        <f>'Returns Analysis'!C13</f>
        <v>77.065745595468684</v>
      </c>
      <c r="C76" s="112">
        <f>'Returns Analysis'!D13</f>
        <v>-83.307194597618718</v>
      </c>
      <c r="D76" s="167">
        <f>'Returns Analysis'!E13</f>
        <v>-145.73938007326842</v>
      </c>
      <c r="E76" s="13"/>
    </row>
    <row r="77" spans="1:10" ht="16.5" thickBot="1">
      <c r="A77" s="104" t="s">
        <v>371</v>
      </c>
      <c r="B77" s="113">
        <f>'Returns Analysis'!C21</f>
        <v>240.70787311993706</v>
      </c>
      <c r="C77" s="113">
        <f>'Returns Analysis'!D21</f>
        <v>231.02232524361193</v>
      </c>
      <c r="D77" s="194">
        <f>'Returns Analysis'!E21</f>
        <v>183.79977969191668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5" sqref="D25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Rochester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408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0.66666666666666663</v>
      </c>
      <c r="E7" s="215">
        <f>D7+1</f>
        <v>1.6666666666666665</v>
      </c>
      <c r="F7" s="215">
        <f t="shared" ref="F7:Y7" si="0">E7+1</f>
        <v>2.6666666666666665</v>
      </c>
      <c r="G7" s="215">
        <f t="shared" si="0"/>
        <v>3.6666666666666665</v>
      </c>
      <c r="H7" s="215">
        <f t="shared" si="0"/>
        <v>4.6666666666666661</v>
      </c>
      <c r="I7" s="215">
        <f t="shared" si="0"/>
        <v>5.6666666666666661</v>
      </c>
      <c r="J7" s="215">
        <f t="shared" si="0"/>
        <v>6.6666666666666661</v>
      </c>
      <c r="K7" s="215">
        <f t="shared" si="0"/>
        <v>7.6666666666666661</v>
      </c>
      <c r="L7" s="215">
        <f t="shared" si="0"/>
        <v>8.6666666666666661</v>
      </c>
      <c r="M7" s="215">
        <f t="shared" si="0"/>
        <v>9.6666666666666661</v>
      </c>
      <c r="N7" s="215">
        <f t="shared" si="0"/>
        <v>10.666666666666666</v>
      </c>
      <c r="O7" s="215">
        <f t="shared" si="0"/>
        <v>11.666666666666666</v>
      </c>
      <c r="P7" s="215">
        <f t="shared" si="0"/>
        <v>12.666666666666666</v>
      </c>
      <c r="Q7" s="215">
        <f t="shared" si="0"/>
        <v>13.666666666666666</v>
      </c>
      <c r="R7" s="215">
        <f t="shared" si="0"/>
        <v>14.666666666666666</v>
      </c>
      <c r="S7" s="215">
        <f t="shared" si="0"/>
        <v>15.666666666666666</v>
      </c>
      <c r="T7" s="215">
        <f t="shared" si="0"/>
        <v>16.666666666666664</v>
      </c>
      <c r="U7" s="215">
        <f t="shared" si="0"/>
        <v>17.666666666666664</v>
      </c>
      <c r="V7" s="215">
        <f t="shared" si="0"/>
        <v>18.666666666666664</v>
      </c>
      <c r="W7" s="215">
        <f t="shared" si="0"/>
        <v>19.666666666666664</v>
      </c>
      <c r="X7" s="215">
        <f t="shared" si="0"/>
        <v>20.666666666666664</v>
      </c>
      <c r="Y7" s="215">
        <f t="shared" si="0"/>
        <v>21.666666666666664</v>
      </c>
      <c r="Z7" s="215">
        <f t="shared" ref="Z7:AG7" si="1">Y7+1</f>
        <v>22.666666666666664</v>
      </c>
      <c r="AA7" s="215">
        <f t="shared" si="1"/>
        <v>23.666666666666664</v>
      </c>
      <c r="AB7" s="215">
        <f t="shared" si="1"/>
        <v>24.666666666666664</v>
      </c>
      <c r="AC7" s="215">
        <f t="shared" si="1"/>
        <v>25.666666666666664</v>
      </c>
      <c r="AD7" s="215">
        <f t="shared" si="1"/>
        <v>26.666666666666664</v>
      </c>
      <c r="AE7" s="215">
        <f t="shared" si="1"/>
        <v>27.666666666666664</v>
      </c>
      <c r="AF7" s="215">
        <f t="shared" si="1"/>
        <v>28.666666666666664</v>
      </c>
      <c r="AG7" s="215">
        <f t="shared" si="1"/>
        <v>29.666666666666664</v>
      </c>
      <c r="AH7" s="215">
        <f>AG7+1</f>
        <v>30.666666666666664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421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310</v>
      </c>
      <c r="C12" s="13"/>
      <c r="D12" s="499">
        <f>Assumptions!$H$54</f>
        <v>4</v>
      </c>
      <c r="E12" s="499">
        <f>Assumptions!$H$54</f>
        <v>4</v>
      </c>
      <c r="F12" s="499">
        <f>Assumptions!$H$54</f>
        <v>4</v>
      </c>
      <c r="G12" s="499">
        <f>Assumptions!$H$54</f>
        <v>4</v>
      </c>
      <c r="H12" s="499">
        <f>Assumptions!$H$54</f>
        <v>4</v>
      </c>
      <c r="I12" s="499">
        <f>Assumptions!$H$54</f>
        <v>4</v>
      </c>
      <c r="J12" s="499">
        <f>Assumptions!$H$54</f>
        <v>4</v>
      </c>
      <c r="K12" s="499">
        <f>Assumptions!$H$54</f>
        <v>4</v>
      </c>
      <c r="L12" s="499">
        <f>Assumptions!$H$54</f>
        <v>4</v>
      </c>
      <c r="M12" s="499">
        <f>Assumptions!$H$54</f>
        <v>4</v>
      </c>
      <c r="N12" s="499">
        <f>Assumptions!$H$54</f>
        <v>4</v>
      </c>
      <c r="O12" s="499">
        <f>Assumptions!$H$54</f>
        <v>4</v>
      </c>
      <c r="P12" s="499">
        <f>Assumptions!$H$54</f>
        <v>4</v>
      </c>
      <c r="Q12" s="499">
        <f>Assumptions!$H$54</f>
        <v>4</v>
      </c>
      <c r="R12" s="499">
        <f>Assumptions!$H$54</f>
        <v>4</v>
      </c>
      <c r="S12" s="499">
        <f>Assumptions!$H$54</f>
        <v>4</v>
      </c>
      <c r="T12" s="499">
        <f>Assumptions!$H$54</f>
        <v>4</v>
      </c>
      <c r="U12" s="499">
        <f>Assumptions!$H$54</f>
        <v>4</v>
      </c>
      <c r="V12" s="499">
        <f>Assumptions!$H$54</f>
        <v>4</v>
      </c>
      <c r="W12" s="499">
        <f>Assumptions!$H$54</f>
        <v>4</v>
      </c>
      <c r="X12" s="499">
        <f>Assumptions!$H$54</f>
        <v>4</v>
      </c>
      <c r="Y12" s="499">
        <f>Assumptions!$H$54</f>
        <v>4</v>
      </c>
      <c r="Z12" s="499">
        <f>Assumptions!$H$54</f>
        <v>4</v>
      </c>
      <c r="AA12" s="499">
        <f>Assumptions!$H$54</f>
        <v>4</v>
      </c>
      <c r="AB12" s="499">
        <f>Assumptions!$H$54</f>
        <v>4</v>
      </c>
      <c r="AC12" s="499">
        <f>Assumptions!$H$54</f>
        <v>4</v>
      </c>
      <c r="AD12" s="499">
        <f>Assumptions!$H$54</f>
        <v>4</v>
      </c>
      <c r="AE12" s="499">
        <f>Assumptions!$H$54</f>
        <v>4</v>
      </c>
      <c r="AF12" s="499">
        <f>Assumptions!$H$54</f>
        <v>4</v>
      </c>
      <c r="AG12" s="499">
        <f>Assumptions!$H$54</f>
        <v>4</v>
      </c>
      <c r="AH12" s="499">
        <f>Assumptions!$H$54</f>
        <v>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319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246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247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244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122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313</v>
      </c>
      <c r="C21" s="505"/>
      <c r="D21" s="510">
        <f>IF(AND(C7&lt;$D$7+Assumptions!$H$53,D7&lt;$D$7+Assumptions!$H$53),D12,IF(AND(C7&lt;$D$7+Assumptions!$H$53,D7&gt;$D$7+Assumptions!$H$53),D12*(1-$D$7)+D19*$D$7,D19))</f>
        <v>4</v>
      </c>
      <c r="E21" s="511">
        <f>IF(AND(D7&lt;$D$7+Assumptions!$H$53,E7&lt;$D$7+Assumptions!$H$53),E12,IF(AND(D7&lt;$D$7+Assumptions!$H$53,E7&gt;=$D$7+Assumptions!$H$53),E12*(1-$D$7)+E19*$D$7,E19))</f>
        <v>4</v>
      </c>
      <c r="F21" s="511">
        <f>IF(AND(E7&lt;$D$7+Assumptions!$H$53,F7&lt;$D$7+Assumptions!$H$53),F12,IF(AND(E7&lt;$D$7+Assumptions!$H$53,F7&gt;=$D$7+Assumptions!$H$53),F12*(1-$D$7)+F19*$D$7,F19))</f>
        <v>4</v>
      </c>
      <c r="G21" s="511">
        <f>IF(AND(F7&lt;$D$7+Assumptions!$H$53,G7&lt;$D$7+Assumptions!$H$53),G12,IF(AND(F7&lt;$D$7+Assumptions!$H$53,G7&gt;=$D$7+Assumptions!$H$53),G12*(1-$D$7)+G19*$D$7,G19))</f>
        <v>5.1475576338888889</v>
      </c>
      <c r="H21" s="511">
        <f>IF(AND(G7&lt;$D$7+Assumptions!$H$53,H7&lt;$D$7+Assumptions!$H$53),H12,IF(AND(G7&lt;$D$7+Assumptions!$H$53,H7&gt;=$D$7+Assumptions!$H$53),H12*(1-$D$7)+H19*$D$7,H19))</f>
        <v>5.6997641986416658</v>
      </c>
      <c r="I21" s="511">
        <f>IF(AND(H7&lt;$D$7+Assumptions!$H$53,I7&lt;$D$7+Assumptions!$H$53),I12,IF(AND(H7&lt;$D$7+Assumptions!$H$53,I7&gt;=$D$7+Assumptions!$H$53),I12*(1-$D$7)+I19*$D$7,I19))</f>
        <v>5.7712527665568336</v>
      </c>
      <c r="J21" s="511">
        <f>IF(AND(I7&lt;$D$7+Assumptions!$H$53,J7&lt;$D$7+Assumptions!$H$53),J12,IF(AND(I7&lt;$D$7+Assumptions!$H$53,J7&gt;=$D$7+Assumptions!$H$53),J12*(1-$D$7)+J19*$D$7,J19))</f>
        <v>5.8419008607681322</v>
      </c>
      <c r="K21" s="511">
        <f>IF(AND(J7&lt;$D$7+Assumptions!$H$53,K7&lt;$D$7+Assumptions!$H$53),K12,IF(AND(J7&lt;$D$7+Assumptions!$H$53,K7&gt;=$D$7+Assumptions!$H$53),K12*(1-$D$7)+K19*$D$7,K19))</f>
        <v>5.9115937131422074</v>
      </c>
      <c r="L21" s="511">
        <f>IF(AND(K7&lt;$D$7+Assumptions!$H$53,L7&lt;$D$7+Assumptions!$H$53),L12,IF(AND(K7&lt;$D$7+Assumptions!$H$53,L7&gt;=$D$7+Assumptions!$H$53),L12*(1-$D$7)+L19*$D$7,L19))</f>
        <v>6.088941524536474</v>
      </c>
      <c r="M21" s="511">
        <f>IF(AND(L7&lt;$D$7+Assumptions!$H$53,M7&lt;$D$7+Assumptions!$H$53),M12,IF(AND(L7&lt;$D$7+Assumptions!$H$53,M7&gt;=$D$7+Assumptions!$H$53),M12*(1-$D$7)+M19*$D$7,M19))</f>
        <v>6.1596167386605574</v>
      </c>
      <c r="N21" s="511">
        <f>IF(AND(M7&lt;$D$7+Assumptions!$H$53,N7&lt;$D$7+Assumptions!$H$53),N12,IF(AND(M7&lt;$D$7+Assumptions!$H$53,N7&gt;=$D$7+Assumptions!$H$53),N12*(1-$D$7)+N19*$D$7,N19))</f>
        <v>6.3444052408203753</v>
      </c>
      <c r="O21" s="511">
        <f>IF(AND(N7&lt;$D$7+Assumptions!$H$53,O7&lt;$D$7+Assumptions!$H$53),O12,IF(AND(N7&lt;$D$7+Assumptions!$H$53,O7&gt;=$D$7+Assumptions!$H$53),O12*(1-$D$7)+O19*$D$7,O19))</f>
        <v>6.4159239908078041</v>
      </c>
      <c r="P21" s="511">
        <f>IF(AND(O7&lt;$D$7+Assumptions!$H$53,P7&lt;$D$7+Assumptions!$H$53),P12,IF(AND(O7&lt;$D$7+Assumptions!$H$53,P7&gt;=$D$7+Assumptions!$H$53),P12*(1-$D$7)+P19*$D$7,P19))</f>
        <v>6.6084017105320383</v>
      </c>
      <c r="Q21" s="511">
        <f>IF(AND(P7&lt;$D$7+Assumptions!$H$53,Q7&lt;$D$7+Assumptions!$H$53),Q12,IF(AND(P7&lt;$D$7+Assumptions!$H$53,Q7&gt;=$D$7+Assumptions!$H$53),Q12*(1-$D$7)+Q19*$D$7,Q19))</f>
        <v>6.680604618110074</v>
      </c>
      <c r="R21" s="512">
        <f>IF(AND(Q7&lt;$D$7+Assumptions!$H$53,R7&lt;$D$7+Assumptions!$H$53),R12,IF(AND(Q7&lt;$D$7+Assumptions!$H$53,R7&gt;=$D$7+Assumptions!$H$53),R12*(1-$D$7)+R19*$D$7,R19))</f>
        <v>6.7511921386033125</v>
      </c>
      <c r="S21" s="510">
        <f>IF(AND(R7&lt;$D$7+Assumptions!$H$53,S7&lt;$D$7+Assumptions!$H$53),S12,IF(AND(R7&lt;$D$7+Assumptions!$H$53,S7&gt;=$D$7+Assumptions!$H$53),S12*(1-$D$7)+S19*$D$7,S19))</f>
        <v>6.8200023661698452</v>
      </c>
      <c r="T21" s="511">
        <f>IF(AND(S7&lt;$D$7+Assumptions!$H$53,T7&lt;$D$7+Assumptions!$H$53),T12,IF(AND(S7&lt;$D$7+Assumptions!$H$53,T7&gt;=$D$7+Assumptions!$H$53),T12*(1-$D$7)+T19*$D$7,T19))</f>
        <v>6.8868651344656273</v>
      </c>
      <c r="U21" s="511">
        <f>IF(AND(T7&lt;$D$7+Assumptions!$H$53,U7&lt;$D$7+Assumptions!$H$53),U12,IF(AND(T7&lt;$D$7+Assumptions!$H$53,U7&gt;=$D$7+Assumptions!$H$53),U12*(1-$D$7)+U19*$D$7,U19))</f>
        <v>6.951601666729605</v>
      </c>
      <c r="V21" s="511">
        <f>IF(AND(U7&lt;$D$7+Assumptions!$H$53,V7&lt;$D$7+Assumptions!$H$53),V12,IF(AND(U7&lt;$D$7+Assumptions!$H$53,V7&gt;=$D$7+Assumptions!$H$53),V12*(1-$D$7)+V19*$D$7,V19))</f>
        <v>7.014024212308402</v>
      </c>
      <c r="W21" s="511">
        <f>IF(AND(V7&lt;$D$7+Assumptions!$H$53,W7&lt;$D$7+Assumptions!$H$53),W12,IF(AND(V7&lt;$D$7+Assumptions!$H$53,W7&gt;=$D$7+Assumptions!$H$53),W12*(1-$D$7)+W19*$D$7,W19))</f>
        <v>7.0739356691218687</v>
      </c>
      <c r="X21" s="511">
        <f>IF(AND(W7&lt;$D$7+Assumptions!$H$53,X7&lt;$D$7+Assumptions!$H$53),X12,IF(AND(W7&lt;$D$7+Assumptions!$H$53,X7&gt;=$D$7+Assumptions!$H$53),X12*(1-$D$7)+X19*$D$7,X19))</f>
        <v>7.1311291915530655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244</v>
      </c>
      <c r="C25" s="513"/>
      <c r="D25" s="501">
        <v>2.2000000000000002</v>
      </c>
      <c r="E25" s="501">
        <v>2.2000000000000002</v>
      </c>
      <c r="F25" s="501">
        <v>2.2000000000000002</v>
      </c>
      <c r="G25" s="501">
        <v>2.2000000000000002</v>
      </c>
      <c r="H25" s="501">
        <v>2.2000000000000002</v>
      </c>
      <c r="I25" s="501">
        <v>2.2000000000000002</v>
      </c>
      <c r="J25" s="501">
        <v>2.2000000000000002</v>
      </c>
      <c r="K25" s="501">
        <v>2.2000000000000002</v>
      </c>
      <c r="L25" s="501">
        <v>2.2000000000000002</v>
      </c>
      <c r="M25" s="501">
        <v>2.2000000000000002</v>
      </c>
      <c r="N25" s="501">
        <v>2.2000000000000002</v>
      </c>
      <c r="O25" s="501">
        <v>2.2000000000000002</v>
      </c>
      <c r="P25" s="501">
        <v>2.2000000000000002</v>
      </c>
      <c r="Q25" s="501">
        <v>2.2000000000000002</v>
      </c>
      <c r="R25" s="501">
        <v>2.2000000000000002</v>
      </c>
      <c r="S25" s="501">
        <v>2.2000000000000002</v>
      </c>
      <c r="T25" s="501">
        <v>2.2000000000000002</v>
      </c>
      <c r="U25" s="501">
        <v>2.2000000000000002</v>
      </c>
      <c r="V25" s="501">
        <v>2.2000000000000002</v>
      </c>
      <c r="W25" s="501">
        <v>2.2000000000000002</v>
      </c>
      <c r="X25" s="501">
        <v>2.2000000000000002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241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242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v>1</v>
      </c>
      <c r="B30" s="43" t="s">
        <v>239</v>
      </c>
      <c r="C30" s="12"/>
      <c r="D30" s="51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1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399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240</v>
      </c>
      <c r="C34" s="12"/>
      <c r="D34" s="502">
        <f>D44*'Price_Technical Assumption'!D30/1000</f>
        <v>15.84009</v>
      </c>
      <c r="E34" s="502">
        <f>E44*'Price_Technical Assumption'!E30/1000</f>
        <v>15.84009</v>
      </c>
      <c r="F34" s="502">
        <f>F44*'Price_Technical Assumption'!F30/1000</f>
        <v>15.84009</v>
      </c>
      <c r="G34" s="502">
        <f>G44*'Price_Technical Assumption'!G30/1000</f>
        <v>15.84009</v>
      </c>
      <c r="H34" s="502">
        <f>H44*'Price_Technical Assumption'!H30/1000</f>
        <v>15.84009</v>
      </c>
      <c r="I34" s="502">
        <f>I44*'Price_Technical Assumption'!I30/1000</f>
        <v>15.84009</v>
      </c>
      <c r="J34" s="502">
        <f>J44*'Price_Technical Assumption'!J30/1000</f>
        <v>15.84009</v>
      </c>
      <c r="K34" s="502">
        <f>K44*'Price_Technical Assumption'!K30/1000</f>
        <v>15.84009</v>
      </c>
      <c r="L34" s="502">
        <f>L44*'Price_Technical Assumption'!L30/1000</f>
        <v>15.84009</v>
      </c>
      <c r="M34" s="502">
        <f>M44*'Price_Technical Assumption'!M30/1000</f>
        <v>15.84009</v>
      </c>
      <c r="N34" s="502">
        <f>N44*'Price_Technical Assumption'!N30/1000</f>
        <v>15.84009</v>
      </c>
      <c r="O34" s="502">
        <f>O44*'Price_Technical Assumption'!O30/1000</f>
        <v>15.84009</v>
      </c>
      <c r="P34" s="502">
        <f>P44*'Price_Technical Assumption'!P30/1000</f>
        <v>15.84009</v>
      </c>
      <c r="Q34" s="502">
        <f>Q44*'Price_Technical Assumption'!Q30/1000</f>
        <v>15.84009</v>
      </c>
      <c r="R34" s="502">
        <f>R44*'Price_Technical Assumption'!R30/1000</f>
        <v>15.84009</v>
      </c>
      <c r="S34" s="502">
        <f>S44*'Price_Technical Assumption'!S30/1000</f>
        <v>15.84009</v>
      </c>
      <c r="T34" s="502">
        <f>T44*'Price_Technical Assumption'!T30/1000</f>
        <v>15.84009</v>
      </c>
      <c r="U34" s="502">
        <f>U44*'Price_Technical Assumption'!U30/1000</f>
        <v>15.84009</v>
      </c>
      <c r="V34" s="502">
        <f>V44*'Price_Technical Assumption'!V30/1000</f>
        <v>15.84009</v>
      </c>
      <c r="W34" s="502">
        <f>W44*'Price_Technical Assumption'!W30/1000</f>
        <v>15.84009</v>
      </c>
      <c r="X34" s="502">
        <f>X44*'Price_Technical Assumption'!X30/1000</f>
        <v>15.84009</v>
      </c>
      <c r="Y34" s="502">
        <f>Y44*'Price_Technical Assumption'!Y30/1000</f>
        <v>15.84009</v>
      </c>
      <c r="Z34" s="502">
        <f>Z44*'Price_Technical Assumption'!Z30/1000</f>
        <v>15.84009</v>
      </c>
      <c r="AA34" s="502">
        <f>AA44*'Price_Technical Assumption'!AA30/1000</f>
        <v>15.84009</v>
      </c>
      <c r="AB34" s="502">
        <f>AB44*'Price_Technical Assumption'!AB30/1000</f>
        <v>15.84009</v>
      </c>
      <c r="AC34" s="502">
        <f>AC44*'Price_Technical Assumption'!AC30/1000</f>
        <v>15.84009</v>
      </c>
      <c r="AD34" s="502">
        <f>AD44*'Price_Technical Assumption'!AD30/1000</f>
        <v>15.84009</v>
      </c>
      <c r="AE34" s="502">
        <f>AE44*'Price_Technical Assumption'!AE30/1000</f>
        <v>15.84009</v>
      </c>
      <c r="AF34" s="502">
        <f>AF44*'Price_Technical Assumption'!AF30/1000</f>
        <v>15.84009</v>
      </c>
      <c r="AG34" s="502">
        <f>AG44*'Price_Technical Assumption'!AG30/1000</f>
        <v>15.84009</v>
      </c>
      <c r="AH34" s="502">
        <f>AH44*'Price_Technical Assumption'!AH30/1000</f>
        <v>15.84009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418</v>
      </c>
      <c r="C35" s="482"/>
      <c r="D35" s="519">
        <f>Assumptions!$H$60*(1+Assumptions!$N$11)^(D7)</f>
        <v>3.092340773304961</v>
      </c>
      <c r="E35" s="519">
        <f>Assumptions!$H$60*(1+Assumptions!$N$11)^(E7)</f>
        <v>3.1851109965041098</v>
      </c>
      <c r="F35" s="519">
        <f>Assumptions!$H$60*(1+Assumptions!$N$11)^(F7)</f>
        <v>3.2806643263992337</v>
      </c>
      <c r="G35" s="519">
        <f>Assumptions!$H$60*(1+Assumptions!$N$11)^(G7)</f>
        <v>3.3790842561912107</v>
      </c>
      <c r="H35" s="519">
        <f>Assumptions!$H$60*(1+Assumptions!$N$11)^(H7)</f>
        <v>3.4804567838769467</v>
      </c>
      <c r="I35" s="519">
        <f>Assumptions!$H$60*(1+Assumptions!$N$11)^(I7)</f>
        <v>3.5848704873932555</v>
      </c>
      <c r="J35" s="519">
        <f>Assumptions!$H$60*(1+Assumptions!$N$11)^(J7)</f>
        <v>3.6924166020150531</v>
      </c>
      <c r="K35" s="519">
        <f>Assumptions!$H$60*(1+Assumptions!$N$11)^(K7)</f>
        <v>3.8031891000755045</v>
      </c>
      <c r="L35" s="519">
        <f>Assumptions!$H$60*(1+Assumptions!$N$11)^(L7)</f>
        <v>3.9172847730777698</v>
      </c>
      <c r="M35" s="519">
        <f>Assumptions!$H$60*(1+Assumptions!$N$11)^(M7)</f>
        <v>4.0348033162701036</v>
      </c>
      <c r="N35" s="519">
        <f>Assumptions!$H$60*(1+Assumptions!$N$11)^(N7)</f>
        <v>4.1558474157582062</v>
      </c>
      <c r="O35" s="519">
        <f>Assumptions!$H$60*(1+Assumptions!$N$11)^(O7)</f>
        <v>4.2805228382309526</v>
      </c>
      <c r="P35" s="519">
        <f>Assumptions!$H$60*(1+Assumptions!$N$11)^(P7)</f>
        <v>4.4089385233778815</v>
      </c>
      <c r="Q35" s="519">
        <f>Assumptions!$H$60*(1+Assumptions!$N$11)^(Q7)</f>
        <v>4.5412066790792176</v>
      </c>
      <c r="R35" s="519">
        <f>Assumptions!$H$60*(1+Assumptions!$N$11)^(R7)</f>
        <v>4.6774428794515943</v>
      </c>
      <c r="S35" s="519">
        <f>Assumptions!$H$60*(1+Assumptions!$N$11)^(S7)</f>
        <v>4.8177661658351427</v>
      </c>
      <c r="T35" s="519">
        <f>Assumptions!$H$60*(1+Assumptions!$N$11)^(T7)</f>
        <v>4.962299150810197</v>
      </c>
      <c r="U35" s="519">
        <f>Assumptions!$H$60*(1+Assumptions!$N$11)^(U7)</f>
        <v>5.111168125334502</v>
      </c>
      <c r="V35" s="519">
        <f>Assumptions!$H$60*(1+Assumptions!$N$11)^(V7)</f>
        <v>5.2645031690945379</v>
      </c>
      <c r="W35" s="519">
        <f>Assumptions!$H$60*(1+Assumptions!$N$11)^(W7)</f>
        <v>5.4224382641673738</v>
      </c>
      <c r="X35" s="519">
        <f>Assumptions!$H$60*(1+Assumptions!$N$11)^(X7)</f>
        <v>5.5851114120923953</v>
      </c>
      <c r="Y35" s="519">
        <f>Assumptions!$H$60*(1+Assumptions!$N$11)^(Y7)</f>
        <v>5.7526647544551679</v>
      </c>
      <c r="Z35" s="519">
        <f>Assumptions!$H$60*(1+Assumptions!$N$11)^(Z7)</f>
        <v>5.9252446970888233</v>
      </c>
      <c r="AA35" s="519">
        <f>Assumptions!$H$60*(1+Assumptions!$N$11)^(AA7)</f>
        <v>6.1030020380014882</v>
      </c>
      <c r="AB35" s="519">
        <f>Assumptions!$H$60*(1+Assumptions!$N$11)^(AB7)</f>
        <v>6.2860920991415332</v>
      </c>
      <c r="AC35" s="519">
        <f>Assumptions!$H$60*(1+Assumptions!$N$11)^(AC7)</f>
        <v>6.474674862115779</v>
      </c>
      <c r="AD35" s="519">
        <f>Assumptions!$H$60*(1+Assumptions!$N$11)^(AD7)</f>
        <v>6.6689151079792532</v>
      </c>
      <c r="AE35" s="519">
        <f>Assumptions!$H$60*(1+Assumptions!$N$11)^(AE7)</f>
        <v>6.8689825612186297</v>
      </c>
      <c r="AF35" s="519">
        <f>Assumptions!$H$60*(1+Assumptions!$N$11)^(AF7)</f>
        <v>7.0750520380551887</v>
      </c>
      <c r="AG35" s="519">
        <f>Assumptions!$H$60*(1+Assumptions!$N$11)^(AG7)</f>
        <v>7.2873035991968456</v>
      </c>
      <c r="AH35" s="519">
        <f>Assumptions!$H$60*(1+Assumptions!$N$11)^(AH7)</f>
        <v>7.5059227071727497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427</v>
      </c>
      <c r="C36" s="12"/>
      <c r="D36" s="499">
        <f>SUM(D34:D35)</f>
        <v>18.932430773304961</v>
      </c>
      <c r="E36" s="499">
        <f t="shared" ref="E36:AH36" si="5">SUM(E34:E35)</f>
        <v>19.025200996504111</v>
      </c>
      <c r="F36" s="499">
        <f t="shared" si="5"/>
        <v>19.120754326399233</v>
      </c>
      <c r="G36" s="499">
        <f t="shared" si="5"/>
        <v>19.219174256191209</v>
      </c>
      <c r="H36" s="499">
        <f t="shared" si="5"/>
        <v>19.320546783876946</v>
      </c>
      <c r="I36" s="499">
        <f t="shared" si="5"/>
        <v>19.424960487393257</v>
      </c>
      <c r="J36" s="499">
        <f t="shared" si="5"/>
        <v>19.532506602015054</v>
      </c>
      <c r="K36" s="499">
        <f t="shared" si="5"/>
        <v>19.643279100075503</v>
      </c>
      <c r="L36" s="499">
        <f t="shared" si="5"/>
        <v>19.757374773077771</v>
      </c>
      <c r="M36" s="499">
        <f t="shared" si="5"/>
        <v>19.874893316270104</v>
      </c>
      <c r="N36" s="499">
        <f t="shared" si="5"/>
        <v>19.995937415758206</v>
      </c>
      <c r="O36" s="499">
        <f t="shared" si="5"/>
        <v>20.120612838230954</v>
      </c>
      <c r="P36" s="499">
        <f t="shared" si="5"/>
        <v>20.249028523377881</v>
      </c>
      <c r="Q36" s="499">
        <f t="shared" si="5"/>
        <v>20.381296679079217</v>
      </c>
      <c r="R36" s="499">
        <f t="shared" si="5"/>
        <v>20.517532879451593</v>
      </c>
      <c r="S36" s="499">
        <f t="shared" si="5"/>
        <v>20.657856165835142</v>
      </c>
      <c r="T36" s="499">
        <f t="shared" si="5"/>
        <v>20.802389150810196</v>
      </c>
      <c r="U36" s="499">
        <f t="shared" si="5"/>
        <v>20.951258125334501</v>
      </c>
      <c r="V36" s="499">
        <f t="shared" si="5"/>
        <v>21.104593169094539</v>
      </c>
      <c r="W36" s="499">
        <f t="shared" si="5"/>
        <v>21.262528264167372</v>
      </c>
      <c r="X36" s="499">
        <f t="shared" si="5"/>
        <v>21.425201412092395</v>
      </c>
      <c r="Y36" s="499">
        <f t="shared" si="5"/>
        <v>21.592754754455168</v>
      </c>
      <c r="Z36" s="499">
        <f t="shared" si="5"/>
        <v>21.765334697088825</v>
      </c>
      <c r="AA36" s="499">
        <f t="shared" si="5"/>
        <v>21.943092038001488</v>
      </c>
      <c r="AB36" s="499">
        <f t="shared" si="5"/>
        <v>22.126182099141534</v>
      </c>
      <c r="AC36" s="499">
        <f t="shared" si="5"/>
        <v>22.31476486211578</v>
      </c>
      <c r="AD36" s="499">
        <f t="shared" si="5"/>
        <v>22.509005107979252</v>
      </c>
      <c r="AE36" s="499">
        <f t="shared" si="5"/>
        <v>22.70907256121863</v>
      </c>
      <c r="AF36" s="499">
        <f t="shared" si="5"/>
        <v>22.915142038055187</v>
      </c>
      <c r="AG36" s="499">
        <f t="shared" si="5"/>
        <v>23.127393599196846</v>
      </c>
      <c r="AH36" s="499">
        <f t="shared" si="5"/>
        <v>23.346012707172751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248</v>
      </c>
      <c r="C38" s="12"/>
      <c r="D38" s="516">
        <f>IF($A$38="Pass-through",D36,D34)</f>
        <v>18.932430773304961</v>
      </c>
      <c r="E38" s="517">
        <f t="shared" ref="E38:AH38" si="6">IF($A$38="Pass-through",E36,E34)</f>
        <v>19.025200996504111</v>
      </c>
      <c r="F38" s="517">
        <f t="shared" si="6"/>
        <v>19.120754326399233</v>
      </c>
      <c r="G38" s="517">
        <f t="shared" si="6"/>
        <v>19.219174256191209</v>
      </c>
      <c r="H38" s="517">
        <f t="shared" si="6"/>
        <v>19.320546783876946</v>
      </c>
      <c r="I38" s="517">
        <f t="shared" si="6"/>
        <v>19.424960487393257</v>
      </c>
      <c r="J38" s="517">
        <f t="shared" si="6"/>
        <v>19.532506602015054</v>
      </c>
      <c r="K38" s="517">
        <f t="shared" si="6"/>
        <v>19.643279100075503</v>
      </c>
      <c r="L38" s="517">
        <f t="shared" si="6"/>
        <v>19.757374773077771</v>
      </c>
      <c r="M38" s="517">
        <f t="shared" si="6"/>
        <v>19.874893316270104</v>
      </c>
      <c r="N38" s="517">
        <f t="shared" si="6"/>
        <v>19.995937415758206</v>
      </c>
      <c r="O38" s="517">
        <f t="shared" si="6"/>
        <v>20.120612838230954</v>
      </c>
      <c r="P38" s="517">
        <f t="shared" si="6"/>
        <v>20.249028523377881</v>
      </c>
      <c r="Q38" s="517">
        <f t="shared" si="6"/>
        <v>20.381296679079217</v>
      </c>
      <c r="R38" s="518">
        <f t="shared" si="6"/>
        <v>20.517532879451593</v>
      </c>
      <c r="S38" s="516">
        <f t="shared" si="6"/>
        <v>20.657856165835142</v>
      </c>
      <c r="T38" s="517">
        <f t="shared" si="6"/>
        <v>20.802389150810196</v>
      </c>
      <c r="U38" s="517">
        <f t="shared" si="6"/>
        <v>20.951258125334501</v>
      </c>
      <c r="V38" s="517">
        <f t="shared" si="6"/>
        <v>21.104593169094539</v>
      </c>
      <c r="W38" s="517">
        <f t="shared" si="6"/>
        <v>21.262528264167372</v>
      </c>
      <c r="X38" s="517">
        <f t="shared" si="6"/>
        <v>21.425201412092395</v>
      </c>
      <c r="Y38" s="517">
        <f t="shared" si="6"/>
        <v>21.592754754455168</v>
      </c>
      <c r="Z38" s="517">
        <f t="shared" si="6"/>
        <v>21.765334697088825</v>
      </c>
      <c r="AA38" s="517">
        <f t="shared" si="6"/>
        <v>21.943092038001488</v>
      </c>
      <c r="AB38" s="517">
        <f t="shared" si="6"/>
        <v>22.126182099141534</v>
      </c>
      <c r="AC38" s="517">
        <f t="shared" si="6"/>
        <v>22.31476486211578</v>
      </c>
      <c r="AD38" s="517">
        <f t="shared" si="6"/>
        <v>22.509005107979252</v>
      </c>
      <c r="AE38" s="517">
        <f t="shared" si="6"/>
        <v>22.70907256121863</v>
      </c>
      <c r="AF38" s="517">
        <f t="shared" si="6"/>
        <v>22.915142038055187</v>
      </c>
      <c r="AG38" s="517">
        <f t="shared" si="6"/>
        <v>23.127393599196846</v>
      </c>
      <c r="AH38" s="518">
        <f t="shared" si="6"/>
        <v>23.346012707172751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409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410</v>
      </c>
      <c r="C42" s="12"/>
      <c r="D42" s="65">
        <f>Assumptions!$H$14</f>
        <v>10200</v>
      </c>
      <c r="E42" s="65">
        <f>Assumptions!$H$14</f>
        <v>10200</v>
      </c>
      <c r="F42" s="65">
        <f>Assumptions!$H$14</f>
        <v>10200</v>
      </c>
      <c r="G42" s="65">
        <f>Assumptions!$H$14</f>
        <v>10200</v>
      </c>
      <c r="H42" s="65">
        <f>Assumptions!$H$14</f>
        <v>10200</v>
      </c>
      <c r="I42" s="65">
        <f>Assumptions!$H$14</f>
        <v>10200</v>
      </c>
      <c r="J42" s="65">
        <f>Assumptions!$H$14</f>
        <v>10200</v>
      </c>
      <c r="K42" s="65">
        <f>Assumptions!$H$14</f>
        <v>10200</v>
      </c>
      <c r="L42" s="65">
        <f>Assumptions!$H$14</f>
        <v>10200</v>
      </c>
      <c r="M42" s="65">
        <f>Assumptions!$H$14</f>
        <v>10200</v>
      </c>
      <c r="N42" s="65">
        <f>Assumptions!$H$14</f>
        <v>10200</v>
      </c>
      <c r="O42" s="65">
        <f>Assumptions!$H$14</f>
        <v>10200</v>
      </c>
      <c r="P42" s="65">
        <f>Assumptions!$H$14</f>
        <v>10200</v>
      </c>
      <c r="Q42" s="65">
        <f>Assumptions!$H$14</f>
        <v>10200</v>
      </c>
      <c r="R42" s="65">
        <f>Assumptions!$H$14</f>
        <v>10200</v>
      </c>
      <c r="S42" s="65">
        <f>Assumptions!$H$14</f>
        <v>10200</v>
      </c>
      <c r="T42" s="65">
        <f>Assumptions!$H$14</f>
        <v>10200</v>
      </c>
      <c r="U42" s="65">
        <f>Assumptions!$H$14</f>
        <v>10200</v>
      </c>
      <c r="V42" s="65">
        <f>Assumptions!$H$14</f>
        <v>10200</v>
      </c>
      <c r="W42" s="65">
        <f>Assumptions!$H$14</f>
        <v>10200</v>
      </c>
      <c r="X42" s="65">
        <f>Assumptions!$H$14</f>
        <v>10200</v>
      </c>
      <c r="Y42" s="65">
        <f>Assumptions!$H$14</f>
        <v>10200</v>
      </c>
      <c r="Z42" s="65">
        <f>Assumptions!$H$14</f>
        <v>10200</v>
      </c>
      <c r="AA42" s="65">
        <f>Assumptions!$H$14</f>
        <v>10200</v>
      </c>
      <c r="AB42" s="65">
        <f>Assumptions!$H$14</f>
        <v>10200</v>
      </c>
      <c r="AC42" s="65">
        <f>Assumptions!$H$14</f>
        <v>10200</v>
      </c>
      <c r="AD42" s="65">
        <f>Assumptions!$H$14</f>
        <v>10200</v>
      </c>
      <c r="AE42" s="65">
        <f>Assumptions!$H$14</f>
        <v>10200</v>
      </c>
      <c r="AF42" s="65">
        <f>Assumptions!$H$14</f>
        <v>10200</v>
      </c>
      <c r="AG42" s="65">
        <f>Assumptions!$H$14</f>
        <v>10200</v>
      </c>
      <c r="AH42" s="65">
        <f>Assumptions!$H$14</f>
        <v>10200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412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411</v>
      </c>
      <c r="C44" s="12"/>
      <c r="D44" s="521">
        <f>D42*(1+D43)</f>
        <v>10404</v>
      </c>
      <c r="E44" s="522">
        <f t="shared" ref="E44:AH44" si="7">E42*(1+E43)</f>
        <v>10404</v>
      </c>
      <c r="F44" s="522">
        <f t="shared" si="7"/>
        <v>10404</v>
      </c>
      <c r="G44" s="522">
        <f t="shared" si="7"/>
        <v>10404</v>
      </c>
      <c r="H44" s="522">
        <f t="shared" si="7"/>
        <v>10404</v>
      </c>
      <c r="I44" s="522">
        <f t="shared" si="7"/>
        <v>10404</v>
      </c>
      <c r="J44" s="522">
        <f t="shared" si="7"/>
        <v>10404</v>
      </c>
      <c r="K44" s="522">
        <f t="shared" si="7"/>
        <v>10404</v>
      </c>
      <c r="L44" s="522">
        <f t="shared" si="7"/>
        <v>10404</v>
      </c>
      <c r="M44" s="522">
        <f t="shared" si="7"/>
        <v>10404</v>
      </c>
      <c r="N44" s="522">
        <f t="shared" si="7"/>
        <v>10404</v>
      </c>
      <c r="O44" s="522">
        <f t="shared" si="7"/>
        <v>10404</v>
      </c>
      <c r="P44" s="522">
        <f t="shared" si="7"/>
        <v>10404</v>
      </c>
      <c r="Q44" s="522">
        <f t="shared" si="7"/>
        <v>10404</v>
      </c>
      <c r="R44" s="523">
        <f t="shared" si="7"/>
        <v>10404</v>
      </c>
      <c r="S44" s="521">
        <f t="shared" si="7"/>
        <v>10404</v>
      </c>
      <c r="T44" s="522">
        <f t="shared" si="7"/>
        <v>10404</v>
      </c>
      <c r="U44" s="522">
        <f t="shared" si="7"/>
        <v>10404</v>
      </c>
      <c r="V44" s="522">
        <f t="shared" si="7"/>
        <v>10404</v>
      </c>
      <c r="W44" s="522">
        <f t="shared" si="7"/>
        <v>10404</v>
      </c>
      <c r="X44" s="522">
        <f t="shared" si="7"/>
        <v>10404</v>
      </c>
      <c r="Y44" s="522">
        <f t="shared" si="7"/>
        <v>10404</v>
      </c>
      <c r="Z44" s="522">
        <f t="shared" si="7"/>
        <v>10404</v>
      </c>
      <c r="AA44" s="522">
        <f t="shared" si="7"/>
        <v>10404</v>
      </c>
      <c r="AB44" s="522">
        <f t="shared" si="7"/>
        <v>10404</v>
      </c>
      <c r="AC44" s="522">
        <f t="shared" si="7"/>
        <v>10404</v>
      </c>
      <c r="AD44" s="522">
        <f t="shared" si="7"/>
        <v>10404</v>
      </c>
      <c r="AE44" s="522">
        <f t="shared" si="7"/>
        <v>10404</v>
      </c>
      <c r="AF44" s="522">
        <f t="shared" si="7"/>
        <v>10404</v>
      </c>
      <c r="AG44" s="522">
        <f t="shared" si="7"/>
        <v>10404</v>
      </c>
      <c r="AH44" s="523">
        <f t="shared" si="7"/>
        <v>10404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L2" sqref="L2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Rochester</v>
      </c>
    </row>
    <row r="4" spans="1:33" ht="18.75">
      <c r="A4" s="60" t="s">
        <v>92</v>
      </c>
      <c r="B4" s="5"/>
    </row>
    <row r="6" spans="1:33">
      <c r="C6" s="215">
        <f>'Price_Technical Assumption'!D7</f>
        <v>0.66666666666666663</v>
      </c>
      <c r="D6" s="215">
        <f>'Price_Technical Assumption'!E7</f>
        <v>1.6666666666666665</v>
      </c>
      <c r="E6" s="215">
        <f>'Price_Technical Assumption'!F7</f>
        <v>2.6666666666666665</v>
      </c>
      <c r="F6" s="215">
        <f>'Price_Technical Assumption'!G7</f>
        <v>3.6666666666666665</v>
      </c>
      <c r="G6" s="215">
        <f>'Price_Technical Assumption'!H7</f>
        <v>4.6666666666666661</v>
      </c>
      <c r="H6" s="215">
        <f>'Price_Technical Assumption'!I7</f>
        <v>5.6666666666666661</v>
      </c>
      <c r="I6" s="215">
        <f>'Price_Technical Assumption'!J7</f>
        <v>6.6666666666666661</v>
      </c>
      <c r="J6" s="215">
        <f>'Price_Technical Assumption'!K7</f>
        <v>7.6666666666666661</v>
      </c>
      <c r="K6" s="215">
        <f>'Price_Technical Assumption'!L7</f>
        <v>8.6666666666666661</v>
      </c>
      <c r="L6" s="215">
        <f>'Price_Technical Assumption'!M7</f>
        <v>9.6666666666666661</v>
      </c>
      <c r="M6" s="215">
        <f>'Price_Technical Assumption'!N7</f>
        <v>10.666666666666666</v>
      </c>
      <c r="N6" s="215">
        <f>'Price_Technical Assumption'!O7</f>
        <v>11.666666666666666</v>
      </c>
      <c r="O6" s="215">
        <f>'Price_Technical Assumption'!P7</f>
        <v>12.666666666666666</v>
      </c>
      <c r="P6" s="215">
        <f>'Price_Technical Assumption'!Q7</f>
        <v>13.666666666666666</v>
      </c>
      <c r="Q6" s="215">
        <f>'Price_Technical Assumption'!R7</f>
        <v>14.666666666666666</v>
      </c>
      <c r="R6" s="215">
        <f>'Price_Technical Assumption'!S7</f>
        <v>15.666666666666666</v>
      </c>
      <c r="S6" s="215">
        <f>'Price_Technical Assumption'!T7</f>
        <v>16.666666666666664</v>
      </c>
      <c r="T6" s="215">
        <f>'Price_Technical Assumption'!U7</f>
        <v>17.666666666666664</v>
      </c>
      <c r="U6" s="215">
        <f>'Price_Technical Assumption'!V7</f>
        <v>18.666666666666664</v>
      </c>
      <c r="V6" s="215">
        <f>'Price_Technical Assumption'!W7</f>
        <v>19.666666666666664</v>
      </c>
      <c r="W6" s="215">
        <f>'Price_Technical Assumption'!X7</f>
        <v>20.666666666666664</v>
      </c>
      <c r="X6" s="215">
        <f>'Price_Technical Assumption'!Y7</f>
        <v>21.666666666666664</v>
      </c>
      <c r="Y6" s="215">
        <f>'Price_Technical Assumption'!Z7</f>
        <v>22.666666666666664</v>
      </c>
      <c r="Z6" s="215">
        <f>'Price_Technical Assumption'!AA7</f>
        <v>23.666666666666664</v>
      </c>
      <c r="AA6" s="215">
        <f>'Price_Technical Assumption'!AB7</f>
        <v>24.666666666666664</v>
      </c>
      <c r="AB6" s="215">
        <f>'Price_Technical Assumption'!AC7</f>
        <v>25.666666666666664</v>
      </c>
      <c r="AC6" s="215">
        <f>'Price_Technical Assumption'!AD7</f>
        <v>26.666666666666664</v>
      </c>
      <c r="AD6" s="215">
        <f>'Price_Technical Assumption'!AE7</f>
        <v>27.666666666666664</v>
      </c>
      <c r="AE6" s="215">
        <f>'Price_Technical Assumption'!AF7</f>
        <v>28.666666666666664</v>
      </c>
      <c r="AF6" s="215">
        <f>'Price_Technical Assumption'!AG7</f>
        <v>29.666666666666664</v>
      </c>
      <c r="AG6" s="215">
        <f>'Price_Technical Assumption'!AH7</f>
        <v>30.666666666666664</v>
      </c>
    </row>
    <row r="7" spans="1:33" s="6" customFormat="1" ht="13.5" thickBot="1">
      <c r="A7" s="123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Assumption'!D21*Assumptions!$H$68,IF(AND(B6&lt;Assumptions!$H$19,C6&gt;Assumptions!$H$19),(1-$C$6)*12*'Price_Technical Assumption'!D21*Assumptions!$H$68,0))</f>
        <v>1520</v>
      </c>
      <c r="D10" s="74">
        <f>IF(D6&lt;Assumptions!$H$19,12*'Price_Technical Assumption'!E21*Assumptions!$H$68,IF(AND(C6&lt;Assumptions!$H$19,D6&gt;Assumptions!$H$19),(1-$C$6)*12*'Price_Technical Assumption'!E21*Assumptions!$H$68,0))</f>
        <v>2280</v>
      </c>
      <c r="E10" s="74">
        <f>IF(E6&lt;Assumptions!$H$19,12*'Price_Technical Assumption'!F21*Assumptions!$H$68,IF(AND(D6&lt;Assumptions!$H$19,E6&gt;Assumptions!$H$19),(1-$C$6)*12*'Price_Technical Assumption'!F21*Assumptions!$H$68,0))</f>
        <v>2280</v>
      </c>
      <c r="F10" s="74">
        <f>IF(F6&lt;Assumptions!$H$19,12*'Price_Technical Assumption'!G21*Assumptions!$H$68,IF(AND(E6&lt;Assumptions!$H$19,F6&gt;Assumptions!$H$19),(1-$C$6)*12*'Price_Technical Assumption'!G21*Assumptions!$H$68,0))</f>
        <v>2934.1078513166667</v>
      </c>
      <c r="G10" s="74">
        <f>IF(G6&lt;Assumptions!$H$19,12*'Price_Technical Assumption'!H21*Assumptions!$H$68,IF(AND(F6&lt;Assumptions!$H$19,G6&gt;Assumptions!$H$19),(1-$C$6)*12*'Price_Technical Assumption'!H21*Assumptions!$H$68,0))</f>
        <v>3248.8655932257493</v>
      </c>
      <c r="H10" s="74">
        <f>IF(H6&lt;Assumptions!$H$19,12*'Price_Technical Assumption'!I21*Assumptions!$H$68,IF(AND(G6&lt;Assumptions!$H$19,H6&gt;Assumptions!$H$19),(1-$C$6)*12*'Price_Technical Assumption'!I21*Assumptions!$H$68,0))</f>
        <v>3289.6140769373951</v>
      </c>
      <c r="I10" s="74">
        <f>IF(I6&lt;Assumptions!$H$19,12*'Price_Technical Assumption'!J21*Assumptions!$H$68,IF(AND(H6&lt;Assumptions!$H$19,I6&gt;Assumptions!$H$19),(1-$C$6)*12*'Price_Technical Assumption'!J21*Assumptions!$H$68,0))</f>
        <v>3329.8834906378356</v>
      </c>
      <c r="J10" s="74">
        <f>IF(J6&lt;Assumptions!$H$19,12*'Price_Technical Assumption'!K21*Assumptions!$H$68,IF(AND(I6&lt;Assumptions!$H$19,J6&gt;Assumptions!$H$19),(1-$C$6)*12*'Price_Technical Assumption'!K21*Assumptions!$H$68,0))</f>
        <v>3369.6084164910585</v>
      </c>
      <c r="K10" s="74">
        <f>IF(K6&lt;Assumptions!$H$19,12*'Price_Technical Assumption'!L21*Assumptions!$H$68,IF(AND(J6&lt;Assumptions!$H$19,K6&gt;Assumptions!$H$19),(1-$C$6)*12*'Price_Technical Assumption'!L21*Assumptions!$H$68,0))</f>
        <v>3470.6966689857904</v>
      </c>
      <c r="L10" s="74">
        <f>IF(L6&lt;Assumptions!$H$19,12*'Price_Technical Assumption'!M21*Assumptions!$H$68,IF(AND(K6&lt;Assumptions!$H$19,L6&gt;Assumptions!$H$19),(1-$C$6)*12*'Price_Technical Assumption'!M21*Assumptions!$H$68,0))</f>
        <v>3510.9815410365177</v>
      </c>
      <c r="M10" s="74">
        <f>IF(M6&lt;Assumptions!$H$19,12*'Price_Technical Assumption'!N21*Assumptions!$H$68,IF(AND(L6&lt;Assumptions!$H$19,M6&gt;Assumptions!$H$19),(1-$C$6)*12*'Price_Technical Assumption'!N21*Assumptions!$H$68,0))</f>
        <v>3616.3109872676141</v>
      </c>
      <c r="N10" s="74">
        <f>IF(N6&lt;Assumptions!$H$19,12*'Price_Technical Assumption'!O21*Assumptions!$H$68,IF(AND(M6&lt;Assumptions!$H$19,N6&gt;Assumptions!$H$19),(1-$C$6)*12*'Price_Technical Assumption'!O21*Assumptions!$H$68,0))</f>
        <v>3657.076674760448</v>
      </c>
      <c r="O10" s="74">
        <f>IF(O6&lt;Assumptions!$H$19,12*'Price_Technical Assumption'!P21*Assumptions!$H$68,IF(AND(N6&lt;Assumptions!$H$19,O6&gt;Assumptions!$H$19),(1-$C$6)*12*'Price_Technical Assumption'!P21*Assumptions!$H$68,0))</f>
        <v>3766.7889750032618</v>
      </c>
      <c r="P10" s="74">
        <f>IF(P6&lt;Assumptions!$H$19,12*'Price_Technical Assumption'!Q21*Assumptions!$H$68,IF(AND(O6&lt;Assumptions!$H$19,P6&gt;Assumptions!$H$19),(1-$C$6)*12*'Price_Technical Assumption'!Q21*Assumptions!$H$68,0))</f>
        <v>3807.9446323227421</v>
      </c>
      <c r="Q10" s="74">
        <f>IF(Q6&lt;Assumptions!$H$19,12*'Price_Technical Assumption'!R21*Assumptions!$H$68,IF(AND(P6&lt;Assumptions!$H$19,Q6&gt;Assumptions!$H$19),(1-$C$6)*12*'Price_Technical Assumption'!R21*Assumptions!$H$68,0))</f>
        <v>3848.1795190038883</v>
      </c>
      <c r="R10" s="74">
        <f>IF(R6&lt;Assumptions!$H$19,12*'Price_Technical Assumption'!S21*Assumptions!$H$68,IF(AND(Q6&lt;Assumptions!$H$19,R6&gt;Assumptions!$H$19),(1-$C$6)*12*'Price_Technical Assumption'!S21*Assumptions!$H$68,0))</f>
        <v>3887.4013487168118</v>
      </c>
      <c r="S10" s="74">
        <f>IF(S6&lt;Assumptions!$H$19,12*'Price_Technical Assumption'!T21*Assumptions!$H$68,IF(AND(R6&lt;Assumptions!$H$19,S6&gt;Assumptions!$H$19),(1-$C$6)*12*'Price_Technical Assumption'!T21*Assumptions!$H$68,0))</f>
        <v>3925.5131266454077</v>
      </c>
      <c r="T10" s="74">
        <f>IF(T6&lt;Assumptions!$H$19,12*'Price_Technical Assumption'!U21*Assumptions!$H$68,IF(AND(S6&lt;Assumptions!$H$19,T6&gt;Assumptions!$H$19),(1-$C$6)*12*'Price_Technical Assumption'!U21*Assumptions!$H$68,0))</f>
        <v>3962.4129500358749</v>
      </c>
      <c r="U10" s="74">
        <f>IF(U6&lt;Assumptions!$H$19,12*'Price_Technical Assumption'!V21*Assumptions!$H$68,IF(AND(T6&lt;Assumptions!$H$19,U6&gt;Assumptions!$H$19),(1-$C$6)*12*'Price_Technical Assumption'!V21*Assumptions!$H$68,0))</f>
        <v>3997.9938010157889</v>
      </c>
      <c r="V10" s="74">
        <f>IF(V6&lt;Assumptions!$H$19,12*'Price_Technical Assumption'!W21*Assumptions!$H$68,IF(AND(U6&lt;Assumptions!$H$19,V6&gt;Assumptions!$H$19),(1-$C$6)*12*'Price_Technical Assumption'!W21*Assumptions!$H$68,0))</f>
        <v>4032.1433313994648</v>
      </c>
      <c r="W10" s="74">
        <f>IF(W6&lt;Assumptions!$H$19,12*'Price_Technical Assumption'!X21*Assumptions!$H$68,IF(AND(V6&lt;Assumptions!$H$19,W6&gt;Assumptions!$H$19),(1-$C$6)*12*'Price_Technical Assumption'!X21*Assumptions!$H$68,0))</f>
        <v>1354.9145463950824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120</v>
      </c>
      <c r="C11" s="74">
        <f>'Price_Technical Assumption'!D38*Assumptions!$H$62/1000</f>
        <v>1259.00664642478</v>
      </c>
      <c r="D11" s="74">
        <f>'Price_Technical Assumption'!E38*Assumptions!$H$62/1000</f>
        <v>1265.1758662675236</v>
      </c>
      <c r="E11" s="74">
        <f>'Price_Technical Assumption'!F38*Assumptions!$H$62/1000</f>
        <v>1271.5301627055489</v>
      </c>
      <c r="F11" s="74">
        <f>'Price_Technical Assumption'!G38*Assumptions!$H$62/1000</f>
        <v>1278.0750880367154</v>
      </c>
      <c r="G11" s="74">
        <f>'Price_Technical Assumption'!H38*Assumptions!$H$62/1000</f>
        <v>1284.8163611278169</v>
      </c>
      <c r="H11" s="74">
        <f>'Price_Technical Assumption'!I38*Assumptions!$H$62/1000</f>
        <v>1291.7598724116515</v>
      </c>
      <c r="I11" s="74">
        <f>'Price_Technical Assumption'!J38*Assumptions!$H$62/1000</f>
        <v>1298.9116890340013</v>
      </c>
      <c r="J11" s="74">
        <f>'Price_Technical Assumption'!K38*Assumptions!$H$62/1000</f>
        <v>1306.278060155021</v>
      </c>
      <c r="K11" s="74">
        <f>'Price_Technical Assumption'!L38*Assumptions!$H$62/1000</f>
        <v>1313.8654224096717</v>
      </c>
      <c r="L11" s="74">
        <f>'Price_Technical Assumption'!M38*Assumptions!$H$62/1000</f>
        <v>1321.6804055319619</v>
      </c>
      <c r="M11" s="74">
        <f>'Price_Technical Assumption'!N38*Assumptions!$H$62/1000</f>
        <v>1329.7298381479209</v>
      </c>
      <c r="N11" s="74">
        <f>'Price_Technical Assumption'!O38*Assumptions!$H$62/1000</f>
        <v>1338.0207537423585</v>
      </c>
      <c r="O11" s="74">
        <f>'Price_Technical Assumption'!P38*Assumptions!$H$62/1000</f>
        <v>1346.5603968046291</v>
      </c>
      <c r="P11" s="74">
        <f>'Price_Technical Assumption'!Q38*Assumptions!$H$62/1000</f>
        <v>1355.356229158768</v>
      </c>
      <c r="Q11" s="74">
        <f>'Price_Technical Assumption'!R38*Assumptions!$H$62/1000</f>
        <v>1364.4159364835309</v>
      </c>
      <c r="R11" s="74">
        <f>'Price_Technical Assumption'!S38*Assumptions!$H$62/1000</f>
        <v>1373.7474350280368</v>
      </c>
      <c r="S11" s="74">
        <f>'Price_Technical Assumption'!T38*Assumptions!$H$62/1000</f>
        <v>1383.358878528878</v>
      </c>
      <c r="T11" s="74">
        <f>'Price_Technical Assumption'!U38*Assumptions!$H$62/1000</f>
        <v>1393.2586653347444</v>
      </c>
      <c r="U11" s="74">
        <f>'Price_Technical Assumption'!V38*Assumptions!$H$62/1000</f>
        <v>1403.4554457447869</v>
      </c>
      <c r="V11" s="74">
        <f>'Price_Technical Assumption'!W38*Assumptions!$H$62/1000</f>
        <v>1413.9581295671303</v>
      </c>
      <c r="W11" s="74">
        <f>'Price_Technical Assumption'!X38*Assumptions!$H$62/1000</f>
        <v>1424.7758939041441</v>
      </c>
      <c r="X11" s="74">
        <f>'Price_Technical Assumption'!Y38*Assumptions!$H$62/1000</f>
        <v>1435.9181911712687</v>
      </c>
      <c r="Y11" s="74">
        <f>'Price_Technical Assumption'!Z38*Assumptions!$H$62/1000</f>
        <v>1447.3947573564069</v>
      </c>
      <c r="Z11" s="74">
        <f>'Price_Technical Assumption'!AA38*Assumptions!$H$62/1000</f>
        <v>1459.215620527099</v>
      </c>
      <c r="AA11" s="74">
        <f>'Price_Technical Assumption'!AB38*Assumptions!$H$62/1000</f>
        <v>1471.391109592912</v>
      </c>
      <c r="AB11" s="74">
        <f>'Price_Technical Assumption'!AC38*Assumptions!$H$62/1000</f>
        <v>1483.9318633306993</v>
      </c>
      <c r="AC11" s="74">
        <f>'Price_Technical Assumption'!AD38*Assumptions!$H$62/1000</f>
        <v>1496.8488396806201</v>
      </c>
      <c r="AD11" s="74">
        <f>'Price_Technical Assumption'!AE38*Assumptions!$H$62/1000</f>
        <v>1510.1533253210389</v>
      </c>
      <c r="AE11" s="74">
        <f>'Price_Technical Assumption'!AF38*Assumptions!$H$62/1000</f>
        <v>1523.8569455306699</v>
      </c>
      <c r="AF11" s="74">
        <f>'Price_Technical Assumption'!AG38*Assumptions!$H$62/1000</f>
        <v>1537.9716743465901</v>
      </c>
      <c r="AG11" s="74">
        <f>'Price_Technical Assumption'!AH38*Assumptions!$H$62/1000</f>
        <v>1552.5098450269879</v>
      </c>
    </row>
    <row r="12" spans="1:33">
      <c r="A12" s="211" t="s">
        <v>121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41</v>
      </c>
      <c r="C13" s="65">
        <f t="shared" ref="C13:AG13" si="0">SUM(C10:C12)</f>
        <v>2779.0066464247802</v>
      </c>
      <c r="D13" s="65">
        <f t="shared" si="0"/>
        <v>3545.1758662675238</v>
      </c>
      <c r="E13" s="65">
        <f t="shared" si="0"/>
        <v>3551.5301627055487</v>
      </c>
      <c r="F13" s="65">
        <f t="shared" si="0"/>
        <v>4212.1829393533826</v>
      </c>
      <c r="G13" s="65">
        <f t="shared" si="0"/>
        <v>4533.6819543535657</v>
      </c>
      <c r="H13" s="65">
        <f t="shared" si="0"/>
        <v>4581.3739493490466</v>
      </c>
      <c r="I13" s="65">
        <f t="shared" si="0"/>
        <v>4628.7951796718371</v>
      </c>
      <c r="J13" s="65">
        <f t="shared" si="0"/>
        <v>4675.8864766460792</v>
      </c>
      <c r="K13" s="65">
        <f t="shared" si="0"/>
        <v>4784.5620913954626</v>
      </c>
      <c r="L13" s="65">
        <f t="shared" si="0"/>
        <v>4832.6619465684798</v>
      </c>
      <c r="M13" s="65">
        <f t="shared" si="0"/>
        <v>4946.0408254155354</v>
      </c>
      <c r="N13" s="65">
        <f t="shared" si="0"/>
        <v>4995.097428502806</v>
      </c>
      <c r="O13" s="65">
        <f t="shared" si="0"/>
        <v>5113.3493718078907</v>
      </c>
      <c r="P13" s="65">
        <f t="shared" si="0"/>
        <v>5163.3008614815099</v>
      </c>
      <c r="Q13" s="65">
        <f t="shared" si="0"/>
        <v>5212.5954554874188</v>
      </c>
      <c r="R13" s="65">
        <f t="shared" si="0"/>
        <v>5261.1487837448485</v>
      </c>
      <c r="S13" s="65">
        <f t="shared" si="0"/>
        <v>5308.8720051742857</v>
      </c>
      <c r="T13" s="65">
        <f t="shared" si="0"/>
        <v>5355.6716153706193</v>
      </c>
      <c r="U13" s="65">
        <f t="shared" si="0"/>
        <v>5401.449246760576</v>
      </c>
      <c r="V13" s="65">
        <f t="shared" si="0"/>
        <v>5446.1014609665954</v>
      </c>
      <c r="W13" s="65">
        <f t="shared" si="0"/>
        <v>2779.6904402992268</v>
      </c>
      <c r="X13" s="65">
        <f t="shared" si="0"/>
        <v>1435.9181911712687</v>
      </c>
      <c r="Y13" s="65">
        <f t="shared" si="0"/>
        <v>1447.3947573564069</v>
      </c>
      <c r="Z13" s="65">
        <f t="shared" si="0"/>
        <v>1459.215620527099</v>
      </c>
      <c r="AA13" s="65">
        <f t="shared" si="0"/>
        <v>1471.391109592912</v>
      </c>
      <c r="AB13" s="65">
        <f t="shared" si="0"/>
        <v>1483.9318633306993</v>
      </c>
      <c r="AC13" s="65">
        <f t="shared" si="0"/>
        <v>1496.8488396806201</v>
      </c>
      <c r="AD13" s="65">
        <f t="shared" si="0"/>
        <v>1510.1533253210389</v>
      </c>
      <c r="AE13" s="65">
        <f t="shared" si="0"/>
        <v>1523.8569455306699</v>
      </c>
      <c r="AF13" s="65">
        <f t="shared" si="0"/>
        <v>1537.9716743465901</v>
      </c>
      <c r="AG13" s="65">
        <f t="shared" si="0"/>
        <v>1552.5098450269879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21">
        <f>Assumptions!$H$62*'Price_Technical Assumption'!D30*'Price_Technical Assumption'!D44/1000000</f>
        <v>1053.3659849999999</v>
      </c>
      <c r="D16" s="221">
        <f>Assumptions!$H$62*'Price_Technical Assumption'!E30*'Price_Technical Assumption'!E44/1000000</f>
        <v>1053.3659849999999</v>
      </c>
      <c r="E16" s="221">
        <f>Assumptions!$H$62*'Price_Technical Assumption'!F30*'Price_Technical Assumption'!F44/1000000</f>
        <v>1053.3659849999999</v>
      </c>
      <c r="F16" s="221">
        <f>Assumptions!$H$62*'Price_Technical Assumption'!G30*'Price_Technical Assumption'!G44/1000000</f>
        <v>1053.3659849999999</v>
      </c>
      <c r="G16" s="221">
        <f>Assumptions!$H$62*'Price_Technical Assumption'!H30*'Price_Technical Assumption'!H44/1000000</f>
        <v>1053.3659849999999</v>
      </c>
      <c r="H16" s="221">
        <f>Assumptions!$H$62*'Price_Technical Assumption'!I30*'Price_Technical Assumption'!I44/1000000</f>
        <v>1053.3659849999999</v>
      </c>
      <c r="I16" s="221">
        <f>Assumptions!$H$62*'Price_Technical Assumption'!J30*'Price_Technical Assumption'!J44/1000000</f>
        <v>1053.3659849999999</v>
      </c>
      <c r="J16" s="221">
        <f>Assumptions!$H$62*'Price_Technical Assumption'!K30*'Price_Technical Assumption'!K44/1000000</f>
        <v>1053.3659849999999</v>
      </c>
      <c r="K16" s="221">
        <f>Assumptions!$H$62*'Price_Technical Assumption'!L30*'Price_Technical Assumption'!L44/1000000</f>
        <v>1053.3659849999999</v>
      </c>
      <c r="L16" s="221">
        <f>Assumptions!$H$62*'Price_Technical Assumption'!M30*'Price_Technical Assumption'!M44/1000000</f>
        <v>1053.3659849999999</v>
      </c>
      <c r="M16" s="221">
        <f>Assumptions!$H$62*'Price_Technical Assumption'!N30*'Price_Technical Assumption'!N44/1000000</f>
        <v>1053.3659849999999</v>
      </c>
      <c r="N16" s="221">
        <f>Assumptions!$H$62*'Price_Technical Assumption'!O30*'Price_Technical Assumption'!O44/1000000</f>
        <v>1053.3659849999999</v>
      </c>
      <c r="O16" s="221">
        <f>Assumptions!$H$62*'Price_Technical Assumption'!P30*'Price_Technical Assumption'!P44/1000000</f>
        <v>1053.3659849999999</v>
      </c>
      <c r="P16" s="221">
        <f>Assumptions!$H$62*'Price_Technical Assumption'!Q30*'Price_Technical Assumption'!Q44/1000000</f>
        <v>1053.3659849999999</v>
      </c>
      <c r="Q16" s="221">
        <f>Assumptions!$H$62*'Price_Technical Assumption'!R30*'Price_Technical Assumption'!R44/1000000</f>
        <v>1053.3659849999999</v>
      </c>
      <c r="R16" s="221">
        <f>Assumptions!$H$62*'Price_Technical Assumption'!S30*'Price_Technical Assumption'!S44/1000000</f>
        <v>1053.3659849999999</v>
      </c>
      <c r="S16" s="221">
        <f>Assumptions!$H$62*'Price_Technical Assumption'!T30*'Price_Technical Assumption'!T44/1000000</f>
        <v>1053.3659849999999</v>
      </c>
      <c r="T16" s="221">
        <f>Assumptions!$H$62*'Price_Technical Assumption'!U30*'Price_Technical Assumption'!U44/1000000</f>
        <v>1053.3659849999999</v>
      </c>
      <c r="U16" s="221">
        <f>Assumptions!$H$62*'Price_Technical Assumption'!V30*'Price_Technical Assumption'!V44/1000000</f>
        <v>1053.3659849999999</v>
      </c>
      <c r="V16" s="221">
        <f>Assumptions!$H$62*'Price_Technical Assumption'!W30*'Price_Technical Assumption'!W44/1000000</f>
        <v>1053.3659849999999</v>
      </c>
      <c r="W16" s="221">
        <f>Assumptions!$H$62*'Price_Technical Assumption'!X30*'Price_Technical Assumption'!X44/1000000</f>
        <v>1053.3659849999999</v>
      </c>
      <c r="X16" s="221">
        <f>Assumptions!$H$62*'Price_Technical Assumption'!Y30*'Price_Technical Assumption'!Y44/1000000</f>
        <v>1053.3659849999999</v>
      </c>
      <c r="Y16" s="221">
        <f>Assumptions!$H$62*'Price_Technical Assumption'!Z30*'Price_Technical Assumption'!Z44/1000000</f>
        <v>1053.3659849999999</v>
      </c>
      <c r="Z16" s="221">
        <f>Assumptions!$H$62*'Price_Technical Assumption'!AA30*'Price_Technical Assumption'!AA44/1000000</f>
        <v>1053.3659849999999</v>
      </c>
      <c r="AA16" s="221">
        <f>Assumptions!$H$62*'Price_Technical Assumption'!AB30*'Price_Technical Assumption'!AB44/1000000</f>
        <v>1053.3659849999999</v>
      </c>
      <c r="AB16" s="221">
        <f>Assumptions!$H$62*'Price_Technical Assumption'!AC30*'Price_Technical Assumption'!AC44/1000000</f>
        <v>1053.3659849999999</v>
      </c>
      <c r="AC16" s="221">
        <f>Assumptions!$H$62*'Price_Technical Assumption'!AD30*'Price_Technical Assumption'!AD44/1000000</f>
        <v>1053.3659849999999</v>
      </c>
      <c r="AD16" s="221">
        <f>Assumptions!$H$62*'Price_Technical Assumption'!AE30*'Price_Technical Assumption'!AE44/1000000</f>
        <v>1053.3659849999999</v>
      </c>
      <c r="AE16" s="221">
        <f>Assumptions!$H$62*'Price_Technical Assumption'!AF30*'Price_Technical Assumption'!AF44/1000000</f>
        <v>1053.3659849999999</v>
      </c>
      <c r="AF16" s="221">
        <f>Assumptions!$H$62*'Price_Technical Assumption'!AG30*'Price_Technical Assumption'!AG44/1000000</f>
        <v>1053.3659849999999</v>
      </c>
      <c r="AG16" s="221">
        <f>Assumptions!$H$62*'Price_Technical Assumption'!AH30*'Price_Technical Assumption'!AH44/1000000</f>
        <v>1053.3659849999999</v>
      </c>
    </row>
    <row r="17" spans="1:47">
      <c r="A17" s="3" t="s">
        <v>206</v>
      </c>
      <c r="C17" s="74">
        <f>Assumptions!$N19*C6</f>
        <v>322.62066666666664</v>
      </c>
      <c r="D17" s="74">
        <f>Assumptions!$N19*(1+Assumptions!$N$11)</f>
        <v>498.44893000000002</v>
      </c>
      <c r="E17" s="74">
        <f>D17*(1+Assumptions!$N$11)</f>
        <v>513.40239789999998</v>
      </c>
      <c r="F17" s="74">
        <f>E17*(1+Assumptions!$N$11)</f>
        <v>528.80446983699994</v>
      </c>
      <c r="G17" s="74">
        <f>F17*(1+Assumptions!$N$11)</f>
        <v>544.66860393210993</v>
      </c>
      <c r="H17" s="74">
        <f>G17*(1+Assumptions!$N$11)</f>
        <v>561.00866205007321</v>
      </c>
      <c r="I17" s="74">
        <f>H17*(1+Assumptions!$N$11)</f>
        <v>577.83892191157543</v>
      </c>
      <c r="J17" s="74">
        <f>I17*(1+Assumptions!$N$11)</f>
        <v>595.17408956892268</v>
      </c>
      <c r="K17" s="74">
        <f>J17*(1+Assumptions!$N$11)</f>
        <v>613.02931225599036</v>
      </c>
      <c r="L17" s="74">
        <f>K17*(1+Assumptions!$N$11)</f>
        <v>631.42019162367012</v>
      </c>
      <c r="M17" s="74">
        <f>L17*(1+Assumptions!$N$11)</f>
        <v>650.36279737238021</v>
      </c>
      <c r="N17" s="74">
        <f>M17*(1+Assumptions!$N$11)</f>
        <v>669.87368129355161</v>
      </c>
      <c r="O17" s="74">
        <f>N17*(1+Assumptions!$N$11)</f>
        <v>689.96989173235818</v>
      </c>
      <c r="P17" s="74">
        <f>O17*(1+Assumptions!$N$11)</f>
        <v>710.66898848432891</v>
      </c>
      <c r="Q17" s="74">
        <f>P17*(1+Assumptions!$N$11)</f>
        <v>731.98905813885881</v>
      </c>
      <c r="R17" s="74">
        <f>Q17*(1+Assumptions!$N$11)</f>
        <v>753.94872988302461</v>
      </c>
      <c r="S17" s="74">
        <f>R17*(1+Assumptions!$N$11)</f>
        <v>776.56719177951538</v>
      </c>
      <c r="T17" s="74">
        <f>S17*(1+Assumptions!$N$11)</f>
        <v>799.86420753290088</v>
      </c>
      <c r="U17" s="74">
        <f>T17*(1+Assumptions!$N$11)</f>
        <v>823.86013375888797</v>
      </c>
      <c r="V17" s="74">
        <f>U17*(1+Assumptions!$N$11)</f>
        <v>848.57593777165459</v>
      </c>
      <c r="W17" s="74">
        <f>V17*(1+Assumptions!$N$11)</f>
        <v>874.03321590480425</v>
      </c>
      <c r="X17" s="74">
        <f>W17*(1+Assumptions!$N$11)</f>
        <v>900.25421238194838</v>
      </c>
      <c r="Y17" s="74">
        <f>X17*(1+Assumptions!$N$11)</f>
        <v>927.26183875340689</v>
      </c>
      <c r="Z17" s="74">
        <f>Y17*(1+Assumptions!$N$11)</f>
        <v>955.07969391600909</v>
      </c>
      <c r="AA17" s="74">
        <f>Z17*(1+Assumptions!$N$11)</f>
        <v>983.73208473348939</v>
      </c>
      <c r="AB17" s="74">
        <f>AA17*(1+Assumptions!$N$11)</f>
        <v>1013.244047275494</v>
      </c>
      <c r="AC17" s="74">
        <f>AB17*(1+Assumptions!$N$11)</f>
        <v>1043.641368693759</v>
      </c>
      <c r="AD17" s="74">
        <f>AC17*(1+Assumptions!$N$11)</f>
        <v>1074.9506097545718</v>
      </c>
      <c r="AE17" s="74">
        <f>AD17*(1+Assumptions!$N$11)</f>
        <v>1107.1991280472089</v>
      </c>
      <c r="AF17" s="74">
        <f>AE17*(1+Assumptions!$N$11)</f>
        <v>1140.4151018886253</v>
      </c>
      <c r="AG17" s="74">
        <f>AF17*(1+Assumptions!$N$11)</f>
        <v>1174.6275549452841</v>
      </c>
    </row>
    <row r="18" spans="1:47">
      <c r="A18" s="3" t="s">
        <v>252</v>
      </c>
      <c r="C18" s="221">
        <f>+(Assumptions!$P$15*Assumptions!$H$62)/1000*(1+Assumptions!$N$11)^IS!C6</f>
        <v>70.061610571173375</v>
      </c>
      <c r="D18" s="74">
        <f>C18*(1+Assumptions!$N$11)</f>
        <v>72.163458888308583</v>
      </c>
      <c r="E18" s="74">
        <f>D18*(1+Assumptions!$N$11)</f>
        <v>74.328362654957843</v>
      </c>
      <c r="F18" s="74">
        <f>E18*(1+Assumptions!$N$11)</f>
        <v>76.55821353460658</v>
      </c>
      <c r="G18" s="74">
        <f>F18*(1+Assumptions!$N$11)</f>
        <v>78.854959940644775</v>
      </c>
      <c r="H18" s="74">
        <f>G18*(1+Assumptions!$N$11)</f>
        <v>81.220608738864115</v>
      </c>
      <c r="I18" s="74">
        <f>H18*(1+Assumptions!$N$11)</f>
        <v>83.657227001030037</v>
      </c>
      <c r="J18" s="74">
        <f>I18*(1+Assumptions!$N$11)</f>
        <v>86.166943811060946</v>
      </c>
      <c r="K18" s="74">
        <f>J18*(1+Assumptions!$N$11)</f>
        <v>88.751952125392776</v>
      </c>
      <c r="L18" s="74">
        <f>K18*(1+Assumptions!$N$11)</f>
        <v>91.414510689154568</v>
      </c>
      <c r="M18" s="74">
        <f>L18*(1+Assumptions!$N$11)</f>
        <v>94.156946009829213</v>
      </c>
      <c r="N18" s="74">
        <f>M18*(1+Assumptions!$N$11)</f>
        <v>96.981654390124092</v>
      </c>
      <c r="O18" s="74">
        <f>N18*(1+Assumptions!$N$11)</f>
        <v>99.891104021827815</v>
      </c>
      <c r="P18" s="74">
        <f>O18*(1+Assumptions!$N$11)</f>
        <v>102.88783714248265</v>
      </c>
      <c r="Q18" s="74">
        <f>P18*(1+Assumptions!$N$11)</f>
        <v>105.97447225675714</v>
      </c>
      <c r="R18" s="74">
        <f>Q18*(1+Assumptions!$N$11)</f>
        <v>109.15370642445986</v>
      </c>
      <c r="S18" s="74">
        <f>R18*(1+Assumptions!$N$11)</f>
        <v>112.42831761719366</v>
      </c>
      <c r="T18" s="74">
        <f>S18*(1+Assumptions!$N$11)</f>
        <v>115.80116714570947</v>
      </c>
      <c r="U18" s="74">
        <f>T18*(1+Assumptions!$N$11)</f>
        <v>119.27520216008075</v>
      </c>
      <c r="V18" s="74">
        <f>U18*(1+Assumptions!$N$11)</f>
        <v>122.85345822488318</v>
      </c>
      <c r="W18" s="74">
        <f>V18*(1+Assumptions!$N$11)</f>
        <v>126.53906197162968</v>
      </c>
      <c r="X18" s="74">
        <f>W18*(1+Assumptions!$N$11)</f>
        <v>130.33523383077858</v>
      </c>
      <c r="Y18" s="74">
        <f>X18*(1+Assumptions!$N$11)</f>
        <v>134.24529084570193</v>
      </c>
      <c r="Z18" s="74">
        <f>Y18*(1+Assumptions!$N$11)</f>
        <v>138.272649571073</v>
      </c>
      <c r="AA18" s="74">
        <f>Z18*(1+Assumptions!$N$11)</f>
        <v>142.42082905820519</v>
      </c>
      <c r="AB18" s="74">
        <f>AA18*(1+Assumptions!$N$11)</f>
        <v>146.69345392995135</v>
      </c>
      <c r="AC18" s="74">
        <f>AB18*(1+Assumptions!$N$11)</f>
        <v>151.09425754784988</v>
      </c>
      <c r="AD18" s="74">
        <f>AC18*(1+Assumptions!$N$11)</f>
        <v>155.62708527428538</v>
      </c>
      <c r="AE18" s="74">
        <f>AD18*(1+Assumptions!$N$11)</f>
        <v>160.29589783251393</v>
      </c>
      <c r="AF18" s="74">
        <f>AE18*(1+Assumptions!$N$11)</f>
        <v>165.10477476748935</v>
      </c>
      <c r="AG18" s="74">
        <f>AF18*(1+Assumptions!$N$11)</f>
        <v>170.05791801051404</v>
      </c>
    </row>
    <row r="19" spans="1:47">
      <c r="A19" s="3" t="s">
        <v>253</v>
      </c>
      <c r="C19" s="74">
        <f>Assumptions!$P$16*Assumptions!$H$62/1000*(1+Assumptions!$N$11)^IS!C6</f>
        <v>135.57905085360656</v>
      </c>
      <c r="D19" s="74">
        <f>C19*(1+Assumptions!$N$11)</f>
        <v>139.64642237921475</v>
      </c>
      <c r="E19" s="74">
        <f>D19*(1+Assumptions!$N$11)</f>
        <v>143.83581505059121</v>
      </c>
      <c r="F19" s="74">
        <f>E19*(1+Assumptions!$N$11)</f>
        <v>148.15088950210895</v>
      </c>
      <c r="G19" s="74">
        <f>F19*(1+Assumptions!$N$11)</f>
        <v>152.59541618717222</v>
      </c>
      <c r="H19" s="74">
        <f>G19*(1+Assumptions!$N$11)</f>
        <v>157.17327867278738</v>
      </c>
      <c r="I19" s="74">
        <f>H19*(1+Assumptions!$N$11)</f>
        <v>161.888477032971</v>
      </c>
      <c r="J19" s="74">
        <f>I19*(1+Assumptions!$N$11)</f>
        <v>166.74513134396014</v>
      </c>
      <c r="K19" s="74">
        <f>J19*(1+Assumptions!$N$11)</f>
        <v>171.74748528427895</v>
      </c>
      <c r="L19" s="74">
        <f>K19*(1+Assumptions!$N$11)</f>
        <v>176.89990984280732</v>
      </c>
      <c r="M19" s="74">
        <f>L19*(1+Assumptions!$N$11)</f>
        <v>182.20690713809154</v>
      </c>
      <c r="N19" s="74">
        <f>M19*(1+Assumptions!$N$11)</f>
        <v>187.67311435223428</v>
      </c>
      <c r="O19" s="74">
        <f>N19*(1+Assumptions!$N$11)</f>
        <v>193.30330778280131</v>
      </c>
      <c r="P19" s="74">
        <f>O19*(1+Assumptions!$N$11)</f>
        <v>199.10240701628535</v>
      </c>
      <c r="Q19" s="74">
        <f>P19*(1+Assumptions!$N$11)</f>
        <v>205.07547922677392</v>
      </c>
      <c r="R19" s="74">
        <f>Q19*(1+Assumptions!$N$11)</f>
        <v>211.22774360357715</v>
      </c>
      <c r="S19" s="74">
        <f>R19*(1+Assumptions!$N$11)</f>
        <v>217.56457591168447</v>
      </c>
      <c r="T19" s="74">
        <f>S19*(1+Assumptions!$N$11)</f>
        <v>224.091513189035</v>
      </c>
      <c r="U19" s="74">
        <f>T19*(1+Assumptions!$N$11)</f>
        <v>230.81425858470607</v>
      </c>
      <c r="V19" s="74">
        <f>U19*(1+Assumptions!$N$11)</f>
        <v>237.73868634224726</v>
      </c>
      <c r="W19" s="74">
        <f>V19*(1+Assumptions!$N$11)</f>
        <v>244.8708469325147</v>
      </c>
      <c r="X19" s="74">
        <f>W19*(1+Assumptions!$N$11)</f>
        <v>252.21697234049014</v>
      </c>
      <c r="Y19" s="74">
        <f>X19*(1+Assumptions!$N$11)</f>
        <v>259.78348151070486</v>
      </c>
      <c r="Z19" s="74">
        <f>Y19*(1+Assumptions!$N$11)</f>
        <v>267.57698595602602</v>
      </c>
      <c r="AA19" s="74">
        <f>Z19*(1+Assumptions!$N$11)</f>
        <v>275.60429553470681</v>
      </c>
      <c r="AB19" s="74">
        <f>AA19*(1+Assumptions!$N$11)</f>
        <v>283.872424400748</v>
      </c>
      <c r="AC19" s="74">
        <f>AB19*(1+Assumptions!$N$11)</f>
        <v>292.38859713277043</v>
      </c>
      <c r="AD19" s="74">
        <f>AC19*(1+Assumptions!$N$11)</f>
        <v>301.16025504675355</v>
      </c>
      <c r="AE19" s="74">
        <f>AD19*(1+Assumptions!$N$11)</f>
        <v>310.19506269815616</v>
      </c>
      <c r="AF19" s="74">
        <f>AE19*(1+Assumptions!$N$11)</f>
        <v>319.50091457910088</v>
      </c>
      <c r="AG19" s="74">
        <f>AF19*(1+Assumptions!$N$11)</f>
        <v>329.08594201647389</v>
      </c>
    </row>
    <row r="20" spans="1:47">
      <c r="A20" s="3" t="s">
        <v>35</v>
      </c>
      <c r="C20" s="74">
        <f>Assumptions!$N20*Assumptions!H18/12</f>
        <v>74.666666666666671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120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218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208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212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53.715484244963946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80.573226367445926</v>
      </c>
      <c r="T26" s="74">
        <f>IF(T8&lt;Assumptions!$G$34,Assumptions!$G$42*Assumptions!$G$41,IF(AND(T8&gt;Assumptions!$G$34,S8&lt;Assumptions!$G$34),Assumptions!$G$42*Assumptions!$G$41*(1-$C$6),0))</f>
        <v>80.573226367445926</v>
      </c>
      <c r="U26" s="74">
        <f>IF(U8&lt;Assumptions!$G$34,Assumptions!$G$42*Assumptions!$G$41,IF(AND(U8&gt;Assumptions!$G$34,T8&lt;Assumptions!$G$34),Assumptions!$G$42*Assumptions!$G$41*(1-$C$6),0))</f>
        <v>80.573226367445926</v>
      </c>
      <c r="V26" s="74">
        <f>IF(V8&lt;Assumptions!$G$34,Assumptions!$G$42*Assumptions!$G$41,IF(AND(V8&gt;Assumptions!$G$34,U8&lt;Assumptions!$G$34),Assumptions!$G$42*Assumptions!$G$41*(1-$C$6),0))</f>
        <v>80.573226367445926</v>
      </c>
      <c r="W26" s="74">
        <f>IF(W8&lt;Assumptions!$G$34,Assumptions!$G$42*Assumptions!$G$41,IF(AND(W8&gt;Assumptions!$G$34,V8&lt;Assumptions!$G$34),Assumptions!$G$42*Assumptions!$G$41*(1-$C$6),0))</f>
        <v>26.85774212248198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84</v>
      </c>
      <c r="D29" s="75">
        <f>Assumptions!$N25*(1+Assumptions!$N$11)</f>
        <v>129.78</v>
      </c>
      <c r="E29" s="75">
        <f>D29*(1+Assumptions!$N$11)</f>
        <v>133.67340000000002</v>
      </c>
      <c r="F29" s="75">
        <f>E29*(1+Assumptions!$N$11)</f>
        <v>137.68360200000001</v>
      </c>
      <c r="G29" s="75">
        <f>F29*(1+Assumptions!$N$11)</f>
        <v>141.81411006000002</v>
      </c>
      <c r="H29" s="75">
        <f>G29*(1+Assumptions!$N$11)</f>
        <v>146.06853336180004</v>
      </c>
      <c r="I29" s="75">
        <f>H29*(1+Assumptions!$N$11)</f>
        <v>150.45058936265403</v>
      </c>
      <c r="J29" s="75">
        <f>I29*(1+Assumptions!$N$11)</f>
        <v>154.96410704353366</v>
      </c>
      <c r="K29" s="75">
        <f>J29*(1+Assumptions!$N$11)</f>
        <v>159.61303025483969</v>
      </c>
      <c r="L29" s="75">
        <f>K29*(1+Assumptions!$N$11)</f>
        <v>164.40142116248489</v>
      </c>
      <c r="M29" s="75">
        <f>L29*(1+Assumptions!$N$11)</f>
        <v>169.33346379735946</v>
      </c>
      <c r="N29" s="75">
        <f>M29*(1+Assumptions!$N$11)</f>
        <v>174.41346771128025</v>
      </c>
      <c r="O29" s="75">
        <f>N29*(1+Assumptions!$N$11)</f>
        <v>179.64587174261865</v>
      </c>
      <c r="P29" s="75">
        <f>O29*(1+Assumptions!$N$11)</f>
        <v>185.03524789489722</v>
      </c>
      <c r="Q29" s="75">
        <f>P29*(1+Assumptions!$N$11)</f>
        <v>190.58630533174414</v>
      </c>
      <c r="R29" s="75">
        <f>Q29*(1+Assumptions!$N$11)</f>
        <v>196.30389449169647</v>
      </c>
      <c r="S29" s="75">
        <f>R29*(1+Assumptions!$N$11)</f>
        <v>202.19301132644736</v>
      </c>
      <c r="T29" s="75">
        <f>S29*(1+Assumptions!$N$11)</f>
        <v>208.2588016662408</v>
      </c>
      <c r="U29" s="75">
        <f>T29*(1+Assumptions!$N$11)</f>
        <v>214.50656571622804</v>
      </c>
      <c r="V29" s="75">
        <f>U29*(1+Assumptions!$N$11)</f>
        <v>220.94176268771488</v>
      </c>
      <c r="W29" s="75">
        <f>V29*(1+Assumptions!$N$11)</f>
        <v>227.57001556834635</v>
      </c>
      <c r="X29" s="75">
        <f>W29*(1+Assumptions!$N$11)</f>
        <v>234.39711603539675</v>
      </c>
      <c r="Y29" s="75">
        <f>X29*(1+Assumptions!$N$11)</f>
        <v>241.42902951645866</v>
      </c>
      <c r="Z29" s="75">
        <f>Y29*(1+Assumptions!$N$11)</f>
        <v>248.67190040195243</v>
      </c>
      <c r="AA29" s="75">
        <f>Z29*(1+Assumptions!$N$11)</f>
        <v>256.132057414011</v>
      </c>
      <c r="AB29" s="75">
        <f>AA29*(1+Assumptions!$N$11)</f>
        <v>263.81601913643135</v>
      </c>
      <c r="AC29" s="75">
        <f>AB29*(1+Assumptions!$N$11)</f>
        <v>271.73049971052427</v>
      </c>
      <c r="AD29" s="75">
        <f>AC29*(1+Assumptions!$N$11)</f>
        <v>279.88241470183999</v>
      </c>
      <c r="AE29" s="75">
        <f>AD29*(1+Assumptions!$N$11)</f>
        <v>288.2788871428952</v>
      </c>
      <c r="AF29" s="75">
        <f>AE29*(1+Assumptions!$N$11)</f>
        <v>296.92725375718209</v>
      </c>
      <c r="AG29" s="75">
        <f>AF29*(1+Assumptions!$N$11)</f>
        <v>305.83507136989755</v>
      </c>
    </row>
    <row r="30" spans="1:47">
      <c r="A30" s="3" t="s">
        <v>47</v>
      </c>
      <c r="C30" s="65">
        <f t="shared" ref="C30:X30" si="1">SUM(C16:C29)</f>
        <v>2314.009464003077</v>
      </c>
      <c r="D30" s="65">
        <f t="shared" si="1"/>
        <v>2682.7380226349692</v>
      </c>
      <c r="E30" s="65">
        <f t="shared" si="1"/>
        <v>2725.1219869729948</v>
      </c>
      <c r="F30" s="65">
        <f t="shared" si="1"/>
        <v>2768.6958702411616</v>
      </c>
      <c r="G30" s="65">
        <f t="shared" si="1"/>
        <v>2813.4937380073725</v>
      </c>
      <c r="H30" s="65">
        <f t="shared" si="1"/>
        <v>2859.5506451665706</v>
      </c>
      <c r="I30" s="65">
        <f t="shared" si="1"/>
        <v>2906.9026649677444</v>
      </c>
      <c r="J30" s="65">
        <f t="shared" si="1"/>
        <v>2955.5869188986971</v>
      </c>
      <c r="K30" s="65">
        <f t="shared" si="1"/>
        <v>3005.6416074540375</v>
      </c>
      <c r="L30" s="65">
        <f t="shared" si="1"/>
        <v>3057.1060418126262</v>
      </c>
      <c r="M30" s="65">
        <f t="shared" si="1"/>
        <v>3110.0206764514924</v>
      </c>
      <c r="N30" s="65">
        <f t="shared" si="1"/>
        <v>3164.4271427240351</v>
      </c>
      <c r="O30" s="65">
        <f t="shared" si="1"/>
        <v>3220.3682834311544</v>
      </c>
      <c r="P30" s="65">
        <f t="shared" si="1"/>
        <v>3277.888188414815</v>
      </c>
      <c r="Q30" s="65">
        <f t="shared" si="1"/>
        <v>3337.0322312044209</v>
      </c>
      <c r="R30" s="65">
        <f t="shared" si="1"/>
        <v>3397.8471067472792</v>
      </c>
      <c r="S30" s="65">
        <f t="shared" si="1"/>
        <v>3460.3808702553779</v>
      </c>
      <c r="T30" s="65">
        <f t="shared" si="1"/>
        <v>3524.6829772016536</v>
      </c>
      <c r="U30" s="65">
        <f t="shared" si="1"/>
        <v>3590.8043244999103</v>
      </c>
      <c r="V30" s="65">
        <f t="shared" si="1"/>
        <v>3658.7972929035786</v>
      </c>
      <c r="W30" s="65">
        <f t="shared" si="1"/>
        <v>3675.0003064145876</v>
      </c>
      <c r="X30" s="65">
        <f t="shared" si="1"/>
        <v>3720.0420720869561</v>
      </c>
      <c r="Y30" s="65">
        <f t="shared" ref="Y30:AG30" si="2">SUM(Y16:Y29)</f>
        <v>3793.9796893239732</v>
      </c>
      <c r="Z30" s="65">
        <f t="shared" si="2"/>
        <v>3870.0141817705885</v>
      </c>
      <c r="AA30" s="65">
        <f t="shared" si="2"/>
        <v>3948.2060306169406</v>
      </c>
      <c r="AB30" s="65">
        <f t="shared" si="2"/>
        <v>4028.6174829875481</v>
      </c>
      <c r="AC30" s="65">
        <f t="shared" si="2"/>
        <v>4111.3126039493154</v>
      </c>
      <c r="AD30" s="65">
        <f t="shared" si="2"/>
        <v>4196.3573300603794</v>
      </c>
      <c r="AE30" s="65">
        <f t="shared" si="2"/>
        <v>4283.8195245056268</v>
      </c>
      <c r="AF30" s="65">
        <f t="shared" si="2"/>
        <v>4373.7690338660996</v>
      </c>
      <c r="AG30" s="65">
        <f t="shared" si="2"/>
        <v>4466.2777465708923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48</v>
      </c>
      <c r="C32" s="124">
        <f t="shared" ref="C32:X32" si="3">C13-C30</f>
        <v>464.9971824217032</v>
      </c>
      <c r="D32" s="124">
        <f t="shared" si="3"/>
        <v>862.43784363255463</v>
      </c>
      <c r="E32" s="124">
        <f t="shared" si="3"/>
        <v>826.4081757325539</v>
      </c>
      <c r="F32" s="124">
        <f t="shared" si="3"/>
        <v>1443.487069112221</v>
      </c>
      <c r="G32" s="124">
        <f t="shared" si="3"/>
        <v>1720.1882163461933</v>
      </c>
      <c r="H32" s="124">
        <f t="shared" si="3"/>
        <v>1721.823304182476</v>
      </c>
      <c r="I32" s="124">
        <f t="shared" si="3"/>
        <v>1721.8925147040927</v>
      </c>
      <c r="J32" s="124">
        <f t="shared" si="3"/>
        <v>1720.2995577473821</v>
      </c>
      <c r="K32" s="124">
        <f t="shared" si="3"/>
        <v>1778.9204839414251</v>
      </c>
      <c r="L32" s="124">
        <f t="shared" si="3"/>
        <v>1775.5559047558536</v>
      </c>
      <c r="M32" s="124">
        <f t="shared" si="3"/>
        <v>1836.0201489640431</v>
      </c>
      <c r="N32" s="124">
        <f t="shared" si="3"/>
        <v>1830.6702857787709</v>
      </c>
      <c r="O32" s="124">
        <f t="shared" si="3"/>
        <v>1892.9810883767364</v>
      </c>
      <c r="P32" s="124">
        <f t="shared" si="3"/>
        <v>1885.4126730666949</v>
      </c>
      <c r="Q32" s="124">
        <f t="shared" si="3"/>
        <v>1875.5632242829979</v>
      </c>
      <c r="R32" s="124">
        <f t="shared" si="3"/>
        <v>1863.3016769975693</v>
      </c>
      <c r="S32" s="124">
        <f t="shared" si="3"/>
        <v>1848.4911349189078</v>
      </c>
      <c r="T32" s="124">
        <f t="shared" si="3"/>
        <v>1830.9886381689657</v>
      </c>
      <c r="U32" s="124">
        <f t="shared" si="3"/>
        <v>1810.6449222606657</v>
      </c>
      <c r="V32" s="124">
        <f t="shared" si="3"/>
        <v>1787.3041680630167</v>
      </c>
      <c r="W32" s="124">
        <f t="shared" si="3"/>
        <v>-895.30986611536082</v>
      </c>
      <c r="X32" s="124">
        <f t="shared" si="3"/>
        <v>-2284.1238809156876</v>
      </c>
      <c r="Y32" s="124">
        <f t="shared" ref="Y32:AG32" si="4">Y13-Y30</f>
        <v>-2346.5849319675663</v>
      </c>
      <c r="Z32" s="124">
        <f t="shared" si="4"/>
        <v>-2410.7985612434895</v>
      </c>
      <c r="AA32" s="124">
        <f t="shared" si="4"/>
        <v>-2476.8149210240285</v>
      </c>
      <c r="AB32" s="124">
        <f t="shared" si="4"/>
        <v>-2544.6856196568488</v>
      </c>
      <c r="AC32" s="124">
        <f t="shared" si="4"/>
        <v>-2614.4637642686953</v>
      </c>
      <c r="AD32" s="124">
        <f t="shared" si="4"/>
        <v>-2686.2040047393402</v>
      </c>
      <c r="AE32" s="124">
        <f t="shared" si="4"/>
        <v>-2759.9625789749571</v>
      </c>
      <c r="AF32" s="124">
        <f t="shared" si="4"/>
        <v>-2835.7973595195094</v>
      </c>
      <c r="AG32" s="124">
        <f t="shared" si="4"/>
        <v>-2913.7679015439044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49</v>
      </c>
      <c r="C34" s="65">
        <f>Depreciation!D48</f>
        <v>844.18927940093567</v>
      </c>
      <c r="D34" s="65">
        <f>Depreciation!E48</f>
        <v>1266.2839191014036</v>
      </c>
      <c r="E34" s="65">
        <f>Depreciation!F48</f>
        <v>1266.2839191014036</v>
      </c>
      <c r="F34" s="65">
        <f>Depreciation!G48</f>
        <v>1266.2839191014036</v>
      </c>
      <c r="G34" s="65">
        <f>Depreciation!H48</f>
        <v>1266.2839191014036</v>
      </c>
      <c r="H34" s="65">
        <f>Depreciation!I48</f>
        <v>963.34765243473703</v>
      </c>
      <c r="I34" s="65">
        <f>Depreciation!J48</f>
        <v>811.87951910140362</v>
      </c>
      <c r="J34" s="65">
        <f>Depreciation!K48</f>
        <v>811.87951910140362</v>
      </c>
      <c r="K34" s="65">
        <f>Depreciation!L48</f>
        <v>811.87951910140362</v>
      </c>
      <c r="L34" s="65">
        <f>Depreciation!M48</f>
        <v>811.87951910140362</v>
      </c>
      <c r="M34" s="65">
        <f>Depreciation!N48</f>
        <v>811.87951910140362</v>
      </c>
      <c r="N34" s="65">
        <f>Depreciation!O48</f>
        <v>811.87951910140362</v>
      </c>
      <c r="O34" s="65">
        <f>Depreciation!P48</f>
        <v>811.87951910140362</v>
      </c>
      <c r="P34" s="65">
        <f>Depreciation!Q48</f>
        <v>811.87951910140362</v>
      </c>
      <c r="Q34" s="65">
        <f>Depreciation!R48</f>
        <v>811.87951910140362</v>
      </c>
      <c r="R34" s="65">
        <f>Depreciation!S48</f>
        <v>811.87951910140362</v>
      </c>
      <c r="S34" s="65">
        <f>Depreciation!T48</f>
        <v>811.87951910140362</v>
      </c>
      <c r="T34" s="65">
        <f>Depreciation!U48</f>
        <v>811.87951910140362</v>
      </c>
      <c r="U34" s="65">
        <f>Depreciation!V48</f>
        <v>811.87951910140362</v>
      </c>
      <c r="V34" s="65">
        <f>Depreciation!W48</f>
        <v>811.87951910140362</v>
      </c>
      <c r="W34" s="65">
        <f>Depreciation!X48</f>
        <v>811.87951910140362</v>
      </c>
      <c r="X34" s="65">
        <f>Depreciation!Y48</f>
        <v>811.87951910140362</v>
      </c>
      <c r="Y34" s="65">
        <f>Depreciation!Z48</f>
        <v>811.87951910140362</v>
      </c>
      <c r="Z34" s="65">
        <f>Depreciation!AA48</f>
        <v>811.87951910140362</v>
      </c>
      <c r="AA34" s="65">
        <f>Depreciation!AB48</f>
        <v>811.87951910140362</v>
      </c>
      <c r="AB34" s="65">
        <f>Depreciation!AC48</f>
        <v>811.87951910140362</v>
      </c>
      <c r="AC34" s="65">
        <f>Depreciation!AD48</f>
        <v>811.87951910140362</v>
      </c>
      <c r="AD34" s="65">
        <f>Depreciation!AE48</f>
        <v>811.87951910140362</v>
      </c>
      <c r="AE34" s="65">
        <f>Depreciation!AF48</f>
        <v>811.87951910140362</v>
      </c>
      <c r="AF34" s="65">
        <f>Depreciation!AG48</f>
        <v>811.87951910140362</v>
      </c>
      <c r="AG34" s="65">
        <f>Depreciation!AH48</f>
        <v>270.6265063671346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4">
        <f>C32-C34</f>
        <v>-379.19209697923247</v>
      </c>
      <c r="D36" s="124">
        <f t="shared" ref="D36:X36" si="5">D32-D34</f>
        <v>-403.84607546884899</v>
      </c>
      <c r="E36" s="124">
        <f t="shared" si="5"/>
        <v>-439.87574336884973</v>
      </c>
      <c r="F36" s="124">
        <f t="shared" si="5"/>
        <v>177.20315001081735</v>
      </c>
      <c r="G36" s="124">
        <f t="shared" si="5"/>
        <v>453.90429724478963</v>
      </c>
      <c r="H36" s="124">
        <f t="shared" si="5"/>
        <v>758.47565174773899</v>
      </c>
      <c r="I36" s="124">
        <f t="shared" si="5"/>
        <v>910.0129956026891</v>
      </c>
      <c r="J36" s="124">
        <f t="shared" si="5"/>
        <v>908.42003864597848</v>
      </c>
      <c r="K36" s="124">
        <f t="shared" si="5"/>
        <v>967.0409648400215</v>
      </c>
      <c r="L36" s="124">
        <f t="shared" si="5"/>
        <v>963.67638565444997</v>
      </c>
      <c r="M36" s="124">
        <f t="shared" si="5"/>
        <v>1024.1406298626393</v>
      </c>
      <c r="N36" s="124">
        <f t="shared" si="5"/>
        <v>1018.7907666773673</v>
      </c>
      <c r="O36" s="124">
        <f t="shared" si="5"/>
        <v>1081.1015692753326</v>
      </c>
      <c r="P36" s="124">
        <f t="shared" si="5"/>
        <v>1073.5331539652911</v>
      </c>
      <c r="Q36" s="124">
        <f t="shared" si="5"/>
        <v>1063.6837051815942</v>
      </c>
      <c r="R36" s="124">
        <f t="shared" si="5"/>
        <v>1051.4221578961656</v>
      </c>
      <c r="S36" s="124">
        <f t="shared" si="5"/>
        <v>1036.6116158175041</v>
      </c>
      <c r="T36" s="124">
        <f t="shared" si="5"/>
        <v>1019.1091190675621</v>
      </c>
      <c r="U36" s="124">
        <f t="shared" si="5"/>
        <v>998.76540315926206</v>
      </c>
      <c r="V36" s="124">
        <f t="shared" si="5"/>
        <v>975.42464896161312</v>
      </c>
      <c r="W36" s="124">
        <f t="shared" si="5"/>
        <v>-1707.1893852167645</v>
      </c>
      <c r="X36" s="124">
        <f t="shared" si="5"/>
        <v>-3096.0034000170913</v>
      </c>
      <c r="Y36" s="124">
        <f t="shared" ref="Y36:AG36" si="6">Y32-Y34</f>
        <v>-3158.46445106897</v>
      </c>
      <c r="Z36" s="124">
        <f t="shared" si="6"/>
        <v>-3222.6780803448933</v>
      </c>
      <c r="AA36" s="124">
        <f t="shared" si="6"/>
        <v>-3288.6944401254323</v>
      </c>
      <c r="AB36" s="124">
        <f t="shared" si="6"/>
        <v>-3356.5651387582525</v>
      </c>
      <c r="AC36" s="124">
        <f t="shared" si="6"/>
        <v>-3426.343283370099</v>
      </c>
      <c r="AD36" s="124">
        <f t="shared" si="6"/>
        <v>-3498.083523840744</v>
      </c>
      <c r="AE36" s="124">
        <f t="shared" si="6"/>
        <v>-3571.8420980763608</v>
      </c>
      <c r="AF36" s="124">
        <f t="shared" si="6"/>
        <v>-3647.6768786209132</v>
      </c>
      <c r="AG36" s="124">
        <f t="shared" si="6"/>
        <v>-3184.3944079110388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136</v>
      </c>
      <c r="C38" s="65">
        <f>Debt!B57</f>
        <v>622.02546741763422</v>
      </c>
      <c r="D38" s="65">
        <f>Debt!C57</f>
        <v>952.3706611832032</v>
      </c>
      <c r="E38" s="65">
        <f>Debt!D57</f>
        <v>978.92567975633506</v>
      </c>
      <c r="F38" s="65">
        <f>Debt!E57</f>
        <v>992.75003283365686</v>
      </c>
      <c r="G38" s="65">
        <f>Debt!F57</f>
        <v>981.133720108131</v>
      </c>
      <c r="H38" s="65">
        <f>Debt!G57</f>
        <v>954.56440546883834</v>
      </c>
      <c r="I38" s="65">
        <f>Debt!H57</f>
        <v>923.42865391654664</v>
      </c>
      <c r="J38" s="65">
        <f>Debt!I57</f>
        <v>889.79555855153114</v>
      </c>
      <c r="K38" s="65">
        <f>Debt!J57</f>
        <v>851.74226461966691</v>
      </c>
      <c r="L38" s="65">
        <f>Debt!K57</f>
        <v>808.82352710187229</v>
      </c>
      <c r="M38" s="65">
        <f>Debt!L57</f>
        <v>760.44167499518915</v>
      </c>
      <c r="N38" s="65">
        <f>Debt!M57</f>
        <v>706.2856627994247</v>
      </c>
      <c r="O38" s="65">
        <f>Debt!N57</f>
        <v>645.49709705642624</v>
      </c>
      <c r="P38" s="65">
        <f>Debt!O57</f>
        <v>577.9610017394034</v>
      </c>
      <c r="Q38" s="65">
        <f>Debt!P57</f>
        <v>504.68254333102328</v>
      </c>
      <c r="R38" s="65">
        <f>Debt!Q57</f>
        <v>426.02909833050757</v>
      </c>
      <c r="S38" s="65">
        <f>Debt!R57</f>
        <v>341.31730837181885</v>
      </c>
      <c r="T38" s="65">
        <f>Debt!S57</f>
        <v>250.66552545601013</v>
      </c>
      <c r="U38" s="65">
        <f>Debt!T57</f>
        <v>153.52487833237771</v>
      </c>
      <c r="V38" s="65">
        <f>Debt!U57</f>
        <v>50.878701386641907</v>
      </c>
      <c r="W38" s="65">
        <f>Debt!V57</f>
        <v>7.2999652391442549</v>
      </c>
      <c r="X38" s="65">
        <f>Debt!W57</f>
        <v>77.487892369618663</v>
      </c>
      <c r="Y38" s="65">
        <f>Debt!X57</f>
        <v>222.13256222405107</v>
      </c>
      <c r="Z38" s="65">
        <f>Debt!Y57</f>
        <v>393.69785858087351</v>
      </c>
      <c r="AA38" s="65">
        <f>Debt!Z57</f>
        <v>584.28590224035759</v>
      </c>
      <c r="AB38" s="65">
        <f>Debt!AA57</f>
        <v>794.94215835567218</v>
      </c>
      <c r="AC38" s="65">
        <f>Debt!AB57</f>
        <v>1027.8235929362659</v>
      </c>
      <c r="AD38" s="65">
        <f>Debt!AC57</f>
        <v>1284.670873952314</v>
      </c>
      <c r="AE38" s="65">
        <f>Debt!AD57</f>
        <v>1568.2936125113361</v>
      </c>
      <c r="AF38" s="65">
        <f>Debt!AE57</f>
        <v>1880.2531574320742</v>
      </c>
      <c r="AG38" s="65">
        <f>Debt!AF57</f>
        <v>2281.9820548167399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214</v>
      </c>
      <c r="C40" s="124">
        <f>C36-C38</f>
        <v>-1001.2175643968667</v>
      </c>
      <c r="D40" s="124">
        <f t="shared" ref="D40:X40" si="7">D36-D38</f>
        <v>-1356.2167366520521</v>
      </c>
      <c r="E40" s="124">
        <f t="shared" si="7"/>
        <v>-1418.8014231251848</v>
      </c>
      <c r="F40" s="124">
        <f t="shared" si="7"/>
        <v>-815.54688282283951</v>
      </c>
      <c r="G40" s="124">
        <f t="shared" si="7"/>
        <v>-527.22942286334137</v>
      </c>
      <c r="H40" s="124">
        <f t="shared" si="7"/>
        <v>-196.08875372109935</v>
      </c>
      <c r="I40" s="124">
        <f t="shared" si="7"/>
        <v>-13.415658313857534</v>
      </c>
      <c r="J40" s="124">
        <f t="shared" si="7"/>
        <v>18.624480094447335</v>
      </c>
      <c r="K40" s="124">
        <f t="shared" si="7"/>
        <v>115.29870022035459</v>
      </c>
      <c r="L40" s="124">
        <f t="shared" si="7"/>
        <v>154.85285855257769</v>
      </c>
      <c r="M40" s="124">
        <f t="shared" si="7"/>
        <v>263.6989548674502</v>
      </c>
      <c r="N40" s="124">
        <f t="shared" si="7"/>
        <v>312.50510387794259</v>
      </c>
      <c r="O40" s="124">
        <f t="shared" si="7"/>
        <v>435.60447221890638</v>
      </c>
      <c r="P40" s="124">
        <f t="shared" si="7"/>
        <v>495.57215222588775</v>
      </c>
      <c r="Q40" s="124">
        <f t="shared" si="7"/>
        <v>559.00116185057095</v>
      </c>
      <c r="R40" s="124">
        <f t="shared" si="7"/>
        <v>625.39305956565795</v>
      </c>
      <c r="S40" s="124">
        <f t="shared" si="7"/>
        <v>695.29430744568526</v>
      </c>
      <c r="T40" s="124">
        <f t="shared" si="7"/>
        <v>768.44359361155193</v>
      </c>
      <c r="U40" s="124">
        <f t="shared" si="7"/>
        <v>845.24052482688433</v>
      </c>
      <c r="V40" s="124">
        <f t="shared" si="7"/>
        <v>924.54594757497125</v>
      </c>
      <c r="W40" s="124">
        <f t="shared" si="7"/>
        <v>-1714.4893504559088</v>
      </c>
      <c r="X40" s="124">
        <f t="shared" si="7"/>
        <v>-3173.49129238671</v>
      </c>
      <c r="Y40" s="124">
        <f t="shared" ref="Y40:AG40" si="8">Y36-Y38</f>
        <v>-3380.5970132930211</v>
      </c>
      <c r="Z40" s="124">
        <f t="shared" si="8"/>
        <v>-3616.3759389257666</v>
      </c>
      <c r="AA40" s="124">
        <f t="shared" si="8"/>
        <v>-3872.98034236579</v>
      </c>
      <c r="AB40" s="124">
        <f t="shared" si="8"/>
        <v>-4151.5072971139243</v>
      </c>
      <c r="AC40" s="124">
        <f t="shared" si="8"/>
        <v>-4454.1668763063644</v>
      </c>
      <c r="AD40" s="124">
        <f t="shared" si="8"/>
        <v>-4782.7543977930582</v>
      </c>
      <c r="AE40" s="124">
        <f t="shared" si="8"/>
        <v>-5140.1357105876968</v>
      </c>
      <c r="AF40" s="124">
        <f t="shared" si="8"/>
        <v>-5527.9300360529869</v>
      </c>
      <c r="AG40" s="124">
        <f t="shared" si="8"/>
        <v>-5466.3764627277787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51</v>
      </c>
      <c r="B42" s="350">
        <f>Assumptions!N51</f>
        <v>7.0000000000000007E-2</v>
      </c>
      <c r="C42" s="74">
        <f>-C40*$B$42</f>
        <v>70.085229507780682</v>
      </c>
      <c r="D42" s="74">
        <f t="shared" ref="D42:AG42" si="9">-D40*$B$42</f>
        <v>94.935171565643657</v>
      </c>
      <c r="E42" s="74">
        <f t="shared" si="9"/>
        <v>99.316099618762948</v>
      </c>
      <c r="F42" s="74">
        <f t="shared" si="9"/>
        <v>57.088281797598768</v>
      </c>
      <c r="G42" s="74">
        <f t="shared" si="9"/>
        <v>36.906059600433899</v>
      </c>
      <c r="H42" s="74">
        <f t="shared" si="9"/>
        <v>13.726212760476956</v>
      </c>
      <c r="I42" s="74">
        <f t="shared" si="9"/>
        <v>0.93909608197002747</v>
      </c>
      <c r="J42" s="74">
        <f t="shared" si="9"/>
        <v>-1.3037136066113135</v>
      </c>
      <c r="K42" s="74">
        <f t="shared" si="9"/>
        <v>-8.0709090154248226</v>
      </c>
      <c r="L42" s="74">
        <f t="shared" si="9"/>
        <v>-10.839700098680439</v>
      </c>
      <c r="M42" s="74">
        <f t="shared" si="9"/>
        <v>-18.458926840721517</v>
      </c>
      <c r="N42" s="74">
        <f t="shared" si="9"/>
        <v>-21.875357271455982</v>
      </c>
      <c r="O42" s="74">
        <f t="shared" si="9"/>
        <v>-30.49231305532345</v>
      </c>
      <c r="P42" s="74">
        <f t="shared" si="9"/>
        <v>-34.690050655812144</v>
      </c>
      <c r="Q42" s="74">
        <f t="shared" si="9"/>
        <v>-39.130081329539969</v>
      </c>
      <c r="R42" s="74">
        <f t="shared" si="9"/>
        <v>-43.77751416959606</v>
      </c>
      <c r="S42" s="74">
        <f t="shared" si="9"/>
        <v>-48.670601521197973</v>
      </c>
      <c r="T42" s="74">
        <f t="shared" si="9"/>
        <v>-53.791051552808639</v>
      </c>
      <c r="U42" s="74">
        <f t="shared" si="9"/>
        <v>-59.166836737881908</v>
      </c>
      <c r="V42" s="74">
        <f t="shared" si="9"/>
        <v>-64.718216330247998</v>
      </c>
      <c r="W42" s="74">
        <f t="shared" si="9"/>
        <v>120.01425453191364</v>
      </c>
      <c r="X42" s="74">
        <f t="shared" si="9"/>
        <v>222.14439046706971</v>
      </c>
      <c r="Y42" s="74">
        <f t="shared" si="9"/>
        <v>236.64179093051149</v>
      </c>
      <c r="Z42" s="74">
        <f t="shared" si="9"/>
        <v>253.14631572480369</v>
      </c>
      <c r="AA42" s="74">
        <f t="shared" si="9"/>
        <v>271.10862396560532</v>
      </c>
      <c r="AB42" s="74">
        <f t="shared" si="9"/>
        <v>290.60551079797472</v>
      </c>
      <c r="AC42" s="74">
        <f t="shared" si="9"/>
        <v>311.79168134144555</v>
      </c>
      <c r="AD42" s="74">
        <f t="shared" si="9"/>
        <v>334.79280784551412</v>
      </c>
      <c r="AE42" s="74">
        <f t="shared" si="9"/>
        <v>359.80949974113884</v>
      </c>
      <c r="AF42" s="74">
        <f t="shared" si="9"/>
        <v>386.95510252370912</v>
      </c>
      <c r="AG42" s="74">
        <f t="shared" si="9"/>
        <v>382.64635239094457</v>
      </c>
    </row>
    <row r="43" spans="1:33">
      <c r="A43" s="3" t="s">
        <v>52</v>
      </c>
      <c r="B43" s="350">
        <f>Assumptions!N50</f>
        <v>0.35</v>
      </c>
      <c r="C43" s="74">
        <f t="shared" ref="C43:AG43" si="10">(C40+C42)*-$B$43</f>
        <v>325.89631721118008</v>
      </c>
      <c r="D43" s="74">
        <f t="shared" si="10"/>
        <v>441.4485477802429</v>
      </c>
      <c r="E43" s="74">
        <f t="shared" si="10"/>
        <v>461.81986322724759</v>
      </c>
      <c r="F43" s="74">
        <f t="shared" si="10"/>
        <v>265.46051035883426</v>
      </c>
      <c r="G43" s="74">
        <f t="shared" si="10"/>
        <v>171.61317714201761</v>
      </c>
      <c r="H43" s="74">
        <f t="shared" si="10"/>
        <v>63.826889336217832</v>
      </c>
      <c r="I43" s="74">
        <f t="shared" si="10"/>
        <v>4.3667967811606268</v>
      </c>
      <c r="J43" s="74">
        <f t="shared" si="10"/>
        <v>-6.0622682707426074</v>
      </c>
      <c r="K43" s="74">
        <f t="shared" si="10"/>
        <v>-37.52972692172542</v>
      </c>
      <c r="L43" s="74">
        <f t="shared" si="10"/>
        <v>-50.404605458864026</v>
      </c>
      <c r="M43" s="74">
        <f t="shared" si="10"/>
        <v>-85.834009809355038</v>
      </c>
      <c r="N43" s="74">
        <f t="shared" si="10"/>
        <v>-101.7204113122703</v>
      </c>
      <c r="O43" s="74">
        <f t="shared" si="10"/>
        <v>-141.78925570725403</v>
      </c>
      <c r="P43" s="74">
        <f t="shared" si="10"/>
        <v>-161.30873554952646</v>
      </c>
      <c r="Q43" s="74">
        <f t="shared" si="10"/>
        <v>-181.95487818236083</v>
      </c>
      <c r="R43" s="74">
        <f t="shared" si="10"/>
        <v>-203.56544088862165</v>
      </c>
      <c r="S43" s="74">
        <f t="shared" si="10"/>
        <v>-226.31829707357051</v>
      </c>
      <c r="T43" s="74">
        <f t="shared" si="10"/>
        <v>-250.12838972056014</v>
      </c>
      <c r="U43" s="74">
        <f t="shared" si="10"/>
        <v>-275.12579083115082</v>
      </c>
      <c r="V43" s="74">
        <f t="shared" si="10"/>
        <v>-300.93970593565314</v>
      </c>
      <c r="W43" s="74">
        <f t="shared" si="10"/>
        <v>558.06628357339832</v>
      </c>
      <c r="X43" s="74">
        <f t="shared" si="10"/>
        <v>1032.9714156718742</v>
      </c>
      <c r="Y43" s="74">
        <f t="shared" si="10"/>
        <v>1100.3843278268782</v>
      </c>
      <c r="Z43" s="74">
        <f t="shared" si="10"/>
        <v>1177.1303681203369</v>
      </c>
      <c r="AA43" s="74">
        <f t="shared" si="10"/>
        <v>1260.6551014400645</v>
      </c>
      <c r="AB43" s="74">
        <f t="shared" si="10"/>
        <v>1351.3156252105823</v>
      </c>
      <c r="AC43" s="74">
        <f t="shared" si="10"/>
        <v>1449.8313182377215</v>
      </c>
      <c r="AD43" s="74">
        <f t="shared" si="10"/>
        <v>1556.7865564816402</v>
      </c>
      <c r="AE43" s="74">
        <f t="shared" si="10"/>
        <v>1673.1141737962951</v>
      </c>
      <c r="AF43" s="74">
        <f t="shared" si="10"/>
        <v>1799.3412267352471</v>
      </c>
      <c r="AG43" s="74">
        <f t="shared" si="10"/>
        <v>1779.3055386178919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75">
        <f t="shared" ref="C45:AG45" si="11">C40+C42+C43</f>
        <v>-605.23601767790592</v>
      </c>
      <c r="D45" s="375">
        <f t="shared" si="11"/>
        <v>-819.8330173061654</v>
      </c>
      <c r="E45" s="375">
        <f t="shared" si="11"/>
        <v>-857.66546027917411</v>
      </c>
      <c r="F45" s="375">
        <f t="shared" si="11"/>
        <v>-492.99809066640654</v>
      </c>
      <c r="G45" s="375">
        <f t="shared" si="11"/>
        <v>-318.71018612088989</v>
      </c>
      <c r="H45" s="375">
        <f t="shared" si="11"/>
        <v>-118.53565162440457</v>
      </c>
      <c r="I45" s="375">
        <f t="shared" si="11"/>
        <v>-8.1097654507268793</v>
      </c>
      <c r="J45" s="375">
        <f t="shared" si="11"/>
        <v>11.258498217093415</v>
      </c>
      <c r="K45" s="375">
        <f t="shared" si="11"/>
        <v>69.69806428320436</v>
      </c>
      <c r="L45" s="375">
        <f t="shared" si="11"/>
        <v>93.608552995033207</v>
      </c>
      <c r="M45" s="375">
        <f t="shared" si="11"/>
        <v>159.40601821737363</v>
      </c>
      <c r="N45" s="375">
        <f t="shared" si="11"/>
        <v>188.90933529421631</v>
      </c>
      <c r="O45" s="375">
        <f t="shared" si="11"/>
        <v>263.3229034563289</v>
      </c>
      <c r="P45" s="375">
        <f t="shared" si="11"/>
        <v>299.5733660205492</v>
      </c>
      <c r="Q45" s="375">
        <f t="shared" si="11"/>
        <v>337.91620233867013</v>
      </c>
      <c r="R45" s="375">
        <f t="shared" si="11"/>
        <v>378.05010450744021</v>
      </c>
      <c r="S45" s="375">
        <f t="shared" si="11"/>
        <v>420.30540885091671</v>
      </c>
      <c r="T45" s="375">
        <f t="shared" si="11"/>
        <v>464.52415233818317</v>
      </c>
      <c r="U45" s="375">
        <f t="shared" si="11"/>
        <v>510.94789725785159</v>
      </c>
      <c r="V45" s="375">
        <f t="shared" si="11"/>
        <v>558.88802530907014</v>
      </c>
      <c r="W45" s="375">
        <f t="shared" si="11"/>
        <v>-1036.4088123505969</v>
      </c>
      <c r="X45" s="375">
        <f t="shared" si="11"/>
        <v>-1918.3754862477663</v>
      </c>
      <c r="Y45" s="375">
        <f t="shared" si="11"/>
        <v>-2043.5708945356314</v>
      </c>
      <c r="Z45" s="375">
        <f t="shared" si="11"/>
        <v>-2186.0992550806259</v>
      </c>
      <c r="AA45" s="375">
        <f t="shared" si="11"/>
        <v>-2341.2166169601205</v>
      </c>
      <c r="AB45" s="375">
        <f t="shared" si="11"/>
        <v>-2509.5861611053674</v>
      </c>
      <c r="AC45" s="375">
        <f t="shared" si="11"/>
        <v>-2692.5438767271971</v>
      </c>
      <c r="AD45" s="375">
        <f t="shared" si="11"/>
        <v>-2891.1750334659037</v>
      </c>
      <c r="AE45" s="375">
        <f t="shared" si="11"/>
        <v>-3107.2120370502626</v>
      </c>
      <c r="AF45" s="375">
        <f t="shared" si="11"/>
        <v>-3341.6337067940312</v>
      </c>
      <c r="AG45" s="375">
        <f t="shared" si="11"/>
        <v>-3304.4245717189424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Rochester</v>
      </c>
    </row>
    <row r="4" spans="1:60" ht="18.75">
      <c r="A4" s="60" t="s">
        <v>138</v>
      </c>
      <c r="B4" s="8"/>
      <c r="C4" s="8"/>
    </row>
    <row r="6" spans="1:60">
      <c r="C6" s="320">
        <v>0</v>
      </c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60" s="6" customFormat="1" ht="13.5" thickBot="1">
      <c r="A7" s="123" t="s">
        <v>39</v>
      </c>
      <c r="B7" s="7"/>
      <c r="C7" s="321" t="s">
        <v>257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37255.5</v>
      </c>
      <c r="E8" s="214">
        <f t="shared" ref="E8:AH8" si="0">D8+365.25</f>
        <v>37620.75</v>
      </c>
      <c r="F8" s="214">
        <f t="shared" si="0"/>
        <v>37986</v>
      </c>
      <c r="G8" s="214">
        <f t="shared" si="0"/>
        <v>38351.25</v>
      </c>
      <c r="H8" s="214">
        <f t="shared" si="0"/>
        <v>38716.5</v>
      </c>
      <c r="I8" s="214">
        <f t="shared" si="0"/>
        <v>39081.75</v>
      </c>
      <c r="J8" s="214">
        <f t="shared" si="0"/>
        <v>39447</v>
      </c>
      <c r="K8" s="214">
        <f t="shared" si="0"/>
        <v>39812.25</v>
      </c>
      <c r="L8" s="214">
        <f t="shared" si="0"/>
        <v>40177.5</v>
      </c>
      <c r="M8" s="214">
        <f t="shared" si="0"/>
        <v>40542.75</v>
      </c>
      <c r="N8" s="214">
        <f t="shared" si="0"/>
        <v>40908</v>
      </c>
      <c r="O8" s="214">
        <f t="shared" si="0"/>
        <v>41273.25</v>
      </c>
      <c r="P8" s="214">
        <f t="shared" si="0"/>
        <v>41638.5</v>
      </c>
      <c r="Q8" s="214">
        <f t="shared" si="0"/>
        <v>42003.75</v>
      </c>
      <c r="R8" s="214">
        <f t="shared" si="0"/>
        <v>42369</v>
      </c>
      <c r="S8" s="214">
        <f t="shared" si="0"/>
        <v>42734.25</v>
      </c>
      <c r="T8" s="214">
        <f t="shared" si="0"/>
        <v>43099.5</v>
      </c>
      <c r="U8" s="214">
        <f t="shared" si="0"/>
        <v>43464.75</v>
      </c>
      <c r="V8" s="214">
        <f t="shared" si="0"/>
        <v>43830</v>
      </c>
      <c r="W8" s="214">
        <f t="shared" si="0"/>
        <v>44195.25</v>
      </c>
      <c r="X8" s="214">
        <f t="shared" si="0"/>
        <v>44560.5</v>
      </c>
      <c r="Y8" s="214">
        <f t="shared" si="0"/>
        <v>44925.75</v>
      </c>
      <c r="Z8" s="214">
        <f t="shared" si="0"/>
        <v>45291</v>
      </c>
      <c r="AA8" s="214">
        <f t="shared" si="0"/>
        <v>45656.25</v>
      </c>
      <c r="AB8" s="214">
        <f t="shared" si="0"/>
        <v>46021.5</v>
      </c>
      <c r="AC8" s="214">
        <f t="shared" si="0"/>
        <v>46386.75</v>
      </c>
      <c r="AD8" s="214">
        <f t="shared" si="0"/>
        <v>46752</v>
      </c>
      <c r="AE8" s="214">
        <f t="shared" si="0"/>
        <v>47117.25</v>
      </c>
      <c r="AF8" s="214">
        <f t="shared" si="0"/>
        <v>47482.5</v>
      </c>
      <c r="AG8" s="214">
        <f t="shared" si="0"/>
        <v>47847.75</v>
      </c>
      <c r="AH8" s="214">
        <f t="shared" si="0"/>
        <v>48213</v>
      </c>
    </row>
    <row r="9" spans="1:60">
      <c r="A9" s="1" t="s">
        <v>139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140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141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142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143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144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145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146</v>
      </c>
      <c r="B18" s="12"/>
      <c r="C18" s="324">
        <f>Assumptions!C58</f>
        <v>28437.290636713449</v>
      </c>
      <c r="D18" s="18">
        <f>Depreciation!$B$48</f>
        <v>29334.672636713454</v>
      </c>
      <c r="E18" s="18">
        <f>Depreciation!$B$48</f>
        <v>29334.672636713454</v>
      </c>
      <c r="F18" s="18">
        <f>Depreciation!$B$48</f>
        <v>29334.672636713454</v>
      </c>
      <c r="G18" s="18">
        <f>Depreciation!$B$48</f>
        <v>29334.672636713454</v>
      </c>
      <c r="H18" s="18">
        <f>Depreciation!$B$48</f>
        <v>29334.672636713454</v>
      </c>
      <c r="I18" s="18">
        <f>Depreciation!$B$48</f>
        <v>29334.672636713454</v>
      </c>
      <c r="J18" s="18">
        <f>Depreciation!$B$48</f>
        <v>29334.672636713454</v>
      </c>
      <c r="K18" s="18">
        <f>Depreciation!$B$48</f>
        <v>29334.672636713454</v>
      </c>
      <c r="L18" s="18">
        <f>Depreciation!$B$48</f>
        <v>29334.672636713454</v>
      </c>
      <c r="M18" s="18">
        <f>Depreciation!$B$48</f>
        <v>29334.672636713454</v>
      </c>
      <c r="N18" s="18">
        <f>Depreciation!$B$48</f>
        <v>29334.672636713454</v>
      </c>
      <c r="O18" s="18">
        <f>Depreciation!$B$48</f>
        <v>29334.672636713454</v>
      </c>
      <c r="P18" s="18">
        <f>Depreciation!$B$48</f>
        <v>29334.672636713454</v>
      </c>
      <c r="Q18" s="18">
        <f>Depreciation!$B$48</f>
        <v>29334.672636713454</v>
      </c>
      <c r="R18" s="18">
        <f>Depreciation!$B$48</f>
        <v>29334.672636713454</v>
      </c>
      <c r="S18" s="18">
        <f>Depreciation!$B$48</f>
        <v>29334.672636713454</v>
      </c>
      <c r="T18" s="18">
        <f>Depreciation!$B$48</f>
        <v>29334.672636713454</v>
      </c>
      <c r="U18" s="18">
        <f>Depreciation!$B$48</f>
        <v>29334.672636713454</v>
      </c>
      <c r="V18" s="18">
        <f>Depreciation!$B$48</f>
        <v>29334.672636713454</v>
      </c>
      <c r="W18" s="18">
        <f>Depreciation!$B$48</f>
        <v>29334.672636713454</v>
      </c>
      <c r="X18" s="18">
        <f>Depreciation!$B$48</f>
        <v>29334.672636713454</v>
      </c>
      <c r="Y18" s="18">
        <f>Depreciation!$B$48</f>
        <v>29334.672636713454</v>
      </c>
      <c r="Z18" s="18">
        <f>Depreciation!$B$48</f>
        <v>29334.672636713454</v>
      </c>
      <c r="AA18" s="18">
        <f>Depreciation!$B$48</f>
        <v>29334.672636713454</v>
      </c>
      <c r="AB18" s="18">
        <f>Depreciation!$B$48</f>
        <v>29334.672636713454</v>
      </c>
      <c r="AC18" s="18">
        <f>Depreciation!$B$48</f>
        <v>29334.672636713454</v>
      </c>
      <c r="AD18" s="18">
        <f>Depreciation!$B$48</f>
        <v>29334.672636713454</v>
      </c>
      <c r="AE18" s="18">
        <f>Depreciation!$B$48</f>
        <v>29334.672636713454</v>
      </c>
      <c r="AF18" s="18">
        <f>Depreciation!$B$48</f>
        <v>29334.672636713454</v>
      </c>
      <c r="AG18" s="18">
        <f>Depreciation!$B$48</f>
        <v>29334.672636713454</v>
      </c>
      <c r="AH18" s="18">
        <f>Depreciation!$B$48</f>
        <v>29334.672636713454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147</v>
      </c>
      <c r="B19" s="13"/>
      <c r="C19" s="326">
        <v>0</v>
      </c>
      <c r="D19" s="314">
        <f>SUM(Depreciation!$D$48:D48)</f>
        <v>844.18927940093567</v>
      </c>
      <c r="E19" s="314">
        <f>SUM(Depreciation!$D$48:E48)</f>
        <v>2110.4731985023391</v>
      </c>
      <c r="F19" s="314">
        <f>SUM(Depreciation!$D$48:F48)</f>
        <v>3376.7571176037427</v>
      </c>
      <c r="G19" s="314">
        <f>SUM(Depreciation!$D$48:G48)</f>
        <v>4643.0410367051463</v>
      </c>
      <c r="H19" s="314">
        <f>SUM(Depreciation!$D$48:H48)</f>
        <v>5909.32495580655</v>
      </c>
      <c r="I19" s="314">
        <f>SUM(Depreciation!$D$48:I48)</f>
        <v>6872.672608241287</v>
      </c>
      <c r="J19" s="314">
        <f>SUM(Depreciation!$D$48:J48)</f>
        <v>7684.5521273426903</v>
      </c>
      <c r="K19" s="314">
        <f>SUM(Depreciation!$D$48:K48)</f>
        <v>8496.4316464440944</v>
      </c>
      <c r="L19" s="314">
        <f>SUM(Depreciation!$D$48:L48)</f>
        <v>9308.3111655454977</v>
      </c>
      <c r="M19" s="314">
        <f>SUM(Depreciation!$D$48:M48)</f>
        <v>10120.190684646901</v>
      </c>
      <c r="N19" s="314">
        <f>SUM(Depreciation!$D$48:N48)</f>
        <v>10932.070203748304</v>
      </c>
      <c r="O19" s="314">
        <f>SUM(Depreciation!$D$48:O48)</f>
        <v>11743.949722849708</v>
      </c>
      <c r="P19" s="314">
        <f>SUM(Depreciation!$D$48:P48)</f>
        <v>12555.829241951111</v>
      </c>
      <c r="Q19" s="314">
        <f>SUM(Depreciation!$D$48:Q48)</f>
        <v>13367.708761052514</v>
      </c>
      <c r="R19" s="314">
        <f>SUM(Depreciation!$D$48:R48)</f>
        <v>14179.588280153917</v>
      </c>
      <c r="S19" s="314">
        <f>SUM(Depreciation!$D$48:S48)</f>
        <v>14991.467799255321</v>
      </c>
      <c r="T19" s="314">
        <f>SUM(Depreciation!$D$48:T48)</f>
        <v>15803.347318356724</v>
      </c>
      <c r="U19" s="314">
        <f>SUM(Depreciation!$D$48:U48)</f>
        <v>16615.226837458129</v>
      </c>
      <c r="V19" s="314">
        <f>SUM(Depreciation!$D$48:V48)</f>
        <v>17427.106356559532</v>
      </c>
      <c r="W19" s="314">
        <f>SUM(Depreciation!$D$48:W48)</f>
        <v>18238.985875660936</v>
      </c>
      <c r="X19" s="314">
        <f>SUM(Depreciation!$D$48:X48)</f>
        <v>19050.865394762339</v>
      </c>
      <c r="Y19" s="314">
        <f>SUM(Depreciation!$D$48:Y48)</f>
        <v>19862.744913863742</v>
      </c>
      <c r="Z19" s="314">
        <f>SUM(Depreciation!$D$48:Z48)</f>
        <v>20674.624432965145</v>
      </c>
      <c r="AA19" s="314">
        <f>SUM(Depreciation!$D$48:AA48)</f>
        <v>21486.503952066549</v>
      </c>
      <c r="AB19" s="314">
        <f>SUM(Depreciation!$D$48:AB48)</f>
        <v>22298.383471167952</v>
      </c>
      <c r="AC19" s="314">
        <f>SUM(Depreciation!$D$48:AC48)</f>
        <v>23110.262990269355</v>
      </c>
      <c r="AD19" s="314">
        <f>SUM(Depreciation!$D$48:AD48)</f>
        <v>23922.142509370758</v>
      </c>
      <c r="AE19" s="314">
        <f>SUM(Depreciation!$D$48:AE48)</f>
        <v>24734.022028472162</v>
      </c>
      <c r="AF19" s="314">
        <f>SUM(Depreciation!$D$48:AF48)</f>
        <v>25545.901547573565</v>
      </c>
      <c r="AG19" s="314">
        <f>SUM(Depreciation!$D$48:AG48)</f>
        <v>26357.781066674968</v>
      </c>
      <c r="AH19" s="314">
        <f>SUM(Depreciation!$D$48:AH48)</f>
        <v>26628.407573042103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148</v>
      </c>
      <c r="B20" s="13"/>
      <c r="C20" s="327">
        <f>C18-C19</f>
        <v>28437.290636713449</v>
      </c>
      <c r="D20" s="23">
        <f>D18-D19</f>
        <v>28490.483357312518</v>
      </c>
      <c r="E20" s="23">
        <f t="shared" ref="E20:AH20" si="2">E18-E19</f>
        <v>27224.199438211115</v>
      </c>
      <c r="F20" s="23">
        <f t="shared" si="2"/>
        <v>25957.915519109712</v>
      </c>
      <c r="G20" s="23">
        <f t="shared" si="2"/>
        <v>24691.63160000831</v>
      </c>
      <c r="H20" s="23">
        <f t="shared" si="2"/>
        <v>23425.347680906903</v>
      </c>
      <c r="I20" s="23">
        <f t="shared" si="2"/>
        <v>22462.000028472168</v>
      </c>
      <c r="J20" s="23">
        <f t="shared" si="2"/>
        <v>21650.120509370765</v>
      </c>
      <c r="K20" s="23">
        <f t="shared" si="2"/>
        <v>20838.240990269362</v>
      </c>
      <c r="L20" s="23">
        <f t="shared" si="2"/>
        <v>20026.361471167955</v>
      </c>
      <c r="M20" s="23">
        <f t="shared" si="2"/>
        <v>19214.481952066555</v>
      </c>
      <c r="N20" s="23">
        <f t="shared" si="2"/>
        <v>18402.602432965148</v>
      </c>
      <c r="O20" s="23">
        <f t="shared" si="2"/>
        <v>17590.722913863749</v>
      </c>
      <c r="P20" s="23">
        <f t="shared" si="2"/>
        <v>16778.843394762342</v>
      </c>
      <c r="Q20" s="23">
        <f t="shared" si="2"/>
        <v>15966.96387566094</v>
      </c>
      <c r="R20" s="23">
        <f t="shared" si="2"/>
        <v>15155.084356559537</v>
      </c>
      <c r="S20" s="23">
        <f t="shared" si="2"/>
        <v>14343.204837458134</v>
      </c>
      <c r="T20" s="23">
        <f t="shared" si="2"/>
        <v>13531.32531835673</v>
      </c>
      <c r="U20" s="23">
        <f t="shared" si="2"/>
        <v>12719.445799255325</v>
      </c>
      <c r="V20" s="23">
        <f t="shared" si="2"/>
        <v>11907.566280153922</v>
      </c>
      <c r="W20" s="23">
        <f t="shared" si="2"/>
        <v>11095.686761052519</v>
      </c>
      <c r="X20" s="23">
        <f t="shared" si="2"/>
        <v>10283.807241951115</v>
      </c>
      <c r="Y20" s="23">
        <f t="shared" si="2"/>
        <v>9471.9277228497122</v>
      </c>
      <c r="Z20" s="23">
        <f t="shared" si="2"/>
        <v>8660.0482037483089</v>
      </c>
      <c r="AA20" s="23">
        <f t="shared" si="2"/>
        <v>7848.1686846469056</v>
      </c>
      <c r="AB20" s="23">
        <f t="shared" si="2"/>
        <v>7036.2891655455023</v>
      </c>
      <c r="AC20" s="23">
        <f t="shared" si="2"/>
        <v>6224.4096464440991</v>
      </c>
      <c r="AD20" s="23">
        <f t="shared" si="2"/>
        <v>5412.5301273426958</v>
      </c>
      <c r="AE20" s="23">
        <f t="shared" si="2"/>
        <v>4600.6506082412925</v>
      </c>
      <c r="AF20" s="23">
        <f t="shared" si="2"/>
        <v>3788.7710891398892</v>
      </c>
      <c r="AG20" s="23">
        <f t="shared" si="2"/>
        <v>2976.891570038486</v>
      </c>
      <c r="AH20" s="23">
        <f t="shared" si="2"/>
        <v>2706.2650636713515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149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150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151</v>
      </c>
      <c r="B25" s="13"/>
      <c r="C25" s="327">
        <f>SUM(C16,C20,C22,C23)</f>
        <v>28437.290636713449</v>
      </c>
      <c r="D25" s="23">
        <f>SUM(D16,D20,D22,D23)</f>
        <v>28490.483357312518</v>
      </c>
      <c r="E25" s="23">
        <f t="shared" ref="E25:AH25" si="3">SUM(E16,E20,E22,E23)</f>
        <v>27224.199438211115</v>
      </c>
      <c r="F25" s="23">
        <f t="shared" si="3"/>
        <v>25957.915519109712</v>
      </c>
      <c r="G25" s="23">
        <f t="shared" si="3"/>
        <v>24691.63160000831</v>
      </c>
      <c r="H25" s="23">
        <f t="shared" si="3"/>
        <v>23425.347680906903</v>
      </c>
      <c r="I25" s="23">
        <f t="shared" si="3"/>
        <v>22462.000028472168</v>
      </c>
      <c r="J25" s="23">
        <f t="shared" si="3"/>
        <v>21650.120509370765</v>
      </c>
      <c r="K25" s="23">
        <f t="shared" si="3"/>
        <v>20838.240990269362</v>
      </c>
      <c r="L25" s="23">
        <f t="shared" si="3"/>
        <v>20026.361471167955</v>
      </c>
      <c r="M25" s="23">
        <f t="shared" si="3"/>
        <v>19214.481952066555</v>
      </c>
      <c r="N25" s="23">
        <f t="shared" si="3"/>
        <v>18402.602432965148</v>
      </c>
      <c r="O25" s="23">
        <f t="shared" si="3"/>
        <v>17590.722913863749</v>
      </c>
      <c r="P25" s="23">
        <f t="shared" si="3"/>
        <v>16778.843394762342</v>
      </c>
      <c r="Q25" s="23">
        <f t="shared" si="3"/>
        <v>15966.96387566094</v>
      </c>
      <c r="R25" s="23">
        <f t="shared" si="3"/>
        <v>15155.084356559537</v>
      </c>
      <c r="S25" s="23">
        <f t="shared" si="3"/>
        <v>14343.204837458134</v>
      </c>
      <c r="T25" s="23">
        <f t="shared" si="3"/>
        <v>13531.32531835673</v>
      </c>
      <c r="U25" s="23">
        <f t="shared" si="3"/>
        <v>12719.445799255325</v>
      </c>
      <c r="V25" s="23">
        <f t="shared" si="3"/>
        <v>11907.566280153922</v>
      </c>
      <c r="W25" s="23">
        <f t="shared" si="3"/>
        <v>11095.686761052519</v>
      </c>
      <c r="X25" s="23">
        <f t="shared" si="3"/>
        <v>10283.807241951115</v>
      </c>
      <c r="Y25" s="23">
        <f t="shared" si="3"/>
        <v>9471.9277228497122</v>
      </c>
      <c r="Z25" s="23">
        <f t="shared" si="3"/>
        <v>8660.0482037483089</v>
      </c>
      <c r="AA25" s="23">
        <f t="shared" si="3"/>
        <v>7848.1686846469056</v>
      </c>
      <c r="AB25" s="23">
        <f t="shared" si="3"/>
        <v>7036.2891655455023</v>
      </c>
      <c r="AC25" s="23">
        <f t="shared" si="3"/>
        <v>6224.4096464440991</v>
      </c>
      <c r="AD25" s="23">
        <f t="shared" si="3"/>
        <v>5412.5301273426958</v>
      </c>
      <c r="AE25" s="23">
        <f t="shared" si="3"/>
        <v>4600.6506082412925</v>
      </c>
      <c r="AF25" s="23">
        <f t="shared" si="3"/>
        <v>3788.7710891398892</v>
      </c>
      <c r="AG25" s="23">
        <f t="shared" si="3"/>
        <v>2976.891570038486</v>
      </c>
      <c r="AH25" s="23">
        <f t="shared" si="3"/>
        <v>2706.2650636713515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152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153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154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155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156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157</v>
      </c>
      <c r="C34" s="327">
        <f>Assumptions!C12</f>
        <v>11225.348171977193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158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159</v>
      </c>
      <c r="B37" s="13"/>
      <c r="C37" s="327">
        <f>SUM(C30:C35)</f>
        <v>11225.348171977193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160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161</v>
      </c>
      <c r="C41" s="327">
        <f>Assumptions!$C$11</f>
        <v>17211.942464736254</v>
      </c>
      <c r="D41" s="23">
        <f>Assumptions!$C$11</f>
        <v>17211.942464736254</v>
      </c>
      <c r="E41" s="23">
        <f>Assumptions!$C$11</f>
        <v>17211.942464736254</v>
      </c>
      <c r="F41" s="23">
        <f>Assumptions!$C$11</f>
        <v>17211.942464736254</v>
      </c>
      <c r="G41" s="23">
        <f>Assumptions!$C$11</f>
        <v>17211.942464736254</v>
      </c>
      <c r="H41" s="23">
        <f>Assumptions!$C$11</f>
        <v>17211.942464736254</v>
      </c>
      <c r="I41" s="23">
        <f>Assumptions!$C$11</f>
        <v>17211.942464736254</v>
      </c>
      <c r="J41" s="23">
        <f>Assumptions!$C$11</f>
        <v>17211.942464736254</v>
      </c>
      <c r="K41" s="23">
        <f>Assumptions!$C$11</f>
        <v>17211.942464736254</v>
      </c>
      <c r="L41" s="23">
        <f>Assumptions!$C$11</f>
        <v>17211.942464736254</v>
      </c>
      <c r="M41" s="23">
        <f>Assumptions!$C$11</f>
        <v>17211.942464736254</v>
      </c>
      <c r="N41" s="23">
        <f>Assumptions!$C$11</f>
        <v>17211.942464736254</v>
      </c>
      <c r="O41" s="23">
        <f>Assumptions!$C$11</f>
        <v>17211.942464736254</v>
      </c>
      <c r="P41" s="23">
        <f>Assumptions!$C$11</f>
        <v>17211.942464736254</v>
      </c>
      <c r="Q41" s="23">
        <f>Assumptions!$C$11</f>
        <v>17211.942464736254</v>
      </c>
      <c r="R41" s="23">
        <f>Assumptions!$C$11</f>
        <v>17211.942464736254</v>
      </c>
      <c r="S41" s="23">
        <f>Assumptions!$C$11</f>
        <v>17211.942464736254</v>
      </c>
      <c r="T41" s="23">
        <f>Assumptions!$C$11</f>
        <v>17211.942464736254</v>
      </c>
      <c r="U41" s="23">
        <f>Assumptions!$C$11</f>
        <v>17211.942464736254</v>
      </c>
      <c r="V41" s="23">
        <f>Assumptions!$C$11</f>
        <v>17211.942464736254</v>
      </c>
      <c r="W41" s="23">
        <f>Assumptions!$C$11</f>
        <v>17211.942464736254</v>
      </c>
      <c r="X41" s="23">
        <f>Assumptions!$C$11</f>
        <v>17211.942464736254</v>
      </c>
      <c r="Y41" s="23">
        <f>Assumptions!$C$11</f>
        <v>17211.942464736254</v>
      </c>
      <c r="Z41" s="23">
        <f>Assumptions!$C$11</f>
        <v>17211.942464736254</v>
      </c>
      <c r="AA41" s="23">
        <f>Assumptions!$C$11</f>
        <v>17211.942464736254</v>
      </c>
      <c r="AB41" s="23">
        <f>Assumptions!$C$11</f>
        <v>17211.942464736254</v>
      </c>
      <c r="AC41" s="23">
        <f>Assumptions!$C$11</f>
        <v>17211.942464736254</v>
      </c>
      <c r="AD41" s="23">
        <f>Assumptions!$C$11</f>
        <v>17211.942464736254</v>
      </c>
      <c r="AE41" s="23">
        <f>Assumptions!$C$11</f>
        <v>17211.942464736254</v>
      </c>
      <c r="AF41" s="23">
        <f>Assumptions!$C$11</f>
        <v>17211.942464736254</v>
      </c>
      <c r="AG41" s="23">
        <f>Assumptions!$C$11</f>
        <v>17211.942464736254</v>
      </c>
      <c r="AH41" s="23">
        <f>Assumptions!$C$11</f>
        <v>17211.942464736254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162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163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164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165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U25" zoomScale="75" zoomScaleNormal="75" workbookViewId="0">
      <selection activeCell="W44" sqref="W44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Rochester</v>
      </c>
      <c r="Y2" s="6"/>
      <c r="Z2" s="6"/>
    </row>
    <row r="3" spans="1:35">
      <c r="Y3" s="6"/>
      <c r="Z3" s="6"/>
    </row>
    <row r="4" spans="1:35" ht="18.75">
      <c r="A4" s="60" t="s">
        <v>388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0.66666666666666663</v>
      </c>
      <c r="D6" s="215">
        <f>'Price_Technical Assumption'!E7</f>
        <v>1.6666666666666665</v>
      </c>
      <c r="E6" s="215">
        <f>'Price_Technical Assumption'!F7</f>
        <v>2.6666666666666665</v>
      </c>
      <c r="F6" s="215">
        <f>'Price_Technical Assumption'!G7</f>
        <v>3.6666666666666665</v>
      </c>
      <c r="G6" s="215">
        <f>'Price_Technical Assumption'!H7</f>
        <v>4.6666666666666661</v>
      </c>
      <c r="H6" s="215">
        <f>'Price_Technical Assumption'!I7</f>
        <v>5.6666666666666661</v>
      </c>
      <c r="I6" s="215">
        <f>'Price_Technical Assumption'!J7</f>
        <v>6.6666666666666661</v>
      </c>
      <c r="J6" s="215">
        <f>'Price_Technical Assumption'!K7</f>
        <v>7.6666666666666661</v>
      </c>
      <c r="K6" s="215">
        <f>'Price_Technical Assumption'!L7</f>
        <v>8.6666666666666661</v>
      </c>
      <c r="L6" s="215">
        <f>'Price_Technical Assumption'!M7</f>
        <v>9.6666666666666661</v>
      </c>
      <c r="M6" s="215">
        <f>'Price_Technical Assumption'!N7</f>
        <v>10.666666666666666</v>
      </c>
      <c r="N6" s="215">
        <f>'Price_Technical Assumption'!O7</f>
        <v>11.666666666666666</v>
      </c>
      <c r="O6" s="215">
        <f>'Price_Technical Assumption'!P7</f>
        <v>12.666666666666666</v>
      </c>
      <c r="P6" s="215">
        <f>'Price_Technical Assumption'!Q7</f>
        <v>13.666666666666666</v>
      </c>
      <c r="Q6" s="215">
        <f>'Price_Technical Assumption'!R7</f>
        <v>14.666666666666666</v>
      </c>
      <c r="R6" s="215">
        <f>'Price_Technical Assumption'!S7</f>
        <v>15.666666666666666</v>
      </c>
      <c r="S6" s="215">
        <f>'Price_Technical Assumption'!T7</f>
        <v>16.666666666666664</v>
      </c>
      <c r="T6" s="215">
        <f>'Price_Technical Assumption'!U7</f>
        <v>17.666666666666664</v>
      </c>
      <c r="U6" s="215">
        <f>'Price_Technical Assumption'!V7</f>
        <v>18.666666666666664</v>
      </c>
      <c r="V6" s="215">
        <f>'Price_Technical Assumption'!W7</f>
        <v>19.666666666666664</v>
      </c>
      <c r="W6" s="215">
        <f>'Price_Technical Assumption'!X7</f>
        <v>20.666666666666664</v>
      </c>
      <c r="X6" s="215">
        <f>'Price_Technical Assumption'!Y7</f>
        <v>21.666666666666664</v>
      </c>
      <c r="Y6" s="215">
        <f>'Price_Technical Assumption'!Z7</f>
        <v>22.666666666666664</v>
      </c>
      <c r="Z6" s="215">
        <f>'Price_Technical Assumption'!AA7</f>
        <v>23.666666666666664</v>
      </c>
      <c r="AA6" s="215">
        <f>'Price_Technical Assumption'!AB7</f>
        <v>24.666666666666664</v>
      </c>
      <c r="AB6" s="215">
        <f>'Price_Technical Assumption'!AC7</f>
        <v>25.666666666666664</v>
      </c>
      <c r="AC6" s="215">
        <f>'Price_Technical Assumption'!AD7</f>
        <v>26.666666666666664</v>
      </c>
      <c r="AD6" s="215">
        <f>'Price_Technical Assumption'!AE7</f>
        <v>27.666666666666664</v>
      </c>
      <c r="AE6" s="215">
        <f>'Price_Technical Assumption'!AF7</f>
        <v>28.666666666666664</v>
      </c>
      <c r="AF6" s="215">
        <f>'Price_Technical Assumption'!AG7</f>
        <v>29.666666666666664</v>
      </c>
      <c r="AG6" s="215">
        <f>'Price_Technical Assumption'!AH7</f>
        <v>30.666666666666664</v>
      </c>
    </row>
    <row r="7" spans="1:35" ht="13.5" thickBot="1">
      <c r="A7" s="123" t="s">
        <v>39</v>
      </c>
      <c r="B7" s="7" t="s">
        <v>257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464.9971824217032</v>
      </c>
      <c r="D11" s="18">
        <f>IS!D32</f>
        <v>862.43784363255463</v>
      </c>
      <c r="E11" s="18">
        <f>IS!E32</f>
        <v>826.4081757325539</v>
      </c>
      <c r="F11" s="18">
        <f>IS!F32</f>
        <v>1443.487069112221</v>
      </c>
      <c r="G11" s="18">
        <f>IS!G32</f>
        <v>1720.1882163461933</v>
      </c>
      <c r="H11" s="18">
        <f>IS!H32</f>
        <v>1721.823304182476</v>
      </c>
      <c r="I11" s="18">
        <f>IS!I32</f>
        <v>1721.8925147040927</v>
      </c>
      <c r="J11" s="18">
        <f>IS!J32</f>
        <v>1720.2995577473821</v>
      </c>
      <c r="K11" s="18">
        <f>IS!K32</f>
        <v>1778.9204839414251</v>
      </c>
      <c r="L11" s="18">
        <f>IS!L32</f>
        <v>1775.5559047558536</v>
      </c>
      <c r="M11" s="18">
        <f>IS!M32</f>
        <v>1836.0201489640431</v>
      </c>
      <c r="N11" s="18">
        <f>IS!N32</f>
        <v>1830.6702857787709</v>
      </c>
      <c r="O11" s="18">
        <f>IS!O32</f>
        <v>1892.9810883767364</v>
      </c>
      <c r="P11" s="18">
        <f>IS!P32</f>
        <v>1885.4126730666949</v>
      </c>
      <c r="Q11" s="18">
        <f>IS!Q32</f>
        <v>1875.5632242829979</v>
      </c>
      <c r="R11" s="18">
        <f>IS!R32</f>
        <v>1863.3016769975693</v>
      </c>
      <c r="S11" s="18">
        <f>IS!S32</f>
        <v>1848.4911349189078</v>
      </c>
      <c r="T11" s="18">
        <f>IS!T32</f>
        <v>1830.9886381689657</v>
      </c>
      <c r="U11" s="18">
        <f>IS!U32</f>
        <v>1810.6449222606657</v>
      </c>
      <c r="V11" s="18">
        <f>IS!V32</f>
        <v>1787.3041680630167</v>
      </c>
      <c r="W11" s="18">
        <f>IS!W32</f>
        <v>-895.30986611536082</v>
      </c>
      <c r="X11" s="18">
        <f>IS!X32</f>
        <v>-2284.1238809156876</v>
      </c>
      <c r="Y11" s="18">
        <f>IS!Y32</f>
        <v>-2346.5849319675663</v>
      </c>
      <c r="Z11" s="18">
        <f>IS!Z32</f>
        <v>-2410.7985612434895</v>
      </c>
      <c r="AA11" s="18">
        <f>IS!AA32</f>
        <v>-2476.8149210240285</v>
      </c>
      <c r="AB11" s="18">
        <f>IS!AB32</f>
        <v>-2544.6856196568488</v>
      </c>
      <c r="AC11" s="18">
        <f>IS!AC32</f>
        <v>-2614.4637642686953</v>
      </c>
      <c r="AD11" s="18">
        <f>IS!AD32</f>
        <v>-2686.2040047393402</v>
      </c>
      <c r="AE11" s="18">
        <f>IS!AE32</f>
        <v>-2759.9625789749571</v>
      </c>
      <c r="AF11" s="18">
        <f>IS!AF32</f>
        <v>-2835.7973595195094</v>
      </c>
      <c r="AG11" s="18">
        <f>IS!AG32</f>
        <v>-2913.7679015439044</v>
      </c>
    </row>
    <row r="12" spans="1:35">
      <c r="A12" s="45" t="s">
        <v>80</v>
      </c>
      <c r="B12" s="452">
        <v>0</v>
      </c>
      <c r="C12" s="452">
        <f>-(Debt!B36)</f>
        <v>-387.93143682623452</v>
      </c>
      <c r="D12" s="452">
        <f>-(Debt!B44+Debt!C27+Debt!C36)</f>
        <v>-945.74503823017335</v>
      </c>
      <c r="E12" s="452">
        <f>-(Debt!C44+Debt!D27+Debt!D36)</f>
        <v>-972.14755580582232</v>
      </c>
      <c r="F12" s="452">
        <f>-(Debt!D44+Debt!E27+Debt!E36)</f>
        <v>-993.41341015183843</v>
      </c>
      <c r="G12" s="452">
        <f>-(Debt!E44+Debt!F27+Debt!F36)</f>
        <v>-986.28078390391681</v>
      </c>
      <c r="H12" s="452">
        <f>-(Debt!F44+Debt!G27+Debt!G36)</f>
        <v>-962.01333768386553</v>
      </c>
      <c r="I12" s="452">
        <f>-(Debt!G44+Debt!H27+Debt!H36)</f>
        <v>-931.51222003053863</v>
      </c>
      <c r="J12" s="452">
        <f>-(Debt!H44+Debt!I27+Debt!I36)</f>
        <v>-899.13889324978607</v>
      </c>
      <c r="K12" s="452">
        <f>-(Debt!I44+Debt!J27+Debt!J36)</f>
        <v>-861.32819168303877</v>
      </c>
      <c r="L12" s="452">
        <f>-(Debt!J44+Debt!K27+Debt!K36)</f>
        <v>-820.0620579312465</v>
      </c>
      <c r="M12" s="452">
        <f>-(Debt!K44+Debt!L27+Debt!L36)</f>
        <v>-773.3459638960594</v>
      </c>
      <c r="N12" s="452">
        <f>-(Debt!L44+Debt!M27+Debt!M36)</f>
        <v>-720.92437382017272</v>
      </c>
      <c r="O12" s="452">
        <f>-(Debt!M44+Debt!N27+Debt!N36)</f>
        <v>-661.12238224428779</v>
      </c>
      <c r="P12" s="452">
        <f>-(Debt!N44+Debt!O27+Debt!O36)</f>
        <v>-595.57168858274008</v>
      </c>
      <c r="Q12" s="452">
        <f>-(Debt!O44+Debt!P27+Debt!P36)</f>
        <v>-523.62620113272078</v>
      </c>
      <c r="R12" s="452">
        <f>-(Debt!P44+Debt!Q27+Debt!Q36)</f>
        <v>-446.65358975342178</v>
      </c>
      <c r="S12" s="452">
        <f>-(Debt!Q44+Debt!R27+Debt!R36)</f>
        <v>-362.87647388581507</v>
      </c>
      <c r="T12" s="452">
        <f>-(Debt!R44+Debt!S27+Debt!S36)</f>
        <v>-274.0671695892994</v>
      </c>
      <c r="U12" s="452">
        <f>-(Debt!S44+Debt!T27+Debt!T36)</f>
        <v>-178.57988305756413</v>
      </c>
      <c r="V12" s="452">
        <f>-(Debt!T44+Debt!U27+Debt!U36)</f>
        <v>-76.502811297696795</v>
      </c>
      <c r="W12" s="452">
        <f>-(Debt!U44+Debt!V27+Debt!V36)</f>
        <v>-3.6226245368336238</v>
      </c>
      <c r="X12" s="452">
        <f>-(Debt!V44+Debt!W27+Debt!W36)</f>
        <v>-45.883296607967402</v>
      </c>
      <c r="Y12" s="452">
        <f>-(Debt!W44+Debt!X27+Debt!X36)</f>
        <v>-181.51792462894872</v>
      </c>
      <c r="Z12" s="452">
        <f>-(Debt!X44+Debt!Y27+Debt!Y36)</f>
        <v>-348.93522030863892</v>
      </c>
      <c r="AA12" s="452">
        <f>-(Debt!Y44+Debt!Z27+Debt!Z36)</f>
        <v>-534.06877092458171</v>
      </c>
      <c r="AB12" s="452">
        <f>-(Debt!Z44+Debt!AA27+Debt!AA36)</f>
        <v>-739.73288646886135</v>
      </c>
      <c r="AC12" s="452">
        <f>-(Debt!AA44+Debt!AB27+Debt!AB36)</f>
        <v>-966.84643765119222</v>
      </c>
      <c r="AD12" s="452">
        <f>-(Debt!AB44+Debt!AC27+Debt!AC36)</f>
        <v>-1218.332961323993</v>
      </c>
      <c r="AE12" s="452">
        <f>-(Debt!AC44+Debt!AD27+Debt!AD36)</f>
        <v>-1493.263218442703</v>
      </c>
      <c r="AF12" s="452">
        <f>-(Debt!AD44+Debt!AE27+Debt!AE36)</f>
        <v>-1798.688239063581</v>
      </c>
      <c r="AG12" s="452">
        <f>-(Debt!AE44+Debt!AF27+Debt!AF36)</f>
        <v>-1204.4819354161393</v>
      </c>
      <c r="AH12" s="13"/>
      <c r="AI12" s="13"/>
    </row>
    <row r="13" spans="1:35">
      <c r="A13" s="45" t="s">
        <v>359</v>
      </c>
      <c r="B13" s="64">
        <f>SUM(B11:B12)</f>
        <v>0</v>
      </c>
      <c r="C13" s="64">
        <f t="shared" ref="C13:AG13" si="0">SUM(C11:C12)</f>
        <v>77.065745595468684</v>
      </c>
      <c r="D13" s="64">
        <f t="shared" si="0"/>
        <v>-83.307194597618718</v>
      </c>
      <c r="E13" s="64">
        <f t="shared" si="0"/>
        <v>-145.73938007326842</v>
      </c>
      <c r="F13" s="64">
        <f t="shared" si="0"/>
        <v>450.07365896038255</v>
      </c>
      <c r="G13" s="64">
        <f t="shared" si="0"/>
        <v>733.90743244227644</v>
      </c>
      <c r="H13" s="64">
        <f t="shared" si="0"/>
        <v>759.80996649861049</v>
      </c>
      <c r="I13" s="64">
        <f t="shared" si="0"/>
        <v>790.38029467355409</v>
      </c>
      <c r="J13" s="64">
        <f t="shared" si="0"/>
        <v>821.16066449759603</v>
      </c>
      <c r="K13" s="64">
        <f t="shared" si="0"/>
        <v>917.59229225838635</v>
      </c>
      <c r="L13" s="64">
        <f t="shared" si="0"/>
        <v>955.49384682460709</v>
      </c>
      <c r="M13" s="64">
        <f t="shared" si="0"/>
        <v>1062.6741850679837</v>
      </c>
      <c r="N13" s="64">
        <f t="shared" si="0"/>
        <v>1109.7459119585983</v>
      </c>
      <c r="O13" s="64">
        <f t="shared" si="0"/>
        <v>1231.8587061324486</v>
      </c>
      <c r="P13" s="64">
        <f t="shared" si="0"/>
        <v>1289.8409844839548</v>
      </c>
      <c r="Q13" s="64">
        <f t="shared" si="0"/>
        <v>1351.9370231502771</v>
      </c>
      <c r="R13" s="64">
        <f t="shared" si="0"/>
        <v>1416.6480872441475</v>
      </c>
      <c r="S13" s="64">
        <f t="shared" si="0"/>
        <v>1485.6146610330927</v>
      </c>
      <c r="T13" s="64">
        <f t="shared" si="0"/>
        <v>1556.9214685796665</v>
      </c>
      <c r="U13" s="64">
        <f t="shared" si="0"/>
        <v>1632.0650392031016</v>
      </c>
      <c r="V13" s="64">
        <f t="shared" si="0"/>
        <v>1710.80135676532</v>
      </c>
      <c r="W13" s="64">
        <f t="shared" si="0"/>
        <v>-898.93249065219447</v>
      </c>
      <c r="X13" s="64">
        <f t="shared" si="0"/>
        <v>-2330.0071775236552</v>
      </c>
      <c r="Y13" s="64">
        <f t="shared" si="0"/>
        <v>-2528.1028565965148</v>
      </c>
      <c r="Z13" s="64">
        <f t="shared" si="0"/>
        <v>-2759.7337815521287</v>
      </c>
      <c r="AA13" s="64">
        <f t="shared" si="0"/>
        <v>-3010.8836919486102</v>
      </c>
      <c r="AB13" s="64">
        <f t="shared" si="0"/>
        <v>-3284.4185061257103</v>
      </c>
      <c r="AC13" s="64">
        <f t="shared" si="0"/>
        <v>-3581.3102019198877</v>
      </c>
      <c r="AD13" s="64">
        <f t="shared" si="0"/>
        <v>-3904.5369660633332</v>
      </c>
      <c r="AE13" s="64">
        <f t="shared" si="0"/>
        <v>-4253.22579741766</v>
      </c>
      <c r="AF13" s="64">
        <f t="shared" si="0"/>
        <v>-4634.4855985830909</v>
      </c>
      <c r="AG13" s="64">
        <f t="shared" si="0"/>
        <v>-4118.2498369600435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360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-655.39097737363784</v>
      </c>
      <c r="V15" s="18">
        <f>-Taxes!U24-Taxes!U41</f>
        <v>-686.75627207050616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163.64212752446838</v>
      </c>
      <c r="D16" s="23">
        <f>-Debt!C48</f>
        <v>314.32951984123065</v>
      </c>
      <c r="E16" s="23">
        <f>-Debt!D48</f>
        <v>329.5391597651851</v>
      </c>
      <c r="F16" s="23">
        <f>-Debt!E48</f>
        <v>0.62626427445320587</v>
      </c>
      <c r="G16" s="23">
        <f>-Debt!F48</f>
        <v>-283.11857284563303</v>
      </c>
      <c r="H16" s="23">
        <f>-Debt!G48</f>
        <v>-362.15254858273329</v>
      </c>
      <c r="I16" s="23">
        <f>-Debt!H48</f>
        <v>-393.00721033727132</v>
      </c>
      <c r="J16" s="23">
        <f>-Debt!I48</f>
        <v>-425.37537948842873</v>
      </c>
      <c r="K16" s="23">
        <f>-Debt!J48</f>
        <v>-494.92838914210915</v>
      </c>
      <c r="L16" s="23">
        <f>-Debt!K48</f>
        <v>-546.39543825794863</v>
      </c>
      <c r="M16" s="23">
        <f>-Debt!L48</f>
        <v>-627.38134516385435</v>
      </c>
      <c r="N16" s="23">
        <f>-Debt!M48</f>
        <v>-689.26879480967909</v>
      </c>
      <c r="O16" s="23">
        <f>-Debt!N48</f>
        <v>-782.1076442369349</v>
      </c>
      <c r="P16" s="23">
        <f>-Debt!O48</f>
        <v>-856.19722914656904</v>
      </c>
      <c r="Q16" s="23">
        <f>-Debt!P48</f>
        <v>-921.00367600660684</v>
      </c>
      <c r="R16" s="23">
        <f>-Debt!Q48</f>
        <v>-989.98327606795283</v>
      </c>
      <c r="S16" s="23">
        <f>-Debt!R48</f>
        <v>-1060.9038077778405</v>
      </c>
      <c r="T16" s="23">
        <f>-Debt!S48</f>
        <v>-1137.7422722145302</v>
      </c>
      <c r="U16" s="23">
        <f>-Debt!T48</f>
        <v>-1218.1254378545507</v>
      </c>
      <c r="V16" s="23">
        <f>-Debt!U48</f>
        <v>-1245.7942214498883</v>
      </c>
      <c r="W16" s="23">
        <f>-Debt!V48</f>
        <v>178.7851290500673</v>
      </c>
      <c r="X16" s="23">
        <f>-Debt!W48</f>
        <v>1536.5537732937339</v>
      </c>
      <c r="Y16" s="23">
        <f>-Debt!X48</f>
        <v>1974.6044252031134</v>
      </c>
      <c r="Z16" s="23">
        <f>-Debt!Y48</f>
        <v>2192.343946945979</v>
      </c>
      <c r="AA16" s="23">
        <f>-Debt!Z48</f>
        <v>2425.3871086149666</v>
      </c>
      <c r="AB16" s="23">
        <f>-Debt!AA48</f>
        <v>2684.1670647600367</v>
      </c>
      <c r="AC16" s="23">
        <f>-Debt!AB48</f>
        <v>2964.5903002400137</v>
      </c>
      <c r="AD16" s="23">
        <f>-Debt!AC48</f>
        <v>3272.2928794917771</v>
      </c>
      <c r="AE16" s="23">
        <f>-Debt!AD48</f>
        <v>3600.7583285519468</v>
      </c>
      <c r="AF16" s="23">
        <f>-Debt!AE48</f>
        <v>3965.5271667665656</v>
      </c>
      <c r="AG16" s="23">
        <f>-Debt!AF48</f>
        <v>3989.6934080816827</v>
      </c>
    </row>
    <row r="17" spans="1:33">
      <c r="A17" s="45" t="s">
        <v>361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362</v>
      </c>
      <c r="B18" s="64">
        <f>B13+B17+B16+B15</f>
        <v>0</v>
      </c>
      <c r="C18" s="64">
        <f t="shared" ref="C18:AG18" si="1">C13+C17+C16+C15</f>
        <v>240.70787311993706</v>
      </c>
      <c r="D18" s="64">
        <f t="shared" si="1"/>
        <v>231.02232524361193</v>
      </c>
      <c r="E18" s="64">
        <f t="shared" si="1"/>
        <v>183.79977969191668</v>
      </c>
      <c r="F18" s="64">
        <f t="shared" si="1"/>
        <v>450.69992323483575</v>
      </c>
      <c r="G18" s="64">
        <f t="shared" si="1"/>
        <v>450.78885959664342</v>
      </c>
      <c r="H18" s="64">
        <f t="shared" si="1"/>
        <v>397.6574179158772</v>
      </c>
      <c r="I18" s="64">
        <f t="shared" si="1"/>
        <v>397.37308433628277</v>
      </c>
      <c r="J18" s="64">
        <f t="shared" si="1"/>
        <v>395.7852850091673</v>
      </c>
      <c r="K18" s="64">
        <f t="shared" si="1"/>
        <v>422.6639031162772</v>
      </c>
      <c r="L18" s="64">
        <f t="shared" si="1"/>
        <v>409.09840856665846</v>
      </c>
      <c r="M18" s="64">
        <f t="shared" si="1"/>
        <v>435.29283990412932</v>
      </c>
      <c r="N18" s="64">
        <f t="shared" si="1"/>
        <v>420.47711714891921</v>
      </c>
      <c r="O18" s="64">
        <f t="shared" si="1"/>
        <v>449.75106189551366</v>
      </c>
      <c r="P18" s="64">
        <f t="shared" si="1"/>
        <v>433.64375533738576</v>
      </c>
      <c r="Q18" s="64">
        <f t="shared" si="1"/>
        <v>430.93334714367029</v>
      </c>
      <c r="R18" s="64">
        <f t="shared" si="1"/>
        <v>426.66481117619469</v>
      </c>
      <c r="S18" s="64">
        <f t="shared" si="1"/>
        <v>424.71085325525223</v>
      </c>
      <c r="T18" s="64">
        <f t="shared" si="1"/>
        <v>419.17919636513625</v>
      </c>
      <c r="U18" s="64">
        <f t="shared" si="1"/>
        <v>-241.45137602508692</v>
      </c>
      <c r="V18" s="64">
        <f t="shared" si="1"/>
        <v>-221.74913675507446</v>
      </c>
      <c r="W18" s="64">
        <f t="shared" si="1"/>
        <v>-720.14736160212715</v>
      </c>
      <c r="X18" s="64">
        <f t="shared" si="1"/>
        <v>-793.45340422992126</v>
      </c>
      <c r="Y18" s="64">
        <f t="shared" si="1"/>
        <v>-553.49843139340146</v>
      </c>
      <c r="Z18" s="64">
        <f t="shared" si="1"/>
        <v>-567.38983460614963</v>
      </c>
      <c r="AA18" s="64">
        <f t="shared" si="1"/>
        <v>-585.49658333364368</v>
      </c>
      <c r="AB18" s="64">
        <f t="shared" si="1"/>
        <v>-600.2514413656736</v>
      </c>
      <c r="AC18" s="64">
        <f t="shared" si="1"/>
        <v>-616.71990167987406</v>
      </c>
      <c r="AD18" s="64">
        <f t="shared" si="1"/>
        <v>-632.24408657155618</v>
      </c>
      <c r="AE18" s="64">
        <f t="shared" si="1"/>
        <v>-652.46746886571327</v>
      </c>
      <c r="AF18" s="64">
        <f t="shared" si="1"/>
        <v>-668.95843181652526</v>
      </c>
      <c r="AG18" s="64">
        <f t="shared" si="1"/>
        <v>-128.55642887836075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413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240.70787311993706</v>
      </c>
      <c r="D21" s="64">
        <f t="shared" si="2"/>
        <v>231.02232524361193</v>
      </c>
      <c r="E21" s="64">
        <f t="shared" si="2"/>
        <v>183.79977969191668</v>
      </c>
      <c r="F21" s="64">
        <f t="shared" si="2"/>
        <v>450.69992323483575</v>
      </c>
      <c r="G21" s="64">
        <f t="shared" si="2"/>
        <v>450.78885959664342</v>
      </c>
      <c r="H21" s="64">
        <f t="shared" si="2"/>
        <v>397.6574179158772</v>
      </c>
      <c r="I21" s="64">
        <f t="shared" si="2"/>
        <v>397.37308433628277</v>
      </c>
      <c r="J21" s="64">
        <f t="shared" si="2"/>
        <v>395.7852850091673</v>
      </c>
      <c r="K21" s="64">
        <f t="shared" si="2"/>
        <v>422.6639031162772</v>
      </c>
      <c r="L21" s="64">
        <f t="shared" si="2"/>
        <v>409.09840856665846</v>
      </c>
      <c r="M21" s="64">
        <f t="shared" si="2"/>
        <v>435.29283990412932</v>
      </c>
      <c r="N21" s="64">
        <f t="shared" si="2"/>
        <v>420.47711714891921</v>
      </c>
      <c r="O21" s="64">
        <f t="shared" si="2"/>
        <v>449.75106189551366</v>
      </c>
      <c r="P21" s="64">
        <f t="shared" si="2"/>
        <v>433.64375533738576</v>
      </c>
      <c r="Q21" s="64">
        <f t="shared" si="2"/>
        <v>430.93334714367029</v>
      </c>
      <c r="R21" s="64">
        <f t="shared" si="2"/>
        <v>426.66481117619469</v>
      </c>
      <c r="S21" s="64">
        <f t="shared" si="2"/>
        <v>424.71085325525223</v>
      </c>
      <c r="T21" s="64">
        <f t="shared" si="2"/>
        <v>419.17919636513625</v>
      </c>
      <c r="U21" s="64">
        <f t="shared" si="2"/>
        <v>-241.45137602508692</v>
      </c>
      <c r="V21" s="64">
        <f t="shared" si="2"/>
        <v>-221.74913675507446</v>
      </c>
      <c r="W21" s="64">
        <f t="shared" si="2"/>
        <v>-720.14736160212715</v>
      </c>
      <c r="X21" s="64">
        <f t="shared" si="2"/>
        <v>-793.45340422992126</v>
      </c>
      <c r="Y21" s="64">
        <f t="shared" si="2"/>
        <v>-553.49843139340146</v>
      </c>
      <c r="Z21" s="64">
        <f t="shared" si="2"/>
        <v>-567.38983460614963</v>
      </c>
      <c r="AA21" s="64">
        <f t="shared" si="2"/>
        <v>-585.49658333364368</v>
      </c>
      <c r="AB21" s="64">
        <f t="shared" si="2"/>
        <v>-600.2514413656736</v>
      </c>
      <c r="AC21" s="64">
        <f t="shared" si="2"/>
        <v>-616.71990167987406</v>
      </c>
      <c r="AD21" s="64">
        <f t="shared" si="2"/>
        <v>-632.24408657155618</v>
      </c>
      <c r="AE21" s="64">
        <f t="shared" si="2"/>
        <v>-652.46746886571327</v>
      </c>
      <c r="AF21" s="64">
        <f t="shared" si="2"/>
        <v>-668.95843181652526</v>
      </c>
      <c r="AG21" s="64">
        <f t="shared" si="2"/>
        <v>-128.55642887836075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369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-17211.942464736254</v>
      </c>
      <c r="C25" s="18">
        <f t="shared" ref="C25:V25" si="3">+B29</f>
        <v>-17211.942464736254</v>
      </c>
      <c r="D25" s="18">
        <f t="shared" si="3"/>
        <v>-17211.942464736254</v>
      </c>
      <c r="E25" s="18">
        <f t="shared" si="3"/>
        <v>-17211.942464736254</v>
      </c>
      <c r="F25" s="18">
        <f t="shared" si="3"/>
        <v>-17211.942464736254</v>
      </c>
      <c r="G25" s="18">
        <f t="shared" si="3"/>
        <v>-17211.942464736254</v>
      </c>
      <c r="H25" s="18">
        <f t="shared" si="3"/>
        <v>-17211.942464736254</v>
      </c>
      <c r="I25" s="18">
        <f t="shared" si="3"/>
        <v>-17211.942464736254</v>
      </c>
      <c r="J25" s="18">
        <f t="shared" si="3"/>
        <v>-17211.942464736254</v>
      </c>
      <c r="K25" s="18">
        <f t="shared" si="3"/>
        <v>-17211.942464736254</v>
      </c>
      <c r="L25" s="18">
        <f t="shared" si="3"/>
        <v>-17211.942464736254</v>
      </c>
      <c r="M25" s="18">
        <f t="shared" si="3"/>
        <v>-17211.942464736254</v>
      </c>
      <c r="N25" s="18">
        <f t="shared" si="3"/>
        <v>-17211.942464736254</v>
      </c>
      <c r="O25" s="18">
        <f t="shared" si="3"/>
        <v>-17211.942464736254</v>
      </c>
      <c r="P25" s="18">
        <f t="shared" si="3"/>
        <v>-17211.942464736254</v>
      </c>
      <c r="Q25" s="18">
        <f t="shared" si="3"/>
        <v>-17211.942464736254</v>
      </c>
      <c r="R25" s="18">
        <f t="shared" si="3"/>
        <v>-17211.942464736254</v>
      </c>
      <c r="S25" s="18">
        <f t="shared" si="3"/>
        <v>-17211.942464736254</v>
      </c>
      <c r="T25" s="18">
        <f t="shared" si="3"/>
        <v>-17211.942464736254</v>
      </c>
      <c r="U25" s="18">
        <f t="shared" si="3"/>
        <v>-17211.942464736254</v>
      </c>
      <c r="V25" s="18">
        <f t="shared" si="3"/>
        <v>-17211.942464736254</v>
      </c>
      <c r="W25" s="18">
        <f t="shared" ref="W25:AG25" si="4">+V29</f>
        <v>-17211.942464736254</v>
      </c>
      <c r="X25" s="18">
        <f t="shared" si="4"/>
        <v>-17211.942464736254</v>
      </c>
      <c r="Y25" s="18">
        <f t="shared" si="4"/>
        <v>-17211.942464736254</v>
      </c>
      <c r="Z25" s="18">
        <f t="shared" si="4"/>
        <v>-17211.942464736254</v>
      </c>
      <c r="AA25" s="18">
        <f t="shared" si="4"/>
        <v>-17211.942464736254</v>
      </c>
      <c r="AB25" s="18">
        <f t="shared" si="4"/>
        <v>-17211.942464736254</v>
      </c>
      <c r="AC25" s="18">
        <f t="shared" si="4"/>
        <v>-17211.942464736254</v>
      </c>
      <c r="AD25" s="18">
        <f t="shared" si="4"/>
        <v>-17211.942464736254</v>
      </c>
      <c r="AE25" s="18">
        <f t="shared" si="4"/>
        <v>-17211.942464736254</v>
      </c>
      <c r="AF25" s="18">
        <f t="shared" si="4"/>
        <v>-17211.942464736254</v>
      </c>
      <c r="AG25" s="18">
        <f t="shared" si="4"/>
        <v>-17211.942464736254</v>
      </c>
    </row>
    <row r="26" spans="1:33">
      <c r="A26" s="45" t="s">
        <v>368</v>
      </c>
      <c r="B26" s="18">
        <v>0</v>
      </c>
      <c r="C26" s="18">
        <f>+-B25*$B$24</f>
        <v>2409.6719450630758</v>
      </c>
      <c r="D26" s="18">
        <f t="shared" ref="D26:V26" si="5">+-D25*$B$24</f>
        <v>2409.6719450630758</v>
      </c>
      <c r="E26" s="18">
        <f t="shared" si="5"/>
        <v>2409.6719450630758</v>
      </c>
      <c r="F26" s="18">
        <f t="shared" si="5"/>
        <v>2409.6719450630758</v>
      </c>
      <c r="G26" s="18">
        <f t="shared" si="5"/>
        <v>2409.6719450630758</v>
      </c>
      <c r="H26" s="18">
        <f t="shared" si="5"/>
        <v>2409.6719450630758</v>
      </c>
      <c r="I26" s="18">
        <f t="shared" si="5"/>
        <v>2409.6719450630758</v>
      </c>
      <c r="J26" s="18">
        <f t="shared" si="5"/>
        <v>2409.6719450630758</v>
      </c>
      <c r="K26" s="18">
        <f t="shared" si="5"/>
        <v>2409.6719450630758</v>
      </c>
      <c r="L26" s="18">
        <f t="shared" si="5"/>
        <v>2409.6719450630758</v>
      </c>
      <c r="M26" s="18">
        <f t="shared" si="5"/>
        <v>2409.6719450630758</v>
      </c>
      <c r="N26" s="18">
        <f t="shared" si="5"/>
        <v>2409.6719450630758</v>
      </c>
      <c r="O26" s="18">
        <f t="shared" si="5"/>
        <v>2409.6719450630758</v>
      </c>
      <c r="P26" s="18">
        <f t="shared" si="5"/>
        <v>2409.6719450630758</v>
      </c>
      <c r="Q26" s="18">
        <f t="shared" si="5"/>
        <v>2409.6719450630758</v>
      </c>
      <c r="R26" s="18">
        <f t="shared" si="5"/>
        <v>2409.6719450630758</v>
      </c>
      <c r="S26" s="18">
        <f t="shared" si="5"/>
        <v>2409.6719450630758</v>
      </c>
      <c r="T26" s="18">
        <f t="shared" si="5"/>
        <v>2409.6719450630758</v>
      </c>
      <c r="U26" s="18">
        <f t="shared" si="5"/>
        <v>2409.6719450630758</v>
      </c>
      <c r="V26" s="18">
        <f t="shared" si="5"/>
        <v>2409.6719450630758</v>
      </c>
      <c r="W26" s="18">
        <f t="shared" ref="W26:AG26" si="6">+-W25*$B$24</f>
        <v>2409.6719450630758</v>
      </c>
      <c r="X26" s="18">
        <f t="shared" si="6"/>
        <v>2409.6719450630758</v>
      </c>
      <c r="Y26" s="18">
        <f t="shared" si="6"/>
        <v>2409.6719450630758</v>
      </c>
      <c r="Z26" s="18">
        <f t="shared" si="6"/>
        <v>2409.6719450630758</v>
      </c>
      <c r="AA26" s="18">
        <f t="shared" si="6"/>
        <v>2409.6719450630758</v>
      </c>
      <c r="AB26" s="18">
        <f t="shared" si="6"/>
        <v>2409.6719450630758</v>
      </c>
      <c r="AC26" s="18">
        <f t="shared" si="6"/>
        <v>2409.6719450630758</v>
      </c>
      <c r="AD26" s="18">
        <f t="shared" si="6"/>
        <v>2409.6719450630758</v>
      </c>
      <c r="AE26" s="18">
        <f t="shared" si="6"/>
        <v>2409.6719450630758</v>
      </c>
      <c r="AF26" s="18">
        <f t="shared" si="6"/>
        <v>2409.6719450630758</v>
      </c>
      <c r="AG26" s="18">
        <f t="shared" si="6"/>
        <v>2409.6719450630758</v>
      </c>
    </row>
    <row r="27" spans="1:33">
      <c r="A27" s="45" t="s">
        <v>364</v>
      </c>
      <c r="B27" s="18">
        <f>B21</f>
        <v>0</v>
      </c>
      <c r="C27" s="18">
        <f t="shared" ref="C27:AG27" si="7">C21</f>
        <v>240.70787311993706</v>
      </c>
      <c r="D27" s="18">
        <f t="shared" si="7"/>
        <v>231.02232524361193</v>
      </c>
      <c r="E27" s="18">
        <f t="shared" si="7"/>
        <v>183.79977969191668</v>
      </c>
      <c r="F27" s="18">
        <f t="shared" si="7"/>
        <v>450.69992323483575</v>
      </c>
      <c r="G27" s="18">
        <f t="shared" si="7"/>
        <v>450.78885959664342</v>
      </c>
      <c r="H27" s="18">
        <f t="shared" si="7"/>
        <v>397.6574179158772</v>
      </c>
      <c r="I27" s="18">
        <f t="shared" si="7"/>
        <v>397.37308433628277</v>
      </c>
      <c r="J27" s="18">
        <f t="shared" si="7"/>
        <v>395.7852850091673</v>
      </c>
      <c r="K27" s="18">
        <f t="shared" si="7"/>
        <v>422.6639031162772</v>
      </c>
      <c r="L27" s="18">
        <f t="shared" si="7"/>
        <v>409.09840856665846</v>
      </c>
      <c r="M27" s="18">
        <f t="shared" si="7"/>
        <v>435.29283990412932</v>
      </c>
      <c r="N27" s="18">
        <f t="shared" si="7"/>
        <v>420.47711714891921</v>
      </c>
      <c r="O27" s="18">
        <f t="shared" si="7"/>
        <v>449.75106189551366</v>
      </c>
      <c r="P27" s="18">
        <f t="shared" si="7"/>
        <v>433.64375533738576</v>
      </c>
      <c r="Q27" s="18">
        <f t="shared" si="7"/>
        <v>430.93334714367029</v>
      </c>
      <c r="R27" s="18">
        <f t="shared" si="7"/>
        <v>426.66481117619469</v>
      </c>
      <c r="S27" s="18">
        <f t="shared" si="7"/>
        <v>424.71085325525223</v>
      </c>
      <c r="T27" s="18">
        <f t="shared" si="7"/>
        <v>419.17919636513625</v>
      </c>
      <c r="U27" s="18">
        <f t="shared" si="7"/>
        <v>-241.45137602508692</v>
      </c>
      <c r="V27" s="18">
        <f t="shared" si="7"/>
        <v>-221.74913675507446</v>
      </c>
      <c r="W27" s="18">
        <f t="shared" si="7"/>
        <v>-720.14736160212715</v>
      </c>
      <c r="X27" s="18">
        <f t="shared" si="7"/>
        <v>-793.45340422992126</v>
      </c>
      <c r="Y27" s="18">
        <f t="shared" si="7"/>
        <v>-553.49843139340146</v>
      </c>
      <c r="Z27" s="18">
        <f t="shared" si="7"/>
        <v>-567.38983460614963</v>
      </c>
      <c r="AA27" s="18">
        <f t="shared" si="7"/>
        <v>-585.49658333364368</v>
      </c>
      <c r="AB27" s="18">
        <f t="shared" si="7"/>
        <v>-600.2514413656736</v>
      </c>
      <c r="AC27" s="18">
        <f t="shared" si="7"/>
        <v>-616.71990167987406</v>
      </c>
      <c r="AD27" s="18">
        <f t="shared" si="7"/>
        <v>-632.24408657155618</v>
      </c>
      <c r="AE27" s="18">
        <f t="shared" si="7"/>
        <v>-652.46746886571327</v>
      </c>
      <c r="AF27" s="18">
        <f t="shared" si="7"/>
        <v>-668.95843181652526</v>
      </c>
      <c r="AG27" s="18">
        <f t="shared" si="7"/>
        <v>-128.55642887836075</v>
      </c>
    </row>
    <row r="28" spans="1:33">
      <c r="A28" s="45" t="s">
        <v>367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0</v>
      </c>
      <c r="U28" s="315">
        <f t="shared" si="8"/>
        <v>0</v>
      </c>
      <c r="V28" s="315">
        <f t="shared" si="8"/>
        <v>0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58</v>
      </c>
      <c r="B29" s="18">
        <f t="shared" ref="B29:V29" si="10">+B25+B28</f>
        <v>-17211.942464736254</v>
      </c>
      <c r="C29" s="18">
        <f t="shared" si="10"/>
        <v>-17211.942464736254</v>
      </c>
      <c r="D29" s="18">
        <f t="shared" si="10"/>
        <v>-17211.942464736254</v>
      </c>
      <c r="E29" s="18">
        <f t="shared" si="10"/>
        <v>-17211.942464736254</v>
      </c>
      <c r="F29" s="18">
        <f t="shared" si="10"/>
        <v>-17211.942464736254</v>
      </c>
      <c r="G29" s="18">
        <f t="shared" si="10"/>
        <v>-17211.942464736254</v>
      </c>
      <c r="H29" s="18">
        <f t="shared" si="10"/>
        <v>-17211.942464736254</v>
      </c>
      <c r="I29" s="18">
        <f t="shared" si="10"/>
        <v>-17211.942464736254</v>
      </c>
      <c r="J29" s="18">
        <f t="shared" si="10"/>
        <v>-17211.942464736254</v>
      </c>
      <c r="K29" s="18">
        <f t="shared" si="10"/>
        <v>-17211.942464736254</v>
      </c>
      <c r="L29" s="18">
        <f t="shared" si="10"/>
        <v>-17211.942464736254</v>
      </c>
      <c r="M29" s="18">
        <f t="shared" si="10"/>
        <v>-17211.942464736254</v>
      </c>
      <c r="N29" s="18">
        <f t="shared" si="10"/>
        <v>-17211.942464736254</v>
      </c>
      <c r="O29" s="18">
        <f t="shared" si="10"/>
        <v>-17211.942464736254</v>
      </c>
      <c r="P29" s="18">
        <f t="shared" si="10"/>
        <v>-17211.942464736254</v>
      </c>
      <c r="Q29" s="18">
        <f t="shared" si="10"/>
        <v>-17211.942464736254</v>
      </c>
      <c r="R29" s="18">
        <f t="shared" si="10"/>
        <v>-17211.942464736254</v>
      </c>
      <c r="S29" s="18">
        <f t="shared" si="10"/>
        <v>-17211.942464736254</v>
      </c>
      <c r="T29" s="18">
        <f t="shared" si="10"/>
        <v>-17211.942464736254</v>
      </c>
      <c r="U29" s="18">
        <f t="shared" si="10"/>
        <v>-17211.942464736254</v>
      </c>
      <c r="V29" s="18">
        <f t="shared" si="10"/>
        <v>-17211.942464736254</v>
      </c>
      <c r="W29" s="18">
        <f t="shared" ref="W29:AG29" si="11">+W25+W28</f>
        <v>-17211.942464736254</v>
      </c>
      <c r="X29" s="18">
        <f t="shared" si="11"/>
        <v>-17211.942464736254</v>
      </c>
      <c r="Y29" s="18">
        <f t="shared" si="11"/>
        <v>-17211.942464736254</v>
      </c>
      <c r="Z29" s="18">
        <f t="shared" si="11"/>
        <v>-17211.942464736254</v>
      </c>
      <c r="AA29" s="18">
        <f t="shared" si="11"/>
        <v>-17211.942464736254</v>
      </c>
      <c r="AB29" s="18">
        <f t="shared" si="11"/>
        <v>-17211.942464736254</v>
      </c>
      <c r="AC29" s="18">
        <f t="shared" si="11"/>
        <v>-17211.942464736254</v>
      </c>
      <c r="AD29" s="18">
        <f t="shared" si="11"/>
        <v>-17211.942464736254</v>
      </c>
      <c r="AE29" s="18">
        <f t="shared" si="11"/>
        <v>-17211.942464736254</v>
      </c>
      <c r="AF29" s="18">
        <f t="shared" si="11"/>
        <v>-17211.942464736254</v>
      </c>
      <c r="AG29" s="18">
        <f t="shared" si="11"/>
        <v>-17211.942464736254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400</v>
      </c>
    </row>
    <row r="34" spans="1:33">
      <c r="A34" s="455"/>
    </row>
    <row r="35" spans="1:33">
      <c r="A35" s="454" t="s">
        <v>366</v>
      </c>
    </row>
    <row r="36" spans="1:33" s="18" customFormat="1">
      <c r="A36" s="45" t="s">
        <v>365</v>
      </c>
      <c r="B36" s="18">
        <f>-Assumptions!C11*Assumptions!$G$48</f>
        <v>-17211.942464736254</v>
      </c>
    </row>
    <row r="37" spans="1:33" s="18" customFormat="1">
      <c r="A37" s="45" t="s">
        <v>364</v>
      </c>
      <c r="B37" s="462">
        <f>B21*Assumptions!$G$48</f>
        <v>0</v>
      </c>
      <c r="C37" s="462">
        <f>C21*Assumptions!$G$48</f>
        <v>240.70787311993706</v>
      </c>
      <c r="D37" s="462">
        <f>D21*Assumptions!$G$48</f>
        <v>231.02232524361193</v>
      </c>
      <c r="E37" s="462">
        <f>E21*Assumptions!$G$48</f>
        <v>183.79977969191668</v>
      </c>
      <c r="F37" s="462">
        <f>F21*Assumptions!$G$48</f>
        <v>450.69992323483575</v>
      </c>
      <c r="G37" s="462">
        <f>G21*Assumptions!$G$48</f>
        <v>450.78885959664342</v>
      </c>
      <c r="H37" s="462">
        <f>H21*Assumptions!$G$48</f>
        <v>397.6574179158772</v>
      </c>
      <c r="I37" s="462">
        <f>I21*Assumptions!$G$48</f>
        <v>397.37308433628277</v>
      </c>
      <c r="J37" s="462">
        <f>J21*Assumptions!$G$48</f>
        <v>395.7852850091673</v>
      </c>
      <c r="K37" s="462">
        <f>K21*Assumptions!$G$48</f>
        <v>422.6639031162772</v>
      </c>
      <c r="L37" s="462">
        <f>L21*Assumptions!$G$48</f>
        <v>409.09840856665846</v>
      </c>
      <c r="M37" s="462">
        <f>M21*Assumptions!$G$48</f>
        <v>435.29283990412932</v>
      </c>
      <c r="N37" s="462">
        <f>N21*Assumptions!$G$48</f>
        <v>420.47711714891921</v>
      </c>
      <c r="O37" s="462">
        <f>O21*Assumptions!$G$48</f>
        <v>449.75106189551366</v>
      </c>
      <c r="P37" s="462">
        <f>P21*Assumptions!$G$48</f>
        <v>433.64375533738576</v>
      </c>
      <c r="Q37" s="462">
        <f>Q21*Assumptions!$G$48</f>
        <v>430.93334714367029</v>
      </c>
      <c r="R37" s="462">
        <f>R21*Assumptions!$G$48</f>
        <v>426.66481117619469</v>
      </c>
      <c r="S37" s="462">
        <f>S21*Assumptions!$G$48</f>
        <v>424.71085325525223</v>
      </c>
      <c r="T37" s="462">
        <f>T21*Assumptions!$G$48</f>
        <v>419.17919636513625</v>
      </c>
      <c r="U37" s="462">
        <f>U21*Assumptions!$G$48</f>
        <v>-241.45137602508692</v>
      </c>
      <c r="V37" s="462">
        <f>V21*Assumptions!$G$48</f>
        <v>-221.74913675507446</v>
      </c>
      <c r="W37" s="462">
        <f>W21*Assumptions!$G$48</f>
        <v>-720.14736160212715</v>
      </c>
      <c r="X37" s="462">
        <f>X21*Assumptions!$G$48</f>
        <v>-793.45340422992126</v>
      </c>
      <c r="Y37" s="462">
        <f>Y21*Assumptions!$G$48</f>
        <v>-553.49843139340146</v>
      </c>
      <c r="Z37" s="462">
        <f>Z21*Assumptions!$G$48</f>
        <v>-567.38983460614963</v>
      </c>
      <c r="AA37" s="462">
        <f>AA21*Assumptions!$G$48</f>
        <v>-585.49658333364368</v>
      </c>
      <c r="AB37" s="462">
        <f>AB21*Assumptions!$G$48</f>
        <v>-600.2514413656736</v>
      </c>
      <c r="AC37" s="462">
        <f>AC21*Assumptions!$G$48</f>
        <v>-616.71990167987406</v>
      </c>
      <c r="AD37" s="462">
        <f>AD21*Assumptions!$G$48</f>
        <v>-632.24408657155618</v>
      </c>
      <c r="AE37" s="462">
        <f>AE21*Assumptions!$G$48</f>
        <v>-652.46746886571327</v>
      </c>
      <c r="AF37" s="462">
        <f>AF21*Assumptions!$G$48</f>
        <v>-668.95843181652526</v>
      </c>
      <c r="AG37" s="462">
        <f>AG21*Assumptions!$G$48</f>
        <v>-128.55642887836075</v>
      </c>
    </row>
    <row r="38" spans="1:33" s="18" customFormat="1">
      <c r="A38" s="45" t="s">
        <v>363</v>
      </c>
      <c r="B38" s="18">
        <f t="shared" ref="B38:AG38" si="12">SUM(B36:B37)</f>
        <v>-17211.942464736254</v>
      </c>
      <c r="C38" s="18">
        <f t="shared" si="12"/>
        <v>240.70787311993706</v>
      </c>
      <c r="D38" s="18">
        <f t="shared" si="12"/>
        <v>231.02232524361193</v>
      </c>
      <c r="E38" s="18">
        <f t="shared" si="12"/>
        <v>183.79977969191668</v>
      </c>
      <c r="F38" s="18">
        <f t="shared" si="12"/>
        <v>450.69992323483575</v>
      </c>
      <c r="G38" s="18">
        <f t="shared" si="12"/>
        <v>450.78885959664342</v>
      </c>
      <c r="H38" s="18">
        <f t="shared" si="12"/>
        <v>397.6574179158772</v>
      </c>
      <c r="I38" s="18">
        <f t="shared" si="12"/>
        <v>397.37308433628277</v>
      </c>
      <c r="J38" s="18">
        <f t="shared" si="12"/>
        <v>395.7852850091673</v>
      </c>
      <c r="K38" s="18">
        <f t="shared" si="12"/>
        <v>422.6639031162772</v>
      </c>
      <c r="L38" s="18">
        <f t="shared" si="12"/>
        <v>409.09840856665846</v>
      </c>
      <c r="M38" s="18">
        <f t="shared" si="12"/>
        <v>435.29283990412932</v>
      </c>
      <c r="N38" s="18">
        <f t="shared" si="12"/>
        <v>420.47711714891921</v>
      </c>
      <c r="O38" s="18">
        <f t="shared" si="12"/>
        <v>449.75106189551366</v>
      </c>
      <c r="P38" s="18">
        <f t="shared" si="12"/>
        <v>433.64375533738576</v>
      </c>
      <c r="Q38" s="18">
        <f t="shared" si="12"/>
        <v>430.93334714367029</v>
      </c>
      <c r="R38" s="18">
        <f t="shared" si="12"/>
        <v>426.66481117619469</v>
      </c>
      <c r="S38" s="18">
        <f t="shared" si="12"/>
        <v>424.71085325525223</v>
      </c>
      <c r="T38" s="18">
        <f t="shared" si="12"/>
        <v>419.17919636513625</v>
      </c>
      <c r="U38" s="18">
        <f t="shared" si="12"/>
        <v>-241.45137602508692</v>
      </c>
      <c r="V38" s="18">
        <f t="shared" si="12"/>
        <v>-221.74913675507446</v>
      </c>
      <c r="W38" s="18">
        <f t="shared" si="12"/>
        <v>-720.14736160212715</v>
      </c>
      <c r="X38" s="18">
        <f t="shared" si="12"/>
        <v>-793.45340422992126</v>
      </c>
      <c r="Y38" s="18">
        <f t="shared" si="12"/>
        <v>-553.49843139340146</v>
      </c>
      <c r="Z38" s="18">
        <f t="shared" si="12"/>
        <v>-567.38983460614963</v>
      </c>
      <c r="AA38" s="18">
        <f t="shared" si="12"/>
        <v>-585.49658333364368</v>
      </c>
      <c r="AB38" s="18">
        <f t="shared" si="12"/>
        <v>-600.2514413656736</v>
      </c>
      <c r="AC38" s="18">
        <f t="shared" si="12"/>
        <v>-616.71990167987406</v>
      </c>
      <c r="AD38" s="18">
        <f t="shared" si="12"/>
        <v>-632.24408657155618</v>
      </c>
      <c r="AE38" s="18">
        <f t="shared" si="12"/>
        <v>-652.46746886571327</v>
      </c>
      <c r="AF38" s="18">
        <f t="shared" si="12"/>
        <v>-668.95843181652526</v>
      </c>
      <c r="AG38" s="18">
        <f t="shared" si="12"/>
        <v>-128.55642887836075</v>
      </c>
    </row>
    <row r="39" spans="1:33">
      <c r="B39" s="454" t="s">
        <v>1</v>
      </c>
      <c r="C39" s="460" t="e">
        <f>XIRR(B38:W38,B8:W8)</f>
        <v>#NUM!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365</v>
      </c>
      <c r="B42" s="18">
        <f>-Assumptions!C11*Assumptions!$G$48</f>
        <v>-17211.942464736254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364</v>
      </c>
      <c r="B43" s="457">
        <f>B21*Assumptions!$G$48</f>
        <v>0</v>
      </c>
      <c r="C43" s="457">
        <f>C21*Assumptions!$G$48</f>
        <v>240.70787311993706</v>
      </c>
      <c r="D43" s="457">
        <f>D21*Assumptions!$G$48</f>
        <v>231.02232524361193</v>
      </c>
      <c r="E43" s="457">
        <f>E21*Assumptions!$G$48</f>
        <v>183.79977969191668</v>
      </c>
      <c r="F43" s="457">
        <f>F21*Assumptions!$G$48</f>
        <v>450.69992323483575</v>
      </c>
      <c r="G43" s="457">
        <f>G21*Assumptions!$G$48</f>
        <v>450.78885959664342</v>
      </c>
      <c r="H43" s="457">
        <f>H21*Assumptions!$G$48</f>
        <v>397.6574179158772</v>
      </c>
      <c r="I43" s="457">
        <f>I21*Assumptions!$G$48</f>
        <v>397.37308433628277</v>
      </c>
      <c r="J43" s="457">
        <f>J21*Assumptions!$G$48</f>
        <v>395.7852850091673</v>
      </c>
      <c r="K43" s="457">
        <f>K21*Assumptions!$G$48</f>
        <v>422.6639031162772</v>
      </c>
      <c r="L43" s="457">
        <f>L21*Assumptions!$G$48</f>
        <v>409.09840856665846</v>
      </c>
      <c r="M43" s="457">
        <f>M21*Assumptions!$G$48</f>
        <v>435.29283990412932</v>
      </c>
      <c r="N43" s="457">
        <f>N21*Assumptions!$G$48</f>
        <v>420.47711714891921</v>
      </c>
      <c r="O43" s="457">
        <f>O21*Assumptions!$G$48</f>
        <v>449.75106189551366</v>
      </c>
      <c r="P43" s="457">
        <f>P21*Assumptions!$G$48</f>
        <v>433.64375533738576</v>
      </c>
      <c r="Q43" s="457">
        <f>Q21*Assumptions!$G$48</f>
        <v>430.93334714367029</v>
      </c>
      <c r="R43" s="457">
        <f>R21*Assumptions!$G$48</f>
        <v>426.66481117619469</v>
      </c>
      <c r="S43" s="457">
        <f>S21*Assumptions!$G$48</f>
        <v>424.71085325525223</v>
      </c>
      <c r="T43" s="457">
        <f>T21*Assumptions!$G$48</f>
        <v>419.17919636513625</v>
      </c>
      <c r="U43" s="457">
        <f>U21*Assumptions!$G$48</f>
        <v>-241.45137602508692</v>
      </c>
      <c r="V43" s="457">
        <f>V21*Assumptions!$G$48</f>
        <v>-221.74913675507446</v>
      </c>
      <c r="W43" s="457">
        <f>W21*Assumptions!$G$48</f>
        <v>-720.14736160212715</v>
      </c>
      <c r="X43" s="457">
        <f>X21*Assumptions!$G$48</f>
        <v>-793.45340422992126</v>
      </c>
      <c r="Y43" s="457">
        <f>Y21*Assumptions!$G$48</f>
        <v>-553.49843139340146</v>
      </c>
      <c r="Z43" s="457">
        <f>Z21*Assumptions!$G$48</f>
        <v>-567.38983460614963</v>
      </c>
      <c r="AA43" s="457">
        <f>AA21*Assumptions!$G$48</f>
        <v>-585.49658333364368</v>
      </c>
      <c r="AB43" s="457">
        <f>AB21*Assumptions!$G$48</f>
        <v>-600.2514413656736</v>
      </c>
      <c r="AC43" s="457">
        <f>AC21*Assumptions!$G$48</f>
        <v>-616.71990167987406</v>
      </c>
      <c r="AD43" s="457">
        <f>AD21*Assumptions!$G$48</f>
        <v>-632.24408657155618</v>
      </c>
      <c r="AE43" s="457">
        <f>AE21*Assumptions!$G$48</f>
        <v>-652.46746886571327</v>
      </c>
      <c r="AF43" s="457">
        <f>AF21*Assumptions!$G$48</f>
        <v>-668.95843181652526</v>
      </c>
      <c r="AG43" s="457">
        <f>AG21*Assumptions!$G$48</f>
        <v>-128.55642887836075</v>
      </c>
    </row>
    <row r="44" spans="1:33">
      <c r="A44" s="56" t="s">
        <v>126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AG44</f>
        <v>-14178.986797597547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-14178.986797597547</v>
      </c>
    </row>
    <row r="45" spans="1:33">
      <c r="A45" s="56" t="s">
        <v>363</v>
      </c>
      <c r="B45" s="18">
        <f t="shared" ref="B45:AG45" si="13">SUM(B42:B44)</f>
        <v>-17211.942464736254</v>
      </c>
      <c r="C45" s="18">
        <f t="shared" si="13"/>
        <v>240.70787311993706</v>
      </c>
      <c r="D45" s="18">
        <f t="shared" si="13"/>
        <v>231.02232524361193</v>
      </c>
      <c r="E45" s="18">
        <f t="shared" si="13"/>
        <v>183.79977969191668</v>
      </c>
      <c r="F45" s="18">
        <f t="shared" si="13"/>
        <v>450.69992323483575</v>
      </c>
      <c r="G45" s="18">
        <f t="shared" si="13"/>
        <v>450.78885959664342</v>
      </c>
      <c r="H45" s="18">
        <f t="shared" si="13"/>
        <v>397.6574179158772</v>
      </c>
      <c r="I45" s="18">
        <f t="shared" si="13"/>
        <v>397.37308433628277</v>
      </c>
      <c r="J45" s="18">
        <f t="shared" si="13"/>
        <v>395.7852850091673</v>
      </c>
      <c r="K45" s="18">
        <f t="shared" si="13"/>
        <v>422.6639031162772</v>
      </c>
      <c r="L45" s="18">
        <f t="shared" si="13"/>
        <v>409.09840856665846</v>
      </c>
      <c r="M45" s="18">
        <f t="shared" si="13"/>
        <v>435.29283990412932</v>
      </c>
      <c r="N45" s="18">
        <f t="shared" si="13"/>
        <v>420.47711714891921</v>
      </c>
      <c r="O45" s="18">
        <f t="shared" si="13"/>
        <v>449.75106189551366</v>
      </c>
      <c r="P45" s="18">
        <f t="shared" si="13"/>
        <v>433.64375533738576</v>
      </c>
      <c r="Q45" s="18">
        <f t="shared" si="13"/>
        <v>430.93334714367029</v>
      </c>
      <c r="R45" s="18">
        <f t="shared" si="13"/>
        <v>426.66481117619469</v>
      </c>
      <c r="S45" s="18">
        <f t="shared" si="13"/>
        <v>424.71085325525223</v>
      </c>
      <c r="T45" s="18">
        <f t="shared" si="13"/>
        <v>419.17919636513625</v>
      </c>
      <c r="U45" s="18">
        <f t="shared" si="13"/>
        <v>-241.45137602508692</v>
      </c>
      <c r="V45" s="18">
        <f t="shared" si="13"/>
        <v>-221.74913675507446</v>
      </c>
      <c r="W45" s="18">
        <f t="shared" si="13"/>
        <v>-14899.134159199673</v>
      </c>
      <c r="X45" s="18">
        <f t="shared" si="13"/>
        <v>-793.45340422992126</v>
      </c>
      <c r="Y45" s="18">
        <f t="shared" si="13"/>
        <v>-553.49843139340146</v>
      </c>
      <c r="Z45" s="18">
        <f t="shared" si="13"/>
        <v>-567.38983460614963</v>
      </c>
      <c r="AA45" s="18">
        <f t="shared" si="13"/>
        <v>-585.49658333364368</v>
      </c>
      <c r="AB45" s="18">
        <f t="shared" si="13"/>
        <v>-600.2514413656736</v>
      </c>
      <c r="AC45" s="18">
        <f t="shared" si="13"/>
        <v>-616.71990167987406</v>
      </c>
      <c r="AD45" s="18">
        <f t="shared" si="13"/>
        <v>-632.24408657155618</v>
      </c>
      <c r="AE45" s="18">
        <f t="shared" si="13"/>
        <v>-652.46746886571327</v>
      </c>
      <c r="AF45" s="18">
        <f t="shared" si="13"/>
        <v>-668.95843181652526</v>
      </c>
      <c r="AG45" s="18">
        <f t="shared" si="13"/>
        <v>-14307.543226475907</v>
      </c>
    </row>
    <row r="46" spans="1:33">
      <c r="A46" s="13"/>
      <c r="B46" s="454" t="s">
        <v>1</v>
      </c>
      <c r="C46" s="460" t="e">
        <f>XIRR(B45:W45,B8:W8)</f>
        <v>#NUM!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365</v>
      </c>
      <c r="B49" s="18">
        <f>-Assumptions!C11*Assumptions!G48</f>
        <v>-17211.942464736254</v>
      </c>
    </row>
    <row r="50" spans="1:33" s="18" customFormat="1">
      <c r="A50" s="56" t="s">
        <v>364</v>
      </c>
      <c r="B50" s="18">
        <f>+B21*Assumptions!$G$48</f>
        <v>0</v>
      </c>
      <c r="C50" s="18">
        <f>+C21*Assumptions!$G$48</f>
        <v>240.70787311993706</v>
      </c>
      <c r="D50" s="18">
        <f>+D21*Assumptions!$G$48</f>
        <v>231.02232524361193</v>
      </c>
      <c r="E50" s="18">
        <f>+E21*Assumptions!$G$48</f>
        <v>183.79977969191668</v>
      </c>
      <c r="F50" s="18">
        <f>+F21*Assumptions!$G$48</f>
        <v>450.69992323483575</v>
      </c>
      <c r="G50" s="18">
        <f>+G21*Assumptions!$G$48</f>
        <v>450.78885959664342</v>
      </c>
      <c r="H50" s="18">
        <f>+H21*Assumptions!$G$48</f>
        <v>397.6574179158772</v>
      </c>
      <c r="I50" s="18">
        <f>+I21*Assumptions!$G$48</f>
        <v>397.37308433628277</v>
      </c>
      <c r="J50" s="18">
        <f>+J21*Assumptions!$G$48</f>
        <v>395.7852850091673</v>
      </c>
      <c r="K50" s="18">
        <f>+K21*Assumptions!$G$48</f>
        <v>422.6639031162772</v>
      </c>
      <c r="L50" s="18">
        <f>+L21*Assumptions!$G$48</f>
        <v>409.09840856665846</v>
      </c>
      <c r="M50" s="18">
        <f>+M21*Assumptions!$G$48</f>
        <v>435.29283990412932</v>
      </c>
      <c r="N50" s="18">
        <f>+N21*Assumptions!$G$48</f>
        <v>420.47711714891921</v>
      </c>
      <c r="O50" s="18">
        <f>+O21*Assumptions!$G$48</f>
        <v>449.75106189551366</v>
      </c>
      <c r="P50" s="18">
        <f>+P21*Assumptions!$G$48</f>
        <v>433.64375533738576</v>
      </c>
      <c r="Q50" s="18">
        <f>+Q21*Assumptions!$G$48</f>
        <v>430.93334714367029</v>
      </c>
      <c r="R50" s="18">
        <f>+R21*Assumptions!$G$48</f>
        <v>426.66481117619469</v>
      </c>
      <c r="S50" s="18">
        <f>+S21*Assumptions!$G$48</f>
        <v>424.71085325525223</v>
      </c>
      <c r="T50" s="18">
        <f>+T21*Assumptions!$G$48</f>
        <v>419.17919636513625</v>
      </c>
      <c r="U50" s="18">
        <f>+U21*Assumptions!$G$48</f>
        <v>-241.45137602508692</v>
      </c>
      <c r="V50" s="18">
        <f>+V21*Assumptions!$G$48</f>
        <v>-221.74913675507446</v>
      </c>
      <c r="W50" s="18">
        <f>+W21*Assumptions!$G$48</f>
        <v>-720.14736160212715</v>
      </c>
      <c r="X50" s="18">
        <f>+X21*Assumptions!$G$48</f>
        <v>-793.45340422992126</v>
      </c>
      <c r="Y50" s="18">
        <f>+Y21*Assumptions!$G$48</f>
        <v>-553.49843139340146</v>
      </c>
      <c r="Z50" s="18">
        <f>+Z21*Assumptions!$G$48</f>
        <v>-567.38983460614963</v>
      </c>
      <c r="AA50" s="18">
        <f>+AA21*Assumptions!$G$48</f>
        <v>-585.49658333364368</v>
      </c>
      <c r="AB50" s="18">
        <f>+AB21*Assumptions!$G$48</f>
        <v>-600.2514413656736</v>
      </c>
      <c r="AC50" s="18">
        <f>+AC21*Assumptions!$G$48</f>
        <v>-616.71990167987406</v>
      </c>
      <c r="AD50" s="18">
        <f>+AD21*Assumptions!$G$48</f>
        <v>-632.24408657155618</v>
      </c>
      <c r="AE50" s="18">
        <f>+AE21*Assumptions!$G$48</f>
        <v>-652.46746886571327</v>
      </c>
      <c r="AF50" s="18">
        <f>+AF21*Assumptions!$G$48</f>
        <v>-668.95843181652526</v>
      </c>
      <c r="AG50" s="18">
        <f>+AG21*Assumptions!$G$48</f>
        <v>-128.55642887836075</v>
      </c>
    </row>
    <row r="51" spans="1:33" s="18" customFormat="1">
      <c r="A51" s="56" t="s">
        <v>126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5687.4581273426902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5687.4581273426902</v>
      </c>
    </row>
    <row r="52" spans="1:33" s="18" customFormat="1">
      <c r="A52" s="56" t="s">
        <v>363</v>
      </c>
      <c r="B52" s="18">
        <f>SUM(B49:B51)</f>
        <v>-17211.942464736254</v>
      </c>
      <c r="C52" s="18">
        <f t="shared" ref="C52:AG52" si="14">SUM(C49:C51)</f>
        <v>240.70787311993706</v>
      </c>
      <c r="D52" s="18">
        <f t="shared" si="14"/>
        <v>231.02232524361193</v>
      </c>
      <c r="E52" s="18">
        <f t="shared" si="14"/>
        <v>183.79977969191668</v>
      </c>
      <c r="F52" s="18">
        <f t="shared" si="14"/>
        <v>450.69992323483575</v>
      </c>
      <c r="G52" s="18">
        <f t="shared" si="14"/>
        <v>450.78885959664342</v>
      </c>
      <c r="H52" s="18">
        <f t="shared" si="14"/>
        <v>397.6574179158772</v>
      </c>
      <c r="I52" s="18">
        <f t="shared" si="14"/>
        <v>397.37308433628277</v>
      </c>
      <c r="J52" s="18">
        <f t="shared" si="14"/>
        <v>395.7852850091673</v>
      </c>
      <c r="K52" s="18">
        <f t="shared" si="14"/>
        <v>422.6639031162772</v>
      </c>
      <c r="L52" s="18">
        <f t="shared" si="14"/>
        <v>409.09840856665846</v>
      </c>
      <c r="M52" s="18">
        <f t="shared" si="14"/>
        <v>435.29283990412932</v>
      </c>
      <c r="N52" s="18">
        <f t="shared" si="14"/>
        <v>420.47711714891921</v>
      </c>
      <c r="O52" s="18">
        <f t="shared" si="14"/>
        <v>449.75106189551366</v>
      </c>
      <c r="P52" s="18">
        <f t="shared" si="14"/>
        <v>433.64375533738576</v>
      </c>
      <c r="Q52" s="18">
        <f t="shared" si="14"/>
        <v>430.93334714367029</v>
      </c>
      <c r="R52" s="18">
        <f t="shared" si="14"/>
        <v>426.66481117619469</v>
      </c>
      <c r="S52" s="18">
        <f t="shared" si="14"/>
        <v>424.71085325525223</v>
      </c>
      <c r="T52" s="18">
        <f t="shared" si="14"/>
        <v>419.17919636513625</v>
      </c>
      <c r="U52" s="18">
        <f t="shared" si="14"/>
        <v>-241.45137602508692</v>
      </c>
      <c r="V52" s="18">
        <f t="shared" si="14"/>
        <v>-221.74913675507446</v>
      </c>
      <c r="W52" s="18">
        <f t="shared" si="14"/>
        <v>4967.3107657405635</v>
      </c>
      <c r="X52" s="18">
        <f t="shared" si="14"/>
        <v>-793.45340422992126</v>
      </c>
      <c r="Y52" s="18">
        <f t="shared" si="14"/>
        <v>-553.49843139340146</v>
      </c>
      <c r="Z52" s="18">
        <f t="shared" si="14"/>
        <v>-567.38983460614963</v>
      </c>
      <c r="AA52" s="18">
        <f t="shared" si="14"/>
        <v>-585.49658333364368</v>
      </c>
      <c r="AB52" s="18">
        <f t="shared" si="14"/>
        <v>-600.2514413656736</v>
      </c>
      <c r="AC52" s="18">
        <f t="shared" si="14"/>
        <v>-616.71990167987406</v>
      </c>
      <c r="AD52" s="18">
        <f t="shared" si="14"/>
        <v>-632.24408657155618</v>
      </c>
      <c r="AE52" s="18">
        <f t="shared" si="14"/>
        <v>-652.46746886571327</v>
      </c>
      <c r="AF52" s="18">
        <f t="shared" si="14"/>
        <v>-668.95843181652526</v>
      </c>
      <c r="AG52" s="18">
        <f t="shared" si="14"/>
        <v>5558.9016984643295</v>
      </c>
    </row>
    <row r="53" spans="1:33">
      <c r="A53" s="13"/>
      <c r="B53" s="454" t="s">
        <v>1</v>
      </c>
      <c r="C53" s="460">
        <f>XIRR(B52:W52,B8:W8)</f>
        <v>-2.5140941888093946E-2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365</v>
      </c>
      <c r="B56" s="18">
        <f>-Assumptions!C11*Assumptions!G48</f>
        <v>-17211.942464736254</v>
      </c>
    </row>
    <row r="57" spans="1:33" s="18" customFormat="1">
      <c r="A57" s="56" t="s">
        <v>364</v>
      </c>
      <c r="B57" s="457">
        <f>B21*Assumptions!$G$48</f>
        <v>0</v>
      </c>
      <c r="C57" s="457">
        <f>C21*Assumptions!$G$48</f>
        <v>240.70787311993706</v>
      </c>
      <c r="D57" s="457">
        <f>D21*Assumptions!$G$48</f>
        <v>231.02232524361193</v>
      </c>
      <c r="E57" s="457">
        <f>E21*Assumptions!$G$48</f>
        <v>183.79977969191668</v>
      </c>
      <c r="F57" s="457">
        <f>F21*Assumptions!$G$48</f>
        <v>450.69992323483575</v>
      </c>
      <c r="G57" s="457">
        <f>G21*Assumptions!$G$48</f>
        <v>450.78885959664342</v>
      </c>
      <c r="H57" s="457">
        <f>H21*Assumptions!$G$48</f>
        <v>397.6574179158772</v>
      </c>
      <c r="I57" s="457">
        <f>I21*Assumptions!$G$48</f>
        <v>397.37308433628277</v>
      </c>
      <c r="J57" s="457">
        <f>J21*Assumptions!$G$48</f>
        <v>395.7852850091673</v>
      </c>
      <c r="K57" s="457">
        <f>K21*Assumptions!$G$48</f>
        <v>422.6639031162772</v>
      </c>
      <c r="L57" s="457">
        <f>L21*Assumptions!$G$48</f>
        <v>409.09840856665846</v>
      </c>
      <c r="M57" s="457">
        <f>M21*Assumptions!$G$48</f>
        <v>435.29283990412932</v>
      </c>
      <c r="N57" s="457">
        <f>N21*Assumptions!$G$48</f>
        <v>420.47711714891921</v>
      </c>
      <c r="O57" s="457">
        <f>O21*Assumptions!$G$48</f>
        <v>449.75106189551366</v>
      </c>
      <c r="P57" s="457">
        <f>P21*Assumptions!$G$48</f>
        <v>433.64375533738576</v>
      </c>
      <c r="Q57" s="457">
        <f>Q21*Assumptions!$G$48</f>
        <v>430.93334714367029</v>
      </c>
      <c r="R57" s="457">
        <f>R21*Assumptions!$G$48</f>
        <v>426.66481117619469</v>
      </c>
      <c r="S57" s="457">
        <f>S21*Assumptions!$G$48</f>
        <v>424.71085325525223</v>
      </c>
      <c r="T57" s="457">
        <f>T21*Assumptions!$G$48</f>
        <v>419.17919636513625</v>
      </c>
      <c r="U57" s="457">
        <f>U21*Assumptions!$G$48</f>
        <v>-241.45137602508692</v>
      </c>
      <c r="V57" s="457">
        <f>V21*Assumptions!$G$48</f>
        <v>-221.74913675507446</v>
      </c>
      <c r="W57" s="457">
        <f>W21*Assumptions!$G$48</f>
        <v>-720.14736160212715</v>
      </c>
      <c r="X57" s="457">
        <f>X21*Assumptions!$G$48</f>
        <v>-793.45340422992126</v>
      </c>
      <c r="Y57" s="457">
        <f>Y21*Assumptions!$G$48</f>
        <v>-553.49843139340146</v>
      </c>
      <c r="Z57" s="457">
        <f>Z21*Assumptions!$G$48</f>
        <v>-567.38983460614963</v>
      </c>
      <c r="AA57" s="457">
        <f>AA21*Assumptions!$G$48</f>
        <v>-585.49658333364368</v>
      </c>
      <c r="AB57" s="457">
        <f>AB21*Assumptions!$G$48</f>
        <v>-600.2514413656736</v>
      </c>
      <c r="AC57" s="457">
        <f>AC21*Assumptions!$G$48</f>
        <v>-616.71990167987406</v>
      </c>
      <c r="AD57" s="457">
        <f>AD21*Assumptions!$G$48</f>
        <v>-632.24408657155618</v>
      </c>
      <c r="AE57" s="457">
        <f>AE21*Assumptions!$G$48</f>
        <v>-652.46746886571327</v>
      </c>
      <c r="AF57" s="457">
        <f>AF21*Assumptions!$G$48</f>
        <v>-668.95843181652526</v>
      </c>
      <c r="AG57" s="457">
        <f>AG21*Assumptions!$G$48</f>
        <v>-128.55642887836075</v>
      </c>
    </row>
    <row r="58" spans="1:33" s="18" customFormat="1">
      <c r="A58" s="56" t="s">
        <v>126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9500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9500</v>
      </c>
    </row>
    <row r="59" spans="1:33" s="18" customFormat="1" ht="12" customHeight="1">
      <c r="A59" s="56" t="s">
        <v>363</v>
      </c>
      <c r="B59" s="18">
        <f>SUM(B56:B58)</f>
        <v>-17211.942464736254</v>
      </c>
      <c r="C59" s="18">
        <f t="shared" ref="C59:AG59" si="15">SUM(C56:C58)</f>
        <v>240.70787311993706</v>
      </c>
      <c r="D59" s="18">
        <f t="shared" si="15"/>
        <v>231.02232524361193</v>
      </c>
      <c r="E59" s="18">
        <f t="shared" si="15"/>
        <v>183.79977969191668</v>
      </c>
      <c r="F59" s="18">
        <f t="shared" si="15"/>
        <v>450.69992323483575</v>
      </c>
      <c r="G59" s="18">
        <f t="shared" si="15"/>
        <v>450.78885959664342</v>
      </c>
      <c r="H59" s="18">
        <f t="shared" si="15"/>
        <v>397.6574179158772</v>
      </c>
      <c r="I59" s="18">
        <f t="shared" si="15"/>
        <v>397.37308433628277</v>
      </c>
      <c r="J59" s="18">
        <f t="shared" si="15"/>
        <v>395.7852850091673</v>
      </c>
      <c r="K59" s="18">
        <f t="shared" si="15"/>
        <v>422.6639031162772</v>
      </c>
      <c r="L59" s="18">
        <f t="shared" si="15"/>
        <v>409.09840856665846</v>
      </c>
      <c r="M59" s="18">
        <f t="shared" si="15"/>
        <v>435.29283990412932</v>
      </c>
      <c r="N59" s="18">
        <f t="shared" si="15"/>
        <v>420.47711714891921</v>
      </c>
      <c r="O59" s="18">
        <f t="shared" si="15"/>
        <v>449.75106189551366</v>
      </c>
      <c r="P59" s="18">
        <f t="shared" si="15"/>
        <v>433.64375533738576</v>
      </c>
      <c r="Q59" s="18">
        <f t="shared" si="15"/>
        <v>430.93334714367029</v>
      </c>
      <c r="R59" s="18">
        <f t="shared" si="15"/>
        <v>426.66481117619469</v>
      </c>
      <c r="S59" s="18">
        <f t="shared" si="15"/>
        <v>424.71085325525223</v>
      </c>
      <c r="T59" s="18">
        <f t="shared" si="15"/>
        <v>419.17919636513625</v>
      </c>
      <c r="U59" s="18">
        <f t="shared" si="15"/>
        <v>-241.45137602508692</v>
      </c>
      <c r="V59" s="18">
        <f t="shared" si="15"/>
        <v>-221.74913675507446</v>
      </c>
      <c r="W59" s="18">
        <f t="shared" si="15"/>
        <v>8779.8526383978733</v>
      </c>
      <c r="X59" s="18">
        <f t="shared" si="15"/>
        <v>-793.45340422992126</v>
      </c>
      <c r="Y59" s="18">
        <f t="shared" si="15"/>
        <v>-553.49843139340146</v>
      </c>
      <c r="Z59" s="18">
        <f t="shared" si="15"/>
        <v>-567.38983460614963</v>
      </c>
      <c r="AA59" s="18">
        <f t="shared" si="15"/>
        <v>-585.49658333364368</v>
      </c>
      <c r="AB59" s="18">
        <f t="shared" si="15"/>
        <v>-600.2514413656736</v>
      </c>
      <c r="AC59" s="18">
        <f t="shared" si="15"/>
        <v>-616.71990167987406</v>
      </c>
      <c r="AD59" s="18">
        <f t="shared" si="15"/>
        <v>-632.24408657155618</v>
      </c>
      <c r="AE59" s="18">
        <f t="shared" si="15"/>
        <v>-652.46746886571327</v>
      </c>
      <c r="AF59" s="18">
        <f t="shared" si="15"/>
        <v>-668.95843181652526</v>
      </c>
      <c r="AG59" s="18">
        <f t="shared" si="15"/>
        <v>9371.4435711216393</v>
      </c>
    </row>
    <row r="60" spans="1:33">
      <c r="A60" s="13"/>
      <c r="B60" s="454" t="s">
        <v>1</v>
      </c>
      <c r="C60" s="460">
        <f>XIRR(B59:W59,B8:W8)</f>
        <v>-6.7697510123252876E-3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Rochester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26" t="s">
        <v>415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39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397</v>
      </c>
      <c r="B11" s="394">
        <f>B29+B38</f>
        <v>291.5761020922975</v>
      </c>
      <c r="C11" s="394">
        <f t="shared" ref="C11:AF11" si="1">C29+C38</f>
        <v>820.84017390562485</v>
      </c>
      <c r="D11" s="394">
        <f t="shared" si="1"/>
        <v>835.39091485282813</v>
      </c>
      <c r="E11" s="394">
        <f t="shared" si="1"/>
        <v>1290.6232896405991</v>
      </c>
      <c r="F11" s="394">
        <f t="shared" si="1"/>
        <v>1650.2191637744149</v>
      </c>
      <c r="G11" s="394">
        <f t="shared" si="1"/>
        <v>1721.4156521465809</v>
      </c>
      <c r="H11" s="394">
        <f t="shared" si="1"/>
        <v>1721.8752594781554</v>
      </c>
      <c r="I11" s="394">
        <f t="shared" si="1"/>
        <v>1721.8685545596825</v>
      </c>
      <c r="J11" s="394">
        <f t="shared" si="1"/>
        <v>1763.133555072694</v>
      </c>
      <c r="K11" s="394">
        <f t="shared" si="1"/>
        <v>1776.394745045955</v>
      </c>
      <c r="L11" s="394">
        <f t="shared" si="1"/>
        <v>1820.9455017778919</v>
      </c>
      <c r="M11" s="394">
        <f t="shared" si="1"/>
        <v>1833.2511192188081</v>
      </c>
      <c r="N11" s="394">
        <f t="shared" si="1"/>
        <v>1876.1990344255896</v>
      </c>
      <c r="O11" s="394">
        <f t="shared" si="1"/>
        <v>1887.2995930481025</v>
      </c>
      <c r="P11" s="471">
        <f t="shared" si="1"/>
        <v>1878.0188402811252</v>
      </c>
      <c r="Q11" s="394">
        <f t="shared" si="1"/>
        <v>1867.6279255677862</v>
      </c>
      <c r="R11" s="394">
        <f t="shared" si="1"/>
        <v>1850.914366162752</v>
      </c>
      <c r="S11" s="394">
        <f t="shared" si="1"/>
        <v>1835.3522743449789</v>
      </c>
      <c r="T11" s="394">
        <f t="shared" si="1"/>
        <v>1815.716917185749</v>
      </c>
      <c r="U11" s="394">
        <f t="shared" si="1"/>
        <v>1794.3408612181977</v>
      </c>
      <c r="V11" s="394">
        <f t="shared" si="1"/>
        <v>-227.71125586720379</v>
      </c>
      <c r="W11" s="394">
        <f t="shared" si="1"/>
        <v>-1937.8716196914966</v>
      </c>
      <c r="X11" s="394">
        <f t="shared" si="1"/>
        <v>-2331.0124507464134</v>
      </c>
      <c r="Y11" s="394">
        <f t="shared" si="1"/>
        <v>-2396.4313446285428</v>
      </c>
      <c r="Z11" s="394">
        <f t="shared" si="1"/>
        <v>-2458.7138389975016</v>
      </c>
      <c r="AA11" s="394">
        <f t="shared" si="1"/>
        <v>-2527.7644317785293</v>
      </c>
      <c r="AB11" s="394">
        <f t="shared" si="1"/>
        <v>-2597.0670213654676</v>
      </c>
      <c r="AC11" s="394">
        <f t="shared" si="1"/>
        <v>-2670.1478936181184</v>
      </c>
      <c r="AD11" s="394">
        <f t="shared" si="1"/>
        <v>-2739.7436431420151</v>
      </c>
      <c r="AE11" s="394">
        <f t="shared" si="1"/>
        <v>-2816.8906060138816</v>
      </c>
      <c r="AF11" s="471">
        <f t="shared" si="1"/>
        <v>-3620.7749144652066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331</v>
      </c>
      <c r="B13" s="312">
        <f>B11/B12</f>
        <v>224.2893093017673</v>
      </c>
      <c r="C13" s="312">
        <f t="shared" ref="C13:AF13" si="2">C11/C12</f>
        <v>631.41551838894213</v>
      </c>
      <c r="D13" s="312">
        <f t="shared" si="2"/>
        <v>642.60839604063699</v>
      </c>
      <c r="E13" s="312">
        <f t="shared" si="2"/>
        <v>992.78714587738386</v>
      </c>
      <c r="F13" s="312">
        <f t="shared" si="2"/>
        <v>1269.39935674955</v>
      </c>
      <c r="G13" s="312">
        <f t="shared" si="2"/>
        <v>1324.1658862666006</v>
      </c>
      <c r="H13" s="312">
        <f t="shared" si="2"/>
        <v>1324.5194303678118</v>
      </c>
      <c r="I13" s="312">
        <f t="shared" si="2"/>
        <v>1324.5142727382172</v>
      </c>
      <c r="J13" s="312">
        <f t="shared" si="2"/>
        <v>1356.2565808251491</v>
      </c>
      <c r="K13" s="312">
        <f t="shared" si="2"/>
        <v>1366.457496189196</v>
      </c>
      <c r="L13" s="312">
        <f t="shared" si="2"/>
        <v>1400.7273090599167</v>
      </c>
      <c r="M13" s="312">
        <f t="shared" si="2"/>
        <v>1410.1931686298524</v>
      </c>
      <c r="N13" s="312">
        <f t="shared" si="2"/>
        <v>1443.2300264812227</v>
      </c>
      <c r="O13" s="312">
        <f t="shared" si="2"/>
        <v>1451.7689177293096</v>
      </c>
      <c r="P13" s="398">
        <f t="shared" si="2"/>
        <v>1444.6298771393269</v>
      </c>
      <c r="Q13" s="312">
        <f t="shared" si="2"/>
        <v>1436.6368658213739</v>
      </c>
      <c r="R13" s="312">
        <f t="shared" si="2"/>
        <v>1423.7802816636554</v>
      </c>
      <c r="S13" s="312">
        <f t="shared" si="2"/>
        <v>1411.8094418038299</v>
      </c>
      <c r="T13" s="312">
        <f t="shared" si="2"/>
        <v>1396.7053209121145</v>
      </c>
      <c r="U13" s="312">
        <f t="shared" si="2"/>
        <v>1380.262200937075</v>
      </c>
      <c r="V13" s="312">
        <f t="shared" si="2"/>
        <v>-175.16250451323367</v>
      </c>
      <c r="W13" s="312">
        <f t="shared" si="2"/>
        <v>-1490.6704766857665</v>
      </c>
      <c r="X13" s="312">
        <f t="shared" si="2"/>
        <v>-1793.0865005741641</v>
      </c>
      <c r="Y13" s="312">
        <f t="shared" si="2"/>
        <v>-1843.4087266373406</v>
      </c>
      <c r="Z13" s="312">
        <f t="shared" si="2"/>
        <v>-1891.3183376903858</v>
      </c>
      <c r="AA13" s="312">
        <f t="shared" si="2"/>
        <v>-1944.4341782911763</v>
      </c>
      <c r="AB13" s="312">
        <f t="shared" si="2"/>
        <v>-1997.7438625888212</v>
      </c>
      <c r="AC13" s="312">
        <f t="shared" si="2"/>
        <v>-2053.9599181677831</v>
      </c>
      <c r="AD13" s="312">
        <f t="shared" si="2"/>
        <v>-2107.4951101092424</v>
      </c>
      <c r="AE13" s="312">
        <f t="shared" si="2"/>
        <v>-2166.8389277029855</v>
      </c>
      <c r="AF13" s="398">
        <f t="shared" si="2"/>
        <v>-2785.2114726655436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355</v>
      </c>
      <c r="B19" s="404">
        <v>11225.348171977193</v>
      </c>
      <c r="S19" s="18"/>
      <c r="AF19" s="65"/>
      <c r="AG19"/>
    </row>
    <row r="20" spans="1:33">
      <c r="A20" s="11" t="s">
        <v>354</v>
      </c>
      <c r="B20" s="409">
        <f>HLOOKUP(Assumptions!G34,B23:AF39,AN12)</f>
        <v>87.581252256616835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55</v>
      </c>
      <c r="B24"/>
      <c r="C24" s="48">
        <f>B45</f>
        <v>11388.990299501662</v>
      </c>
      <c r="D24" s="48">
        <f t="shared" ref="D24:AF24" si="3">C45</f>
        <v>11703.319819342893</v>
      </c>
      <c r="E24" s="48">
        <f t="shared" si="3"/>
        <v>12032.858979108078</v>
      </c>
      <c r="F24" s="48">
        <f t="shared" si="3"/>
        <v>12033.485243382531</v>
      </c>
      <c r="G24" s="48">
        <f t="shared" si="3"/>
        <v>11750.366670536898</v>
      </c>
      <c r="H24" s="48">
        <f t="shared" si="3"/>
        <v>11388.214121954165</v>
      </c>
      <c r="I24" s="48">
        <f t="shared" si="3"/>
        <v>10995.206911616893</v>
      </c>
      <c r="J24" s="48">
        <f t="shared" si="3"/>
        <v>10569.831532128464</v>
      </c>
      <c r="K24" s="48">
        <f t="shared" si="3"/>
        <v>10074.903142986355</v>
      </c>
      <c r="L24" s="48">
        <f t="shared" si="3"/>
        <v>9528.5077047284067</v>
      </c>
      <c r="M24" s="48">
        <f t="shared" si="3"/>
        <v>8901.1263595645523</v>
      </c>
      <c r="N24" s="48">
        <f t="shared" si="3"/>
        <v>8211.8575647548732</v>
      </c>
      <c r="O24" s="48">
        <f t="shared" si="3"/>
        <v>7429.7499205179383</v>
      </c>
      <c r="P24" s="48">
        <f t="shared" si="3"/>
        <v>6573.5526913713693</v>
      </c>
      <c r="Q24" s="48">
        <f t="shared" si="3"/>
        <v>5652.5490153647625</v>
      </c>
      <c r="R24" s="48">
        <f t="shared" si="3"/>
        <v>4662.5657392968096</v>
      </c>
      <c r="S24" s="48">
        <f t="shared" si="3"/>
        <v>3601.6619315189691</v>
      </c>
      <c r="T24" s="48">
        <f t="shared" si="3"/>
        <v>2463.9196593044389</v>
      </c>
      <c r="U24" s="48">
        <f t="shared" si="3"/>
        <v>1245.7942214498883</v>
      </c>
      <c r="V24" s="48">
        <f t="shared" si="3"/>
        <v>0</v>
      </c>
      <c r="W24" s="48">
        <f t="shared" si="3"/>
        <v>178.7851290500673</v>
      </c>
      <c r="X24" s="48">
        <f t="shared" si="3"/>
        <v>1715.3389023438012</v>
      </c>
      <c r="Y24" s="48">
        <f t="shared" si="3"/>
        <v>3689.9433275469146</v>
      </c>
      <c r="Z24" s="48">
        <f t="shared" si="3"/>
        <v>5882.2872744928936</v>
      </c>
      <c r="AA24" s="48">
        <f t="shared" si="3"/>
        <v>8307.6743831078602</v>
      </c>
      <c r="AB24" s="48">
        <f t="shared" si="3"/>
        <v>10991.841447867897</v>
      </c>
      <c r="AC24" s="48">
        <f t="shared" si="3"/>
        <v>13956.431748107911</v>
      </c>
      <c r="AD24" s="48">
        <f t="shared" si="3"/>
        <v>17228.724627599688</v>
      </c>
      <c r="AE24" s="48">
        <f t="shared" si="3"/>
        <v>20829.482956151634</v>
      </c>
      <c r="AF24" s="48">
        <f t="shared" si="3"/>
        <v>24795.0101229182</v>
      </c>
      <c r="AG24"/>
    </row>
    <row r="25" spans="1:33">
      <c r="A25" s="48" t="s">
        <v>332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56</v>
      </c>
      <c r="B26"/>
      <c r="C26" s="48">
        <f t="shared" ref="C26:AF26" si="4">C24-C28</f>
        <v>-152.64064036544551</v>
      </c>
      <c r="D26" s="48">
        <f t="shared" si="4"/>
        <v>-160.13510906854026</v>
      </c>
      <c r="E26" s="48">
        <f t="shared" si="4"/>
        <v>-0.63808338529452158</v>
      </c>
      <c r="F26" s="48">
        <f t="shared" si="4"/>
        <v>140.35461939063316</v>
      </c>
      <c r="G26" s="48">
        <f t="shared" si="4"/>
        <v>178.7082703713495</v>
      </c>
      <c r="H26" s="48">
        <f t="shared" si="4"/>
        <v>193.78290685200955</v>
      </c>
      <c r="I26" s="48">
        <f t="shared" si="4"/>
        <v>208.08694187132642</v>
      </c>
      <c r="J26" s="48">
        <f t="shared" si="4"/>
        <v>243.91127958639481</v>
      </c>
      <c r="K26" s="48">
        <f t="shared" si="4"/>
        <v>268.77759551393865</v>
      </c>
      <c r="L26" s="48">
        <f t="shared" si="4"/>
        <v>308.38956360804696</v>
      </c>
      <c r="M26" s="48">
        <f t="shared" si="4"/>
        <v>337.42489587206728</v>
      </c>
      <c r="N26" s="48">
        <f t="shared" si="4"/>
        <v>384.26543162621419</v>
      </c>
      <c r="O26" s="48">
        <f t="shared" si="4"/>
        <v>420.24693816170384</v>
      </c>
      <c r="P26" s="48">
        <f t="shared" si="4"/>
        <v>451.89879155338713</v>
      </c>
      <c r="Q26" s="48">
        <f t="shared" si="4"/>
        <v>484.83312368889528</v>
      </c>
      <c r="R26" s="48">
        <f t="shared" si="4"/>
        <v>520.34826507495654</v>
      </c>
      <c r="S26" s="48">
        <f t="shared" si="4"/>
        <v>557.74320336285336</v>
      </c>
      <c r="T26" s="48">
        <f t="shared" si="4"/>
        <v>596.99443118357499</v>
      </c>
      <c r="U26" s="48">
        <f t="shared" si="4"/>
        <v>638.67207760446456</v>
      </c>
      <c r="V26" s="48">
        <f t="shared" si="4"/>
        <v>-87.581252256616835</v>
      </c>
      <c r="W26" s="48">
        <f t="shared" si="4"/>
        <v>-752.68991974750452</v>
      </c>
      <c r="X26" s="48">
        <f t="shared" si="4"/>
        <v>-967.10712321500614</v>
      </c>
      <c r="Y26" s="48">
        <f t="shared" si="4"/>
        <v>-1074.1218932686661</v>
      </c>
      <c r="Z26" s="48">
        <f t="shared" si="4"/>
        <v>-1187.308166692259</v>
      </c>
      <c r="AA26" s="48">
        <f t="shared" si="4"/>
        <v>-1313.969776439737</v>
      </c>
      <c r="AB26" s="48">
        <f t="shared" si="4"/>
        <v>-1451.0431623621826</v>
      </c>
      <c r="AC26" s="48">
        <f t="shared" si="4"/>
        <v>-1603.467093203777</v>
      </c>
      <c r="AD26" s="48">
        <f t="shared" si="4"/>
        <v>-1761.5171429997245</v>
      </c>
      <c r="AE26" s="48">
        <f t="shared" si="4"/>
        <v>-1940.2816188833203</v>
      </c>
      <c r="AF26" s="48">
        <f t="shared" si="4"/>
        <v>-2412.5977281015876</v>
      </c>
      <c r="AG26"/>
    </row>
    <row r="27" spans="1:33">
      <c r="A27" s="48" t="s">
        <v>57</v>
      </c>
      <c r="B27"/>
      <c r="C27" s="392">
        <f t="shared" ref="C27:AF27" si="5">C24*(C23-B41)/(C41-B41)*$E$64</f>
        <v>234.25436896851707</v>
      </c>
      <c r="D27" s="392">
        <f t="shared" si="5"/>
        <v>240.71965354442952</v>
      </c>
      <c r="E27" s="392">
        <f t="shared" si="5"/>
        <v>249.5338788290446</v>
      </c>
      <c r="F27" s="392">
        <f t="shared" si="5"/>
        <v>247.51065880738179</v>
      </c>
      <c r="G27" s="392">
        <f t="shared" si="5"/>
        <v>241.6873363809747</v>
      </c>
      <c r="H27" s="392">
        <f t="shared" si="5"/>
        <v>234.23840416594766</v>
      </c>
      <c r="I27" s="392">
        <f t="shared" si="5"/>
        <v>228.01535644582574</v>
      </c>
      <c r="J27" s="392">
        <f t="shared" si="5"/>
        <v>217.40550747247795</v>
      </c>
      <c r="K27" s="392">
        <f t="shared" si="5"/>
        <v>207.22557629032895</v>
      </c>
      <c r="L27" s="392">
        <f t="shared" si="5"/>
        <v>195.98704546095485</v>
      </c>
      <c r="M27" s="392">
        <f t="shared" si="5"/>
        <v>184.5889318827731</v>
      </c>
      <c r="N27" s="392">
        <f t="shared" si="5"/>
        <v>168.90553607506087</v>
      </c>
      <c r="O27" s="392">
        <f t="shared" si="5"/>
        <v>152.81876035147513</v>
      </c>
      <c r="P27" s="392">
        <f t="shared" si="5"/>
        <v>135.20807350813851</v>
      </c>
      <c r="Q27" s="392">
        <f t="shared" si="5"/>
        <v>117.22089351535124</v>
      </c>
      <c r="R27" s="392">
        <f t="shared" si="5"/>
        <v>95.901951473344667</v>
      </c>
      <c r="S27" s="392">
        <f t="shared" si="5"/>
        <v>74.08075876953059</v>
      </c>
      <c r="T27" s="392">
        <f t="shared" si="5"/>
        <v>50.679114636241309</v>
      </c>
      <c r="U27" s="392">
        <f t="shared" si="5"/>
        <v>25.834912953018176</v>
      </c>
      <c r="V27" s="392">
        <f t="shared" si="5"/>
        <v>0</v>
      </c>
      <c r="W27" s="392">
        <f t="shared" si="5"/>
        <v>3.6773407023106306</v>
      </c>
      <c r="X27" s="392">
        <f t="shared" si="5"/>
        <v>35.281936463961884</v>
      </c>
      <c r="Y27" s="392">
        <f t="shared" si="5"/>
        <v>76.520955890931916</v>
      </c>
      <c r="Z27" s="392">
        <f t="shared" si="5"/>
        <v>120.98978551576822</v>
      </c>
      <c r="AA27" s="392">
        <f t="shared" si="5"/>
        <v>170.87634364707469</v>
      </c>
      <c r="AB27" s="392">
        <f t="shared" si="5"/>
        <v>226.0856155338856</v>
      </c>
      <c r="AC27" s="392">
        <f t="shared" si="5"/>
        <v>289.42436330092636</v>
      </c>
      <c r="AD27" s="392">
        <f t="shared" si="5"/>
        <v>354.36890449782101</v>
      </c>
      <c r="AE27" s="392">
        <f t="shared" si="5"/>
        <v>428.43107751591344</v>
      </c>
      <c r="AF27" s="392">
        <f t="shared" si="5"/>
        <v>509.99599588440663</v>
      </c>
      <c r="AG27"/>
    </row>
    <row r="28" spans="1:33">
      <c r="A28" s="48" t="s">
        <v>58</v>
      </c>
      <c r="B28"/>
      <c r="C28" s="163">
        <f t="shared" ref="C28:AF28" si="6">MAX(C24+C25+B44+C27-0.5*C13,0)</f>
        <v>11541.630939867107</v>
      </c>
      <c r="D28" s="163">
        <f t="shared" si="6"/>
        <v>11863.454928411433</v>
      </c>
      <c r="E28" s="163">
        <f t="shared" si="6"/>
        <v>12033.497062493372</v>
      </c>
      <c r="F28" s="163">
        <f t="shared" si="6"/>
        <v>11893.130623991898</v>
      </c>
      <c r="G28" s="163">
        <f t="shared" si="6"/>
        <v>11571.658400165548</v>
      </c>
      <c r="H28" s="163">
        <f t="shared" si="6"/>
        <v>11194.431215102155</v>
      </c>
      <c r="I28" s="163">
        <f t="shared" si="6"/>
        <v>10787.119969745567</v>
      </c>
      <c r="J28" s="163">
        <f t="shared" si="6"/>
        <v>10325.92025254207</v>
      </c>
      <c r="K28" s="163">
        <f t="shared" si="6"/>
        <v>9806.1255474724167</v>
      </c>
      <c r="L28" s="163">
        <f t="shared" si="6"/>
        <v>9220.1181411203597</v>
      </c>
      <c r="M28" s="163">
        <f t="shared" si="6"/>
        <v>8563.701463692485</v>
      </c>
      <c r="N28" s="163">
        <f t="shared" si="6"/>
        <v>7827.592133128659</v>
      </c>
      <c r="O28" s="163">
        <f t="shared" si="6"/>
        <v>7009.5029823562345</v>
      </c>
      <c r="P28" s="163">
        <f t="shared" si="6"/>
        <v>6121.6538998179822</v>
      </c>
      <c r="Q28" s="163">
        <f t="shared" si="6"/>
        <v>5167.7158916758672</v>
      </c>
      <c r="R28" s="163">
        <f t="shared" si="6"/>
        <v>4142.2174742218531</v>
      </c>
      <c r="S28" s="163">
        <f t="shared" si="6"/>
        <v>3043.9187281561158</v>
      </c>
      <c r="T28" s="163">
        <f t="shared" si="6"/>
        <v>1866.9252281208639</v>
      </c>
      <c r="U28" s="163">
        <f t="shared" si="6"/>
        <v>607.12214384542369</v>
      </c>
      <c r="V28" s="163">
        <f t="shared" si="6"/>
        <v>87.581252256616835</v>
      </c>
      <c r="W28" s="163">
        <f t="shared" si="6"/>
        <v>931.47504879757184</v>
      </c>
      <c r="X28" s="163">
        <f t="shared" si="6"/>
        <v>2682.4460255588074</v>
      </c>
      <c r="Y28" s="163">
        <f t="shared" si="6"/>
        <v>4764.0652208155807</v>
      </c>
      <c r="Z28" s="163">
        <f t="shared" si="6"/>
        <v>7069.5954411851526</v>
      </c>
      <c r="AA28" s="163">
        <f t="shared" si="6"/>
        <v>9621.6441595475972</v>
      </c>
      <c r="AB28" s="163">
        <f t="shared" si="6"/>
        <v>12442.884610230079</v>
      </c>
      <c r="AC28" s="163">
        <f t="shared" si="6"/>
        <v>15559.898841311688</v>
      </c>
      <c r="AD28" s="163">
        <f t="shared" si="6"/>
        <v>18990.241770599412</v>
      </c>
      <c r="AE28" s="163">
        <f t="shared" si="6"/>
        <v>22769.764575034955</v>
      </c>
      <c r="AF28" s="163">
        <f t="shared" si="6"/>
        <v>27207.607851019788</v>
      </c>
      <c r="AG28"/>
    </row>
    <row r="29" spans="1:33">
      <c r="A29" s="48" t="s">
        <v>334</v>
      </c>
      <c r="B29"/>
      <c r="C29" s="163">
        <f>(C23-B41)/(C41-B41)*IS!D32+(B41-B32)/(B41-Assumptions!H17)*IS!C32</f>
        <v>388.43983038574129</v>
      </c>
      <c r="D29" s="163">
        <f>(D23-C41)/(D41-C41)*IS!E32+(C41-C32)/(C41-B41)*IS!D32</f>
        <v>421.05476099239695</v>
      </c>
      <c r="E29" s="163">
        <f>(E23-D41)/(E41-D41)*IS!F32+(D41-D32)/(D41-C41)*IS!E32</f>
        <v>568.87975508448847</v>
      </c>
      <c r="F29" s="163">
        <f>(F23-E41)/(F41-E41)*IS!G32+(E41-E32)/(E41-D41)*IS!F32</f>
        <v>787.7686333871452</v>
      </c>
      <c r="G29" s="163">
        <f>(G23-F41)/(G41-F41)*IS!H32+(F41-F32)/(F41-E41)*IS!G32</f>
        <v>858.14533799481887</v>
      </c>
      <c r="H29" s="163">
        <f>(H23-G41)/(H41-G41)*IS!I32+(G41-G32)/(G41-F41)*IS!H32</f>
        <v>858.57024525665133</v>
      </c>
      <c r="I29" s="163">
        <f>(I23-H41)/(I41-H41)*IS!J32+(H41-H32)/(H41-G41)*IS!I32</f>
        <v>861.71877568599143</v>
      </c>
      <c r="J29" s="163">
        <f>(J23-I41)/(J41-I41)*IS!K32+(I41-I32)/(I41-H41)*IS!J32</f>
        <v>871.23643572671904</v>
      </c>
      <c r="K29" s="163">
        <f>(K23-J41)/(K41-J41)*IS!L32+(J41-J32)/(J41-I41)*IS!K32</f>
        <v>886.18452430534899</v>
      </c>
      <c r="L29" s="163">
        <f>(L23-K41)/(L41-K41)*IS!M32+(K41-K32)/(K41-J41)*IS!L32</f>
        <v>900.42033120139899</v>
      </c>
      <c r="M29" s="163">
        <f>(M23-L41)/(M41-L41)*IS!N32+(L41-L32)/(L41-K41)*IS!M32</f>
        <v>917.91597632942251</v>
      </c>
      <c r="N29" s="163">
        <f>(N23-M41)/(N41-M41)*IS!O32+(M41-M32)/(M41-L41)*IS!N32</f>
        <v>927.11536545862305</v>
      </c>
      <c r="O29" s="163">
        <f>(O23-N41)/(O41-N41)*IS!P32+(N41-N32)/(N41-M41)*IS!O32</f>
        <v>942.01049942836232</v>
      </c>
      <c r="P29" s="163">
        <f>(P23-O41)/(P41-O41)*IS!Q32+(O41-O32)/(O41-N41)*IS!P32</f>
        <v>937.66796344882755</v>
      </c>
      <c r="Q29" s="163">
        <f>(Q23-P41)/(Q41-P41)*IS!R32+(P41-P32)/(P41-O41)*IS!Q32</f>
        <v>935.97708706900153</v>
      </c>
      <c r="R29" s="163">
        <f>(R23-Q41)/(R41-Q41)*IS!S32+(Q41-Q32)/(Q41-P41)*IS!R32</f>
        <v>924.13661906642278</v>
      </c>
      <c r="S29" s="163">
        <f>(S23-R41)/(S41-R41)*IS!T32+(R41-R32)/(R41-Q41)*IS!S32</f>
        <v>917.34975164656578</v>
      </c>
      <c r="T29" s="163">
        <f>(T23-S41)/(T41-S41)*IS!U32+(S41-S32)/(S41-R41)*IS!T32</f>
        <v>907.91412054546981</v>
      </c>
      <c r="U29" s="163">
        <f>(U23-T41)/(U41-T41)*IS!V32+(T41-T32)/(T41-S41)*IS!U32</f>
        <v>900.68877718668932</v>
      </c>
      <c r="V29" s="163">
        <f>(V23-U41)/(V41-U41)*IS!W32+(U41-U32)/(U41-T41)*IS!V32</f>
        <v>221.17012906186758</v>
      </c>
      <c r="W29" s="163">
        <f>(W23-V41)/(W41-V41)*IS!X32+(V41-V32)/(V41-U41)*IS!W32</f>
        <v>-792.68074241048055</v>
      </c>
      <c r="X29" s="163">
        <f>(X23-W41)/(X41-W41)*IS!Y32+(W41-W32)/(W41-V41)*IS!X32</f>
        <v>-1154.505484855825</v>
      </c>
      <c r="Y29" s="163">
        <f>(Y23-X41)/(Y41-X41)*IS!Z32+(X41-X32)/(X41-W41)*IS!Y32</f>
        <v>-1191.032064006798</v>
      </c>
      <c r="Z29" s="163">
        <f>(Z23-Y41)/(Z41-Y41)*IS!AA32+(Y41-Y32)/(Y41-X41)*IS!Z32</f>
        <v>-1216.9134813333992</v>
      </c>
      <c r="AA29" s="163">
        <f>(AA23-Z41)/(AA41-Z41)*IS!AB32+(Z41-Z32)/(Z41-Y41)*IS!AA32</f>
        <v>-1251.9357512382462</v>
      </c>
      <c r="AB29" s="163">
        <f>(AB23-AA41)/(AB41-AA41)*IS!AC32+(AA41-AA32)/(AA41-Z41)*IS!AB32</f>
        <v>-1286.2536820197931</v>
      </c>
      <c r="AC29" s="163">
        <f>(AC23-AB41)/(AC41-AB41)*IS!AD32+(AB41-AB32)/(AB41-AA41)*IS!AC32</f>
        <v>-1327.0458912484482</v>
      </c>
      <c r="AD29" s="163">
        <f>(AD23-AC41)/(AD41-AC41)*IS!AE32+(AC41-AC32)/(AC41-AB41)*IS!AD32</f>
        <v>-1355.9815829984063</v>
      </c>
      <c r="AE29" s="163">
        <f>(AE23-AD41)/(AE41-AD41)*IS!AF32+(AD41-AD32)/(AD41-AC41)*IS!AE32</f>
        <v>-1395.1072723369766</v>
      </c>
      <c r="AF29" s="163">
        <f>(AF23-AE41)/(AG23-AE41)*IS!AG32+(AE41-AE32)/(AE41-AD41)*IS!AF32</f>
        <v>-2898.3531206939906</v>
      </c>
      <c r="AG29"/>
    </row>
    <row r="30" spans="1:33">
      <c r="A30" s="412" t="s">
        <v>0</v>
      </c>
      <c r="B30" s="414"/>
      <c r="C30" s="413">
        <f>IF(C28&gt;0.1,C29/(C27+C26+B44)," ")</f>
        <v>1.2303778385961943</v>
      </c>
      <c r="D30" s="413">
        <f t="shared" ref="D30:AF30" si="7">IF(D28&gt;0.1,D29/(D27+D26+C44)," ")</f>
        <v>1.3104552121842183</v>
      </c>
      <c r="E30" s="413">
        <f t="shared" si="7"/>
        <v>1.1460256258288595</v>
      </c>
      <c r="F30" s="413">
        <f t="shared" si="7"/>
        <v>1.2411675320276216</v>
      </c>
      <c r="G30" s="413">
        <f t="shared" si="7"/>
        <v>1.29612965700892</v>
      </c>
      <c r="H30" s="413">
        <f t="shared" si="7"/>
        <v>1.2964252929354647</v>
      </c>
      <c r="I30" s="413">
        <f t="shared" si="7"/>
        <v>1.301184582789779</v>
      </c>
      <c r="J30" s="413">
        <f t="shared" si="7"/>
        <v>1.2847663901422819</v>
      </c>
      <c r="K30" s="413">
        <f t="shared" si="7"/>
        <v>1.2970539175594704</v>
      </c>
      <c r="L30" s="413">
        <f t="shared" si="7"/>
        <v>1.2856468569970392</v>
      </c>
      <c r="M30" s="413">
        <f t="shared" si="7"/>
        <v>1.3018301276005668</v>
      </c>
      <c r="N30" s="413">
        <f t="shared" si="7"/>
        <v>1.2847783769009395</v>
      </c>
      <c r="O30" s="413">
        <f t="shared" si="7"/>
        <v>1.297741655609693</v>
      </c>
      <c r="P30" s="413">
        <f t="shared" si="7"/>
        <v>1.298142836842898</v>
      </c>
      <c r="Q30" s="413">
        <f t="shared" si="7"/>
        <v>1.3030113723747037</v>
      </c>
      <c r="R30" s="413">
        <f t="shared" si="7"/>
        <v>1.298144989038041</v>
      </c>
      <c r="S30" s="413">
        <f t="shared" si="7"/>
        <v>1.2995376351563337</v>
      </c>
      <c r="T30" s="413">
        <f t="shared" si="7"/>
        <v>1.3000797046474462</v>
      </c>
      <c r="U30" s="413">
        <f t="shared" si="7"/>
        <v>1.3050980843715081</v>
      </c>
      <c r="V30" s="413">
        <f t="shared" si="7"/>
        <v>-2.525313618647854</v>
      </c>
      <c r="W30" s="413">
        <f t="shared" si="7"/>
        <v>1.063522428072583</v>
      </c>
      <c r="X30" s="413">
        <f t="shared" si="7"/>
        <v>1.2877298272962743</v>
      </c>
      <c r="Y30" s="413">
        <f t="shared" si="7"/>
        <v>1.2922061687094464</v>
      </c>
      <c r="Z30" s="413">
        <f t="shared" si="7"/>
        <v>1.2868415190426954</v>
      </c>
      <c r="AA30" s="413">
        <f t="shared" si="7"/>
        <v>1.2877121429108838</v>
      </c>
      <c r="AB30" s="413">
        <f t="shared" si="7"/>
        <v>1.2877063032024252</v>
      </c>
      <c r="AC30" s="413">
        <f t="shared" si="7"/>
        <v>1.2921828508048279</v>
      </c>
      <c r="AD30" s="413">
        <f t="shared" si="7"/>
        <v>1.2868182483499251</v>
      </c>
      <c r="AE30" s="413">
        <f t="shared" si="7"/>
        <v>1.2876889504804083</v>
      </c>
      <c r="AF30" s="413">
        <f t="shared" si="7"/>
        <v>2.0812445655483107</v>
      </c>
      <c r="AG30"/>
    </row>
    <row r="31" spans="1:33">
      <c r="A31" s="11"/>
      <c r="B31" s="388"/>
      <c r="C31" s="53"/>
      <c r="AG31"/>
    </row>
    <row r="32" spans="1:33">
      <c r="A32" s="411" t="s">
        <v>420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55</v>
      </c>
      <c r="B33" s="389">
        <f>B19</f>
        <v>11225.348171977193</v>
      </c>
      <c r="C33" s="48">
        <f>C28</f>
        <v>11541.630939867107</v>
      </c>
      <c r="D33" s="48">
        <f t="shared" ref="D33:AF33" si="8">D28</f>
        <v>11863.454928411433</v>
      </c>
      <c r="E33" s="48">
        <f t="shared" si="8"/>
        <v>12033.497062493372</v>
      </c>
      <c r="F33" s="48">
        <f t="shared" si="8"/>
        <v>11893.130623991898</v>
      </c>
      <c r="G33" s="48">
        <f t="shared" si="8"/>
        <v>11571.658400165548</v>
      </c>
      <c r="H33" s="48">
        <f t="shared" si="8"/>
        <v>11194.431215102155</v>
      </c>
      <c r="I33" s="48">
        <f t="shared" si="8"/>
        <v>10787.119969745567</v>
      </c>
      <c r="J33" s="48">
        <f t="shared" si="8"/>
        <v>10325.92025254207</v>
      </c>
      <c r="K33" s="48">
        <f t="shared" si="8"/>
        <v>9806.1255474724167</v>
      </c>
      <c r="L33" s="48">
        <f t="shared" si="8"/>
        <v>9220.1181411203597</v>
      </c>
      <c r="M33" s="48">
        <f t="shared" si="8"/>
        <v>8563.701463692485</v>
      </c>
      <c r="N33" s="48">
        <f t="shared" si="8"/>
        <v>7827.592133128659</v>
      </c>
      <c r="O33" s="48">
        <f t="shared" si="8"/>
        <v>7009.5029823562345</v>
      </c>
      <c r="P33" s="48">
        <f t="shared" si="8"/>
        <v>6121.6538998179822</v>
      </c>
      <c r="Q33" s="48">
        <f t="shared" si="8"/>
        <v>5167.7158916758672</v>
      </c>
      <c r="R33" s="48">
        <f t="shared" si="8"/>
        <v>4142.2174742218531</v>
      </c>
      <c r="S33" s="48">
        <f t="shared" si="8"/>
        <v>3043.9187281561158</v>
      </c>
      <c r="T33" s="48">
        <f t="shared" si="8"/>
        <v>1866.9252281208639</v>
      </c>
      <c r="U33" s="48">
        <f t="shared" si="8"/>
        <v>607.12214384542369</v>
      </c>
      <c r="V33" s="48">
        <f t="shared" si="8"/>
        <v>87.581252256616835</v>
      </c>
      <c r="W33" s="48">
        <f t="shared" si="8"/>
        <v>931.47504879757184</v>
      </c>
      <c r="X33" s="48">
        <f t="shared" si="8"/>
        <v>2682.4460255588074</v>
      </c>
      <c r="Y33" s="48">
        <f t="shared" si="8"/>
        <v>4764.0652208155807</v>
      </c>
      <c r="Z33" s="48">
        <f t="shared" si="8"/>
        <v>7069.5954411851526</v>
      </c>
      <c r="AA33" s="48">
        <f t="shared" si="8"/>
        <v>9621.6441595475972</v>
      </c>
      <c r="AB33" s="48">
        <f t="shared" si="8"/>
        <v>12442.884610230079</v>
      </c>
      <c r="AC33" s="48">
        <f t="shared" si="8"/>
        <v>15559.898841311688</v>
      </c>
      <c r="AD33" s="48">
        <f t="shared" si="8"/>
        <v>18990.241770599412</v>
      </c>
      <c r="AE33" s="48">
        <f t="shared" si="8"/>
        <v>22769.764575034955</v>
      </c>
      <c r="AF33" s="48">
        <f t="shared" si="8"/>
        <v>27207.607851019788</v>
      </c>
      <c r="AG33"/>
    </row>
    <row r="34" spans="1:39">
      <c r="A34" s="48" t="s">
        <v>332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56</v>
      </c>
      <c r="B35" s="48">
        <f>B33-B37</f>
        <v>-163.64212752446838</v>
      </c>
      <c r="C35" s="48">
        <f>C33-C37</f>
        <v>-161.68887947578514</v>
      </c>
      <c r="D35" s="48">
        <f t="shared" ref="D35:AF35" si="9">D33-D37</f>
        <v>-169.40405069664484</v>
      </c>
      <c r="E35" s="48">
        <f t="shared" si="9"/>
        <v>1.1819110841315705E-2</v>
      </c>
      <c r="F35" s="48">
        <f t="shared" si="9"/>
        <v>142.76395345499986</v>
      </c>
      <c r="G35" s="48">
        <f t="shared" si="9"/>
        <v>183.44427821138379</v>
      </c>
      <c r="H35" s="48">
        <f t="shared" si="9"/>
        <v>199.22430348526177</v>
      </c>
      <c r="I35" s="48">
        <f t="shared" si="9"/>
        <v>217.28843761710232</v>
      </c>
      <c r="J35" s="48">
        <f t="shared" si="9"/>
        <v>251.01710955571434</v>
      </c>
      <c r="K35" s="48">
        <f t="shared" si="9"/>
        <v>277.61784274400998</v>
      </c>
      <c r="L35" s="48">
        <f t="shared" si="9"/>
        <v>318.99178155580739</v>
      </c>
      <c r="M35" s="48">
        <f t="shared" si="9"/>
        <v>351.84389893761181</v>
      </c>
      <c r="N35" s="48">
        <f t="shared" si="9"/>
        <v>397.84221261072071</v>
      </c>
      <c r="O35" s="48">
        <f t="shared" si="9"/>
        <v>435.95029098486521</v>
      </c>
      <c r="P35" s="48">
        <f t="shared" si="9"/>
        <v>469.10488445321971</v>
      </c>
      <c r="Q35" s="48">
        <f t="shared" si="9"/>
        <v>505.15015237905754</v>
      </c>
      <c r="R35" s="48">
        <f t="shared" si="9"/>
        <v>540.55554270288394</v>
      </c>
      <c r="S35" s="48">
        <f t="shared" si="9"/>
        <v>579.99906885167684</v>
      </c>
      <c r="T35" s="48">
        <f t="shared" si="9"/>
        <v>621.13100667097569</v>
      </c>
      <c r="U35" s="48">
        <f t="shared" si="9"/>
        <v>607.12214384542369</v>
      </c>
      <c r="V35" s="48">
        <f t="shared" si="9"/>
        <v>-91.203876793450462</v>
      </c>
      <c r="W35" s="48">
        <f t="shared" si="9"/>
        <v>-783.86385354622939</v>
      </c>
      <c r="X35" s="48">
        <f t="shared" si="9"/>
        <v>-1007.4973019881072</v>
      </c>
      <c r="Y35" s="48">
        <f t="shared" si="9"/>
        <v>-1118.2220536773129</v>
      </c>
      <c r="Z35" s="48">
        <f t="shared" si="9"/>
        <v>-1238.0789419227076</v>
      </c>
      <c r="AA35" s="48">
        <f t="shared" si="9"/>
        <v>-1370.1972883202998</v>
      </c>
      <c r="AB35" s="48">
        <f t="shared" si="9"/>
        <v>-1513.5471378778311</v>
      </c>
      <c r="AC35" s="48">
        <f t="shared" si="9"/>
        <v>-1668.825786288</v>
      </c>
      <c r="AD35" s="48">
        <f t="shared" si="9"/>
        <v>-1839.2411855522223</v>
      </c>
      <c r="AE35" s="48">
        <f t="shared" si="9"/>
        <v>-2025.2455478832453</v>
      </c>
      <c r="AF35" s="48">
        <f t="shared" si="9"/>
        <v>-1577.0956799800952</v>
      </c>
      <c r="AG35"/>
    </row>
    <row r="36" spans="1:39">
      <c r="A36" s="48" t="s">
        <v>57</v>
      </c>
      <c r="B36" s="392">
        <f>B33*(B32-Assumptions!H17)/365.25*$E$64</f>
        <v>387.93143682623452</v>
      </c>
      <c r="C36" s="392">
        <f t="shared" ref="C36:AF36" si="10">C33*(C32-C23)/(C41-B41)*$E$64</f>
        <v>477.39663867025661</v>
      </c>
      <c r="D36" s="392">
        <f t="shared" si="10"/>
        <v>490.70824871696334</v>
      </c>
      <c r="E36" s="392">
        <f t="shared" si="10"/>
        <v>496.38175382785164</v>
      </c>
      <c r="F36" s="392">
        <f t="shared" si="10"/>
        <v>491.93572491977449</v>
      </c>
      <c r="G36" s="392">
        <f t="shared" si="10"/>
        <v>478.63866492191607</v>
      </c>
      <c r="H36" s="392">
        <f t="shared" si="10"/>
        <v>463.03541169864326</v>
      </c>
      <c r="I36" s="392">
        <f t="shared" si="10"/>
        <v>444.96869875200463</v>
      </c>
      <c r="J36" s="392">
        <f t="shared" si="10"/>
        <v>427.11118085686002</v>
      </c>
      <c r="K36" s="392">
        <f t="shared" si="10"/>
        <v>405.61090535058855</v>
      </c>
      <c r="L36" s="392">
        <f t="shared" si="10"/>
        <v>381.37187297414965</v>
      </c>
      <c r="M36" s="392">
        <f t="shared" si="10"/>
        <v>353.252685377315</v>
      </c>
      <c r="N36" s="392">
        <f t="shared" si="10"/>
        <v>323.77280062989024</v>
      </c>
      <c r="O36" s="392">
        <f t="shared" si="10"/>
        <v>289.93416787978975</v>
      </c>
      <c r="P36" s="392">
        <f t="shared" si="10"/>
        <v>253.21005411644381</v>
      </c>
      <c r="Q36" s="392">
        <f t="shared" si="10"/>
        <v>213.16828053162953</v>
      </c>
      <c r="R36" s="392">
        <f t="shared" si="10"/>
        <v>171.33459812894364</v>
      </c>
      <c r="S36" s="392">
        <f t="shared" si="10"/>
        <v>125.90565205023825</v>
      </c>
      <c r="T36" s="392">
        <f t="shared" si="10"/>
        <v>77.2216537850815</v>
      </c>
      <c r="U36" s="392">
        <f t="shared" si="10"/>
        <v>25.043788433623728</v>
      </c>
      <c r="V36" s="392">
        <f t="shared" si="10"/>
        <v>3.6226245368336238</v>
      </c>
      <c r="W36" s="392">
        <f t="shared" si="10"/>
        <v>38.528615203346142</v>
      </c>
      <c r="X36" s="392">
        <f t="shared" si="10"/>
        <v>110.95405170102494</v>
      </c>
      <c r="Y36" s="392">
        <f t="shared" si="10"/>
        <v>196.51769035864271</v>
      </c>
      <c r="Z36" s="392">
        <f t="shared" si="10"/>
        <v>292.41977307751466</v>
      </c>
      <c r="AA36" s="392">
        <f t="shared" si="10"/>
        <v>397.98019917471191</v>
      </c>
      <c r="AB36" s="392">
        <f t="shared" si="10"/>
        <v>514.67520658342096</v>
      </c>
      <c r="AC36" s="392">
        <f t="shared" si="10"/>
        <v>641.8458272041072</v>
      </c>
      <c r="AD36" s="392">
        <f t="shared" si="10"/>
        <v>785.49363049760166</v>
      </c>
      <c r="AE36" s="392">
        <f t="shared" si="10"/>
        <v>941.82608403175414</v>
      </c>
      <c r="AF36" s="392">
        <f t="shared" si="10"/>
        <v>184.48994364732599</v>
      </c>
      <c r="AG36"/>
    </row>
    <row r="37" spans="1:39">
      <c r="A37" s="48" t="s">
        <v>58</v>
      </c>
      <c r="B37" s="163">
        <f>MAX(B33+B34+B36-B13,0)</f>
        <v>11388.990299501662</v>
      </c>
      <c r="C37" s="163">
        <f>MAX(C33+C34+C36-0.5*C13,0)</f>
        <v>11703.319819342893</v>
      </c>
      <c r="D37" s="163">
        <f t="shared" ref="D37:AF37" si="11">MAX(D33+D34+D36-0.5*D13,0)</f>
        <v>12032.858979108078</v>
      </c>
      <c r="E37" s="163">
        <f t="shared" si="11"/>
        <v>12033.485243382531</v>
      </c>
      <c r="F37" s="163">
        <f t="shared" si="11"/>
        <v>11750.366670536898</v>
      </c>
      <c r="G37" s="163">
        <f t="shared" si="11"/>
        <v>11388.214121954165</v>
      </c>
      <c r="H37" s="163">
        <f t="shared" si="11"/>
        <v>10995.206911616893</v>
      </c>
      <c r="I37" s="163">
        <f t="shared" si="11"/>
        <v>10569.831532128464</v>
      </c>
      <c r="J37" s="163">
        <f t="shared" si="11"/>
        <v>10074.903142986355</v>
      </c>
      <c r="K37" s="163">
        <f t="shared" si="11"/>
        <v>9528.5077047284067</v>
      </c>
      <c r="L37" s="163">
        <f t="shared" si="11"/>
        <v>8901.1263595645523</v>
      </c>
      <c r="M37" s="163">
        <f t="shared" si="11"/>
        <v>8211.8575647548732</v>
      </c>
      <c r="N37" s="163">
        <f t="shared" si="11"/>
        <v>7429.7499205179383</v>
      </c>
      <c r="O37" s="163">
        <f t="shared" si="11"/>
        <v>6573.5526913713693</v>
      </c>
      <c r="P37" s="163">
        <f t="shared" si="11"/>
        <v>5652.5490153647625</v>
      </c>
      <c r="Q37" s="163">
        <f t="shared" si="11"/>
        <v>4662.5657392968096</v>
      </c>
      <c r="R37" s="163">
        <f t="shared" si="11"/>
        <v>3601.6619315189691</v>
      </c>
      <c r="S37" s="163">
        <f t="shared" si="11"/>
        <v>2463.9196593044389</v>
      </c>
      <c r="T37" s="163">
        <f t="shared" si="11"/>
        <v>1245.7942214498883</v>
      </c>
      <c r="U37" s="163">
        <f t="shared" si="11"/>
        <v>0</v>
      </c>
      <c r="V37" s="163">
        <f t="shared" si="11"/>
        <v>178.7851290500673</v>
      </c>
      <c r="W37" s="163">
        <f t="shared" si="11"/>
        <v>1715.3389023438012</v>
      </c>
      <c r="X37" s="163">
        <f t="shared" si="11"/>
        <v>3689.9433275469146</v>
      </c>
      <c r="Y37" s="163">
        <f t="shared" si="11"/>
        <v>5882.2872744928936</v>
      </c>
      <c r="Z37" s="163">
        <f t="shared" si="11"/>
        <v>8307.6743831078602</v>
      </c>
      <c r="AA37" s="163">
        <f t="shared" si="11"/>
        <v>10991.841447867897</v>
      </c>
      <c r="AB37" s="163">
        <f t="shared" si="11"/>
        <v>13956.431748107911</v>
      </c>
      <c r="AC37" s="163">
        <f t="shared" si="11"/>
        <v>17228.724627599688</v>
      </c>
      <c r="AD37" s="163">
        <f t="shared" si="11"/>
        <v>20829.482956151634</v>
      </c>
      <c r="AE37" s="163">
        <f t="shared" si="11"/>
        <v>24795.0101229182</v>
      </c>
      <c r="AF37" s="163">
        <f t="shared" si="11"/>
        <v>28784.703530999883</v>
      </c>
      <c r="AG37"/>
    </row>
    <row r="38" spans="1:39">
      <c r="A38" s="48" t="s">
        <v>334</v>
      </c>
      <c r="B38" s="163">
        <f>(B32-Assumptions!H17)/(Debt!B41-Assumptions!H17)*IS!C32</f>
        <v>291.5761020922975</v>
      </c>
      <c r="C38" s="163">
        <f>(C32-C23)/(C41-B41)*IS!D32</f>
        <v>432.40034351988362</v>
      </c>
      <c r="D38" s="163">
        <f>(D32-D23)/(D41-C41)*IS!E32</f>
        <v>414.33615386043118</v>
      </c>
      <c r="E38" s="163">
        <f>(E32-E23)/(E41-D41)*IS!F32</f>
        <v>721.74353455611049</v>
      </c>
      <c r="F38" s="163">
        <f>(F32-F23)/(F41-E41)*IS!G32</f>
        <v>862.45053038726962</v>
      </c>
      <c r="G38" s="163">
        <f>(G32-G23)/(G41-F41)*IS!H32</f>
        <v>863.27031415176202</v>
      </c>
      <c r="H38" s="163">
        <f>(H32-H23)/(H41-G41)*IS!I32</f>
        <v>863.30501422150405</v>
      </c>
      <c r="I38" s="163">
        <f>(I32-I23)/(I41-H41)*IS!J32</f>
        <v>860.14977887369105</v>
      </c>
      <c r="J38" s="163">
        <f>(J32-J23)/(J41-I41)*IS!K32</f>
        <v>891.89711934597483</v>
      </c>
      <c r="K38" s="163">
        <f>(K32-K23)/(K41-J41)*IS!L32</f>
        <v>890.21022074060613</v>
      </c>
      <c r="L38" s="163">
        <f>(L32-L23)/(L41-K41)*IS!M32</f>
        <v>920.52517057649288</v>
      </c>
      <c r="M38" s="163">
        <f>(M32-M23)/(M41-L41)*IS!N32</f>
        <v>915.33514288938545</v>
      </c>
      <c r="N38" s="163">
        <f>(N32-N23)/(N41-M41)*IS!O32</f>
        <v>949.08366896696657</v>
      </c>
      <c r="O38" s="163">
        <f>(O32-O23)/(O41-N41)*IS!P32</f>
        <v>945.28909361974024</v>
      </c>
      <c r="P38" s="163">
        <f>(P32-P23)/(P41-O41)*IS!Q32</f>
        <v>940.35087683229767</v>
      </c>
      <c r="Q38" s="163">
        <f>(Q32-Q23)/(Q41-P41)*IS!R32</f>
        <v>931.65083849878465</v>
      </c>
      <c r="R38" s="163">
        <f>(R32-R23)/(R41-Q41)*IS!S32</f>
        <v>926.77774709632922</v>
      </c>
      <c r="S38" s="163">
        <f>(S32-S23)/(S41-R41)*IS!T32</f>
        <v>918.00252269841303</v>
      </c>
      <c r="T38" s="163">
        <f>(T32-T23)/(T41-S41)*IS!U32</f>
        <v>907.8027966402791</v>
      </c>
      <c r="U38" s="163">
        <f>(U32-U23)/(U41-T41)*IS!V32</f>
        <v>893.65208403150837</v>
      </c>
      <c r="V38" s="163">
        <f>(V32-V23)/(V41-U41)*IS!W32</f>
        <v>-448.88138492907137</v>
      </c>
      <c r="W38" s="163">
        <f>(W32-W23)/(W41-V41)*IS!X32</f>
        <v>-1145.1908772810161</v>
      </c>
      <c r="X38" s="163">
        <f>(X32-X23)/(X41-W41)*IS!Y32</f>
        <v>-1176.5069658905882</v>
      </c>
      <c r="Y38" s="163">
        <f>(Y32-Y23)/(Y41-X41)*IS!Z32</f>
        <v>-1205.3992806217448</v>
      </c>
      <c r="Z38" s="163">
        <f>(Z32-Z23)/(Z41-Y41)*IS!AA32</f>
        <v>-1241.8003576641022</v>
      </c>
      <c r="AA38" s="163">
        <f>(AA32-AA23)/(AA41-Z41)*IS!AB32</f>
        <v>-1275.8286805402831</v>
      </c>
      <c r="AB38" s="163">
        <f>(AB32-AB23)/(AB41-AA41)*IS!AC32</f>
        <v>-1310.8133393456746</v>
      </c>
      <c r="AC38" s="163">
        <f>(AC32-AC23)/(AC41-AB41)*IS!AD32</f>
        <v>-1343.1020023696701</v>
      </c>
      <c r="AD38" s="163">
        <f>(AD32-AD23)/(AD41-AC41)*IS!AE32</f>
        <v>-1383.7620601436088</v>
      </c>
      <c r="AE38" s="163">
        <f>(AE32-AE23)/(AE41-AD41)*IS!AF32</f>
        <v>-1421.7833336769049</v>
      </c>
      <c r="AF38" s="163">
        <f>(AF32-AF23)/(AG23-AE41)*IS!AG32</f>
        <v>-722.42179377121602</v>
      </c>
      <c r="AG38"/>
    </row>
    <row r="39" spans="1:39">
      <c r="A39" s="412" t="s">
        <v>0</v>
      </c>
      <c r="B39" s="413">
        <f t="shared" ref="B39:AF39" si="12">IF(B37&gt;0.1,B38/(B36+B35)," ")</f>
        <v>1.3000000000000067</v>
      </c>
      <c r="C39" s="413">
        <f t="shared" si="12"/>
        <v>1.3696221614038038</v>
      </c>
      <c r="D39" s="413">
        <f t="shared" si="12"/>
        <v>1.2895447878157806</v>
      </c>
      <c r="E39" s="413">
        <f t="shared" si="12"/>
        <v>1.4539743741711364</v>
      </c>
      <c r="F39" s="413">
        <f t="shared" si="12"/>
        <v>1.3588324679723789</v>
      </c>
      <c r="G39" s="413">
        <f t="shared" si="12"/>
        <v>1.3038703429910838</v>
      </c>
      <c r="H39" s="413">
        <f t="shared" si="12"/>
        <v>1.3035747070645392</v>
      </c>
      <c r="I39" s="413">
        <f t="shared" si="12"/>
        <v>1.2988154172102258</v>
      </c>
      <c r="J39" s="413">
        <f t="shared" si="12"/>
        <v>1.3152336098577204</v>
      </c>
      <c r="K39" s="413">
        <f t="shared" si="12"/>
        <v>1.3029460824405317</v>
      </c>
      <c r="L39" s="413">
        <f t="shared" si="12"/>
        <v>1.3143531430029665</v>
      </c>
      <c r="M39" s="413">
        <f t="shared" si="12"/>
        <v>1.2981698723994344</v>
      </c>
      <c r="N39" s="413">
        <f t="shared" si="12"/>
        <v>1.3152216230990608</v>
      </c>
      <c r="O39" s="413">
        <f t="shared" si="12"/>
        <v>1.302258344390308</v>
      </c>
      <c r="P39" s="413">
        <f t="shared" si="12"/>
        <v>1.3018571631571008</v>
      </c>
      <c r="Q39" s="413">
        <f t="shared" si="12"/>
        <v>1.2969886276252951</v>
      </c>
      <c r="R39" s="413">
        <f t="shared" si="12"/>
        <v>1.3018550109619587</v>
      </c>
      <c r="S39" s="413">
        <f t="shared" si="12"/>
        <v>1.3004623648436668</v>
      </c>
      <c r="T39" s="413">
        <f t="shared" si="12"/>
        <v>1.2999202953525533</v>
      </c>
      <c r="U39" s="413" t="str">
        <f t="shared" si="12"/>
        <v xml:space="preserve"> </v>
      </c>
      <c r="V39" s="413">
        <f t="shared" si="12"/>
        <v>5.1253136186478541</v>
      </c>
      <c r="W39" s="413">
        <f t="shared" si="12"/>
        <v>1.5364775719274173</v>
      </c>
      <c r="X39" s="413">
        <f t="shared" si="12"/>
        <v>1.3122701727037247</v>
      </c>
      <c r="Y39" s="413">
        <f t="shared" si="12"/>
        <v>1.3077938312905544</v>
      </c>
      <c r="Z39" s="413">
        <f t="shared" si="12"/>
        <v>1.3131584809573063</v>
      </c>
      <c r="AA39" s="413">
        <f t="shared" si="12"/>
        <v>1.3122878570891177</v>
      </c>
      <c r="AB39" s="413">
        <f t="shared" si="12"/>
        <v>1.3122936967975749</v>
      </c>
      <c r="AC39" s="413">
        <f t="shared" si="12"/>
        <v>1.3078171491951709</v>
      </c>
      <c r="AD39" s="413">
        <f t="shared" si="12"/>
        <v>1.3131817516500734</v>
      </c>
      <c r="AE39" s="413">
        <f t="shared" si="12"/>
        <v>1.3123110495195929</v>
      </c>
      <c r="AF39" s="413">
        <f t="shared" si="12"/>
        <v>0.51875543445168626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55</v>
      </c>
      <c r="B42" s="48">
        <f>B37</f>
        <v>11388.990299501662</v>
      </c>
      <c r="C42" s="48">
        <f>C37</f>
        <v>11703.319819342893</v>
      </c>
      <c r="D42" s="48">
        <f t="shared" ref="D42:AF42" si="14">D37</f>
        <v>12032.858979108078</v>
      </c>
      <c r="E42" s="48">
        <f t="shared" si="14"/>
        <v>12033.485243382531</v>
      </c>
      <c r="F42" s="48">
        <f t="shared" si="14"/>
        <v>11750.366670536898</v>
      </c>
      <c r="G42" s="48">
        <f t="shared" si="14"/>
        <v>11388.214121954165</v>
      </c>
      <c r="H42" s="48">
        <f t="shared" si="14"/>
        <v>10995.206911616893</v>
      </c>
      <c r="I42" s="48">
        <f t="shared" si="14"/>
        <v>10569.831532128464</v>
      </c>
      <c r="J42" s="48">
        <f t="shared" si="14"/>
        <v>10074.903142986355</v>
      </c>
      <c r="K42" s="48">
        <f t="shared" si="14"/>
        <v>9528.5077047284067</v>
      </c>
      <c r="L42" s="48">
        <f t="shared" si="14"/>
        <v>8901.1263595645523</v>
      </c>
      <c r="M42" s="48">
        <f t="shared" si="14"/>
        <v>8211.8575647548732</v>
      </c>
      <c r="N42" s="48">
        <f t="shared" si="14"/>
        <v>7429.7499205179383</v>
      </c>
      <c r="O42" s="48">
        <f t="shared" si="14"/>
        <v>6573.5526913713693</v>
      </c>
      <c r="P42" s="48">
        <f t="shared" si="14"/>
        <v>5652.5490153647625</v>
      </c>
      <c r="Q42" s="48">
        <f t="shared" si="14"/>
        <v>4662.5657392968096</v>
      </c>
      <c r="R42" s="48">
        <f t="shared" si="14"/>
        <v>3601.6619315189691</v>
      </c>
      <c r="S42" s="48">
        <f t="shared" si="14"/>
        <v>2463.9196593044389</v>
      </c>
      <c r="T42" s="48">
        <f t="shared" si="14"/>
        <v>1245.7942214498883</v>
      </c>
      <c r="U42" s="48">
        <f t="shared" si="14"/>
        <v>0</v>
      </c>
      <c r="V42" s="48">
        <f t="shared" si="14"/>
        <v>178.7851290500673</v>
      </c>
      <c r="W42" s="48">
        <f t="shared" si="14"/>
        <v>1715.3389023438012</v>
      </c>
      <c r="X42" s="48">
        <f t="shared" si="14"/>
        <v>3689.9433275469146</v>
      </c>
      <c r="Y42" s="48">
        <f t="shared" si="14"/>
        <v>5882.2872744928936</v>
      </c>
      <c r="Z42" s="48">
        <f t="shared" si="14"/>
        <v>8307.6743831078602</v>
      </c>
      <c r="AA42" s="48">
        <f t="shared" si="14"/>
        <v>10991.841447867897</v>
      </c>
      <c r="AB42" s="48">
        <f t="shared" si="14"/>
        <v>13956.431748107911</v>
      </c>
      <c r="AC42" s="48">
        <f t="shared" si="14"/>
        <v>17228.724627599688</v>
      </c>
      <c r="AD42" s="48">
        <f t="shared" si="14"/>
        <v>20829.482956151634</v>
      </c>
      <c r="AE42" s="48">
        <f t="shared" si="14"/>
        <v>24795.0101229182</v>
      </c>
      <c r="AF42" s="48">
        <f t="shared" si="14"/>
        <v>28784.703530999883</v>
      </c>
    </row>
    <row r="43" spans="1:39">
      <c r="A43" s="48" t="s">
        <v>332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57</v>
      </c>
      <c r="B44" s="392">
        <f>B42*(B41-B32)/365.25*$E$64</f>
        <v>234.09403059139967</v>
      </c>
      <c r="C44" s="392">
        <f t="shared" ref="C44:AF44" si="15">C42*(C41-C32)/(C41-B41)*$E$64</f>
        <v>240.71965354442952</v>
      </c>
      <c r="D44" s="392">
        <f t="shared" si="15"/>
        <v>247.4977774949422</v>
      </c>
      <c r="E44" s="392">
        <f t="shared" si="15"/>
        <v>246.83440017676054</v>
      </c>
      <c r="F44" s="392">
        <f t="shared" si="15"/>
        <v>241.6873363809747</v>
      </c>
      <c r="G44" s="392">
        <f t="shared" si="15"/>
        <v>234.23840416594766</v>
      </c>
      <c r="H44" s="392">
        <f t="shared" si="15"/>
        <v>226.15483805195569</v>
      </c>
      <c r="I44" s="392">
        <f t="shared" si="15"/>
        <v>216.81150335370072</v>
      </c>
      <c r="J44" s="392">
        <f t="shared" si="15"/>
        <v>207.22557629032895</v>
      </c>
      <c r="K44" s="392">
        <f t="shared" si="15"/>
        <v>195.98704546095485</v>
      </c>
      <c r="L44" s="392">
        <f t="shared" si="15"/>
        <v>183.08275656008462</v>
      </c>
      <c r="M44" s="392">
        <f t="shared" si="15"/>
        <v>168.44404553933666</v>
      </c>
      <c r="N44" s="392">
        <f t="shared" si="15"/>
        <v>152.81876035147513</v>
      </c>
      <c r="O44" s="392">
        <f t="shared" si="15"/>
        <v>135.20807350813851</v>
      </c>
      <c r="P44" s="392">
        <f t="shared" si="15"/>
        <v>116.26441570644099</v>
      </c>
      <c r="Q44" s="392">
        <f t="shared" si="15"/>
        <v>95.639924283526781</v>
      </c>
      <c r="R44" s="392">
        <f t="shared" si="15"/>
        <v>74.08075876953059</v>
      </c>
      <c r="S44" s="392">
        <f t="shared" si="15"/>
        <v>50.679114636241309</v>
      </c>
      <c r="T44" s="392">
        <f t="shared" si="15"/>
        <v>25.624109911054894</v>
      </c>
      <c r="U44" s="392">
        <f t="shared" si="15"/>
        <v>0</v>
      </c>
      <c r="V44" s="392">
        <f t="shared" si="15"/>
        <v>3.6773407023106306</v>
      </c>
      <c r="W44" s="392">
        <f t="shared" si="15"/>
        <v>35.281936463961884</v>
      </c>
      <c r="X44" s="392">
        <f t="shared" si="15"/>
        <v>75.896574059064278</v>
      </c>
      <c r="Y44" s="392">
        <f t="shared" si="15"/>
        <v>120.6592123312989</v>
      </c>
      <c r="Z44" s="392">
        <f t="shared" si="15"/>
        <v>170.87634364707469</v>
      </c>
      <c r="AA44" s="392">
        <f t="shared" si="15"/>
        <v>226.0856155338856</v>
      </c>
      <c r="AB44" s="392">
        <f t="shared" si="15"/>
        <v>287.06277081895928</v>
      </c>
      <c r="AC44" s="392">
        <f t="shared" si="15"/>
        <v>353.40068344728047</v>
      </c>
      <c r="AD44" s="392">
        <f t="shared" si="15"/>
        <v>428.43107751591344</v>
      </c>
      <c r="AE44" s="392">
        <f t="shared" si="15"/>
        <v>509.99599588440663</v>
      </c>
      <c r="AF44" s="392">
        <f t="shared" si="15"/>
        <v>1587.4961152850074</v>
      </c>
    </row>
    <row r="45" spans="1:39">
      <c r="A45" s="48" t="s">
        <v>58</v>
      </c>
      <c r="B45" s="48">
        <f>B42+B43</f>
        <v>11388.990299501662</v>
      </c>
      <c r="C45" s="48">
        <f t="shared" ref="C45:AF45" si="16">C42+C43</f>
        <v>11703.319819342893</v>
      </c>
      <c r="D45" s="48">
        <f t="shared" si="16"/>
        <v>12032.858979108078</v>
      </c>
      <c r="E45" s="48">
        <f t="shared" si="16"/>
        <v>12033.485243382531</v>
      </c>
      <c r="F45" s="48">
        <f t="shared" si="16"/>
        <v>11750.366670536898</v>
      </c>
      <c r="G45" s="48">
        <f t="shared" si="16"/>
        <v>11388.214121954165</v>
      </c>
      <c r="H45" s="48">
        <f t="shared" si="16"/>
        <v>10995.206911616893</v>
      </c>
      <c r="I45" s="48">
        <f t="shared" si="16"/>
        <v>10569.831532128464</v>
      </c>
      <c r="J45" s="48">
        <f t="shared" si="16"/>
        <v>10074.903142986355</v>
      </c>
      <c r="K45" s="48">
        <f t="shared" si="16"/>
        <v>9528.5077047284067</v>
      </c>
      <c r="L45" s="48">
        <f t="shared" si="16"/>
        <v>8901.1263595645523</v>
      </c>
      <c r="M45" s="48">
        <f t="shared" si="16"/>
        <v>8211.8575647548732</v>
      </c>
      <c r="N45" s="48">
        <f t="shared" si="16"/>
        <v>7429.7499205179383</v>
      </c>
      <c r="O45" s="48">
        <f t="shared" si="16"/>
        <v>6573.5526913713693</v>
      </c>
      <c r="P45" s="48">
        <f t="shared" si="16"/>
        <v>5652.5490153647625</v>
      </c>
      <c r="Q45" s="48">
        <f t="shared" si="16"/>
        <v>4662.5657392968096</v>
      </c>
      <c r="R45" s="48">
        <f t="shared" si="16"/>
        <v>3601.6619315189691</v>
      </c>
      <c r="S45" s="48">
        <f t="shared" si="16"/>
        <v>2463.9196593044389</v>
      </c>
      <c r="T45" s="48">
        <f t="shared" si="16"/>
        <v>1245.7942214498883</v>
      </c>
      <c r="U45" s="48">
        <f t="shared" si="16"/>
        <v>0</v>
      </c>
      <c r="V45" s="48">
        <f t="shared" si="16"/>
        <v>178.7851290500673</v>
      </c>
      <c r="W45" s="48">
        <f t="shared" si="16"/>
        <v>1715.3389023438012</v>
      </c>
      <c r="X45" s="48">
        <f t="shared" si="16"/>
        <v>3689.9433275469146</v>
      </c>
      <c r="Y45" s="48">
        <f t="shared" si="16"/>
        <v>5882.2872744928936</v>
      </c>
      <c r="Z45" s="48">
        <f t="shared" si="16"/>
        <v>8307.6743831078602</v>
      </c>
      <c r="AA45" s="48">
        <f t="shared" si="16"/>
        <v>10991.841447867897</v>
      </c>
      <c r="AB45" s="48">
        <f t="shared" si="16"/>
        <v>13956.431748107911</v>
      </c>
      <c r="AC45" s="48">
        <f t="shared" si="16"/>
        <v>17228.724627599688</v>
      </c>
      <c r="AD45" s="48">
        <f t="shared" si="16"/>
        <v>20829.482956151634</v>
      </c>
      <c r="AE45" s="48">
        <f t="shared" si="16"/>
        <v>24795.0101229182</v>
      </c>
      <c r="AF45" s="48">
        <f t="shared" si="16"/>
        <v>28784.703530999883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392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137</v>
      </c>
      <c r="B48" s="163">
        <f>SUM(B35,B26)</f>
        <v>-163.64212752446838</v>
      </c>
      <c r="C48" s="163">
        <f t="shared" ref="C48:AF48" si="17">SUM(C35,C26)</f>
        <v>-314.32951984123065</v>
      </c>
      <c r="D48" s="163">
        <f t="shared" si="17"/>
        <v>-329.5391597651851</v>
      </c>
      <c r="E48" s="163">
        <f t="shared" si="17"/>
        <v>-0.62626427445320587</v>
      </c>
      <c r="F48" s="163">
        <f t="shared" si="17"/>
        <v>283.11857284563303</v>
      </c>
      <c r="G48" s="163">
        <f t="shared" si="17"/>
        <v>362.15254858273329</v>
      </c>
      <c r="H48" s="163">
        <f t="shared" si="17"/>
        <v>393.00721033727132</v>
      </c>
      <c r="I48" s="163">
        <f t="shared" si="17"/>
        <v>425.37537948842873</v>
      </c>
      <c r="J48" s="163">
        <f t="shared" si="17"/>
        <v>494.92838914210915</v>
      </c>
      <c r="K48" s="163">
        <f t="shared" si="17"/>
        <v>546.39543825794863</v>
      </c>
      <c r="L48" s="163">
        <f t="shared" si="17"/>
        <v>627.38134516385435</v>
      </c>
      <c r="M48" s="163">
        <f t="shared" si="17"/>
        <v>689.26879480967909</v>
      </c>
      <c r="N48" s="163">
        <f t="shared" si="17"/>
        <v>782.1076442369349</v>
      </c>
      <c r="O48" s="163">
        <f t="shared" si="17"/>
        <v>856.19722914656904</v>
      </c>
      <c r="P48" s="163">
        <f t="shared" si="17"/>
        <v>921.00367600660684</v>
      </c>
      <c r="Q48" s="163">
        <f t="shared" si="17"/>
        <v>989.98327606795283</v>
      </c>
      <c r="R48" s="163">
        <f t="shared" si="17"/>
        <v>1060.9038077778405</v>
      </c>
      <c r="S48" s="163">
        <f t="shared" si="17"/>
        <v>1137.7422722145302</v>
      </c>
      <c r="T48" s="163">
        <f t="shared" si="17"/>
        <v>1218.1254378545507</v>
      </c>
      <c r="U48" s="163">
        <f t="shared" si="17"/>
        <v>1245.7942214498883</v>
      </c>
      <c r="V48" s="163">
        <f t="shared" si="17"/>
        <v>-178.7851290500673</v>
      </c>
      <c r="W48" s="163">
        <f t="shared" si="17"/>
        <v>-1536.5537732937339</v>
      </c>
      <c r="X48" s="163">
        <f t="shared" si="17"/>
        <v>-1974.6044252031134</v>
      </c>
      <c r="Y48" s="163">
        <f t="shared" si="17"/>
        <v>-2192.343946945979</v>
      </c>
      <c r="Z48" s="163">
        <f t="shared" si="17"/>
        <v>-2425.3871086149666</v>
      </c>
      <c r="AA48" s="163">
        <f t="shared" si="17"/>
        <v>-2684.1670647600367</v>
      </c>
      <c r="AB48" s="163">
        <f t="shared" si="17"/>
        <v>-2964.5903002400137</v>
      </c>
      <c r="AC48" s="163">
        <f t="shared" si="17"/>
        <v>-3272.2928794917771</v>
      </c>
      <c r="AD48" s="163">
        <f t="shared" si="17"/>
        <v>-3600.7583285519468</v>
      </c>
      <c r="AE48" s="163">
        <f t="shared" si="17"/>
        <v>-3965.5271667665656</v>
      </c>
      <c r="AF48" s="163">
        <f t="shared" si="17"/>
        <v>-3989.6934080816827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136</v>
      </c>
      <c r="B49" s="392">
        <f>B36</f>
        <v>387.93143682623452</v>
      </c>
      <c r="C49" s="392">
        <f t="shared" ref="C49:AF49" si="18">C27+C36+B44</f>
        <v>945.74503823017335</v>
      </c>
      <c r="D49" s="392">
        <f t="shared" si="18"/>
        <v>972.14755580582244</v>
      </c>
      <c r="E49" s="392">
        <f t="shared" si="18"/>
        <v>993.41341015183843</v>
      </c>
      <c r="F49" s="392">
        <f t="shared" si="18"/>
        <v>986.2807839039167</v>
      </c>
      <c r="G49" s="392">
        <f t="shared" si="18"/>
        <v>962.01333768386542</v>
      </c>
      <c r="H49" s="392">
        <f t="shared" si="18"/>
        <v>931.51222003053863</v>
      </c>
      <c r="I49" s="392">
        <f t="shared" si="18"/>
        <v>899.13889324978607</v>
      </c>
      <c r="J49" s="392">
        <f t="shared" si="18"/>
        <v>861.32819168303865</v>
      </c>
      <c r="K49" s="392">
        <f t="shared" si="18"/>
        <v>820.0620579312465</v>
      </c>
      <c r="L49" s="392">
        <f t="shared" si="18"/>
        <v>773.34596389605929</v>
      </c>
      <c r="M49" s="392">
        <f t="shared" si="18"/>
        <v>720.92437382017272</v>
      </c>
      <c r="N49" s="392">
        <f t="shared" si="18"/>
        <v>661.12238224428779</v>
      </c>
      <c r="O49" s="392">
        <f t="shared" si="18"/>
        <v>595.57168858274008</v>
      </c>
      <c r="P49" s="392">
        <f t="shared" si="18"/>
        <v>523.62620113272078</v>
      </c>
      <c r="Q49" s="392">
        <f t="shared" si="18"/>
        <v>446.65358975342178</v>
      </c>
      <c r="R49" s="392">
        <f t="shared" si="18"/>
        <v>362.87647388581507</v>
      </c>
      <c r="S49" s="392">
        <f t="shared" si="18"/>
        <v>274.0671695892994</v>
      </c>
      <c r="T49" s="392">
        <f t="shared" si="18"/>
        <v>178.57988305756413</v>
      </c>
      <c r="U49" s="392">
        <f t="shared" si="18"/>
        <v>76.502811297696809</v>
      </c>
      <c r="V49" s="392">
        <f t="shared" si="18"/>
        <v>3.6226245368336238</v>
      </c>
      <c r="W49" s="392">
        <f t="shared" si="18"/>
        <v>45.883296607967402</v>
      </c>
      <c r="X49" s="392">
        <f t="shared" si="18"/>
        <v>181.51792462894872</v>
      </c>
      <c r="Y49" s="392">
        <f t="shared" si="18"/>
        <v>348.93522030863892</v>
      </c>
      <c r="Z49" s="392">
        <f t="shared" si="18"/>
        <v>534.06877092458183</v>
      </c>
      <c r="AA49" s="392">
        <f t="shared" si="18"/>
        <v>739.73288646886135</v>
      </c>
      <c r="AB49" s="392">
        <f t="shared" si="18"/>
        <v>966.84643765119222</v>
      </c>
      <c r="AC49" s="392">
        <f t="shared" si="18"/>
        <v>1218.3329613239928</v>
      </c>
      <c r="AD49" s="392">
        <f t="shared" si="18"/>
        <v>1493.2632184427032</v>
      </c>
      <c r="AE49" s="392">
        <f t="shared" si="18"/>
        <v>1798.688239063581</v>
      </c>
      <c r="AF49" s="392">
        <f t="shared" si="18"/>
        <v>1204.4819354161391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224.28930930176614</v>
      </c>
      <c r="C50" s="49">
        <f t="shared" si="19"/>
        <v>631.4155183889427</v>
      </c>
      <c r="D50" s="49">
        <f t="shared" si="19"/>
        <v>642.60839604063733</v>
      </c>
      <c r="E50" s="49">
        <f t="shared" si="19"/>
        <v>992.78714587738523</v>
      </c>
      <c r="F50" s="49">
        <f t="shared" si="19"/>
        <v>1269.3993567495497</v>
      </c>
      <c r="G50" s="49">
        <f t="shared" si="19"/>
        <v>1324.1658862665986</v>
      </c>
      <c r="H50" s="49">
        <f t="shared" si="19"/>
        <v>1324.5194303678099</v>
      </c>
      <c r="I50" s="49">
        <f t="shared" si="19"/>
        <v>1324.5142727382149</v>
      </c>
      <c r="J50" s="49">
        <f t="shared" si="19"/>
        <v>1356.2565808251479</v>
      </c>
      <c r="K50" s="49">
        <f t="shared" si="19"/>
        <v>1366.4574961891951</v>
      </c>
      <c r="L50" s="49">
        <f t="shared" si="19"/>
        <v>1400.7273090599138</v>
      </c>
      <c r="M50" s="49">
        <f t="shared" si="19"/>
        <v>1410.1931686298517</v>
      </c>
      <c r="N50" s="49">
        <f t="shared" si="19"/>
        <v>1443.2300264812227</v>
      </c>
      <c r="O50" s="49">
        <f t="shared" si="19"/>
        <v>1451.7689177293091</v>
      </c>
      <c r="P50" s="49">
        <f t="shared" si="19"/>
        <v>1444.6298771393276</v>
      </c>
      <c r="Q50" s="49">
        <f t="shared" si="19"/>
        <v>1436.6368658213746</v>
      </c>
      <c r="R50" s="49">
        <f t="shared" si="19"/>
        <v>1423.7802816636556</v>
      </c>
      <c r="S50" s="49">
        <f t="shared" si="19"/>
        <v>1411.8094418038295</v>
      </c>
      <c r="T50" s="49">
        <f t="shared" si="19"/>
        <v>1396.7053209121148</v>
      </c>
      <c r="U50" s="49">
        <f t="shared" si="19"/>
        <v>1322.297032747585</v>
      </c>
      <c r="V50" s="49">
        <f t="shared" si="19"/>
        <v>-175.16250451323367</v>
      </c>
      <c r="W50" s="49">
        <f t="shared" si="19"/>
        <v>-1490.6704766857665</v>
      </c>
      <c r="X50" s="49">
        <f t="shared" si="19"/>
        <v>-1793.0865005741646</v>
      </c>
      <c r="Y50" s="49">
        <f t="shared" si="19"/>
        <v>-1843.4087266373401</v>
      </c>
      <c r="Z50" s="49">
        <f t="shared" si="19"/>
        <v>-1891.3183376903849</v>
      </c>
      <c r="AA50" s="49">
        <f t="shared" si="19"/>
        <v>-1944.4341782911754</v>
      </c>
      <c r="AB50" s="49">
        <f t="shared" si="19"/>
        <v>-1997.7438625888215</v>
      </c>
      <c r="AC50" s="49">
        <f t="shared" si="19"/>
        <v>-2053.9599181677841</v>
      </c>
      <c r="AD50" s="49">
        <f t="shared" si="19"/>
        <v>-2107.4951101092438</v>
      </c>
      <c r="AE50" s="49">
        <f t="shared" si="19"/>
        <v>-2166.8389277029846</v>
      </c>
      <c r="AF50" s="49">
        <f t="shared" si="19"/>
        <v>-2785.2114726655436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407</v>
      </c>
      <c r="B52" s="410">
        <f>IF(B33&gt;0.1,(B38+B29)/B50," ")</f>
        <v>1.3000000000000067</v>
      </c>
      <c r="C52" s="410">
        <f t="shared" ref="C52:AF52" si="20">IF(C33&gt;0.1,(C38+C29)/C50," ")</f>
        <v>1.2999999999999989</v>
      </c>
      <c r="D52" s="410">
        <f t="shared" si="20"/>
        <v>1.2999999999999994</v>
      </c>
      <c r="E52" s="410">
        <f t="shared" si="20"/>
        <v>1.2999999999999983</v>
      </c>
      <c r="F52" s="410">
        <f t="shared" si="20"/>
        <v>1.3000000000000003</v>
      </c>
      <c r="G52" s="410">
        <f t="shared" si="20"/>
        <v>1.300000000000002</v>
      </c>
      <c r="H52" s="410">
        <f t="shared" si="20"/>
        <v>1.3000000000000018</v>
      </c>
      <c r="I52" s="410">
        <f t="shared" si="20"/>
        <v>1.3000000000000023</v>
      </c>
      <c r="J52" s="410">
        <f t="shared" si="20"/>
        <v>1.3000000000000012</v>
      </c>
      <c r="K52" s="410">
        <f t="shared" si="20"/>
        <v>1.3000000000000009</v>
      </c>
      <c r="L52" s="410">
        <f t="shared" si="20"/>
        <v>1.3000000000000029</v>
      </c>
      <c r="M52" s="410">
        <f t="shared" si="20"/>
        <v>1.3000000000000007</v>
      </c>
      <c r="N52" s="410">
        <f t="shared" si="20"/>
        <v>1.3</v>
      </c>
      <c r="O52" s="410">
        <f t="shared" si="20"/>
        <v>1.3000000000000005</v>
      </c>
      <c r="P52" s="472">
        <f t="shared" si="20"/>
        <v>1.2999999999999996</v>
      </c>
      <c r="Q52" s="410">
        <f t="shared" si="20"/>
        <v>1.2999999999999994</v>
      </c>
      <c r="R52" s="410">
        <f t="shared" si="20"/>
        <v>1.2999999999999998</v>
      </c>
      <c r="S52" s="410">
        <f t="shared" si="20"/>
        <v>1.3000000000000005</v>
      </c>
      <c r="T52" s="410">
        <f t="shared" si="20"/>
        <v>1.2999999999999998</v>
      </c>
      <c r="U52" s="410">
        <f t="shared" si="20"/>
        <v>1.3569877393506347</v>
      </c>
      <c r="V52" s="410">
        <f t="shared" si="20"/>
        <v>1.3</v>
      </c>
      <c r="W52" s="410">
        <f t="shared" si="20"/>
        <v>1.3</v>
      </c>
      <c r="X52" s="410">
        <f t="shared" si="20"/>
        <v>1.2999999999999996</v>
      </c>
      <c r="Y52" s="410">
        <f t="shared" si="20"/>
        <v>1.3000000000000003</v>
      </c>
      <c r="Z52" s="410">
        <f t="shared" si="20"/>
        <v>1.3000000000000007</v>
      </c>
      <c r="AA52" s="410">
        <f t="shared" si="20"/>
        <v>1.3000000000000007</v>
      </c>
      <c r="AB52" s="410">
        <f t="shared" si="20"/>
        <v>1.2999999999999998</v>
      </c>
      <c r="AC52" s="410">
        <f t="shared" si="20"/>
        <v>1.2999999999999996</v>
      </c>
      <c r="AD52" s="410">
        <f t="shared" si="20"/>
        <v>1.2999999999999992</v>
      </c>
      <c r="AE52" s="410">
        <f t="shared" si="20"/>
        <v>1.3000000000000007</v>
      </c>
      <c r="AF52" s="472">
        <f t="shared" si="20"/>
        <v>1.3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391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137</v>
      </c>
      <c r="B56" s="163">
        <f t="shared" ref="B56:AF56" si="21">B35+B26</f>
        <v>-163.64212752446838</v>
      </c>
      <c r="C56" s="163">
        <f t="shared" si="21"/>
        <v>-314.32951984123065</v>
      </c>
      <c r="D56" s="163">
        <f t="shared" si="21"/>
        <v>-329.5391597651851</v>
      </c>
      <c r="E56" s="163">
        <f t="shared" si="21"/>
        <v>-0.62626427445320587</v>
      </c>
      <c r="F56" s="163">
        <f t="shared" si="21"/>
        <v>283.11857284563303</v>
      </c>
      <c r="G56" s="163">
        <f t="shared" si="21"/>
        <v>362.15254858273329</v>
      </c>
      <c r="H56" s="163">
        <f t="shared" si="21"/>
        <v>393.00721033727132</v>
      </c>
      <c r="I56" s="163">
        <f t="shared" si="21"/>
        <v>425.37537948842873</v>
      </c>
      <c r="J56" s="163">
        <f t="shared" si="21"/>
        <v>494.92838914210915</v>
      </c>
      <c r="K56" s="163">
        <f t="shared" si="21"/>
        <v>546.39543825794863</v>
      </c>
      <c r="L56" s="163">
        <f t="shared" si="21"/>
        <v>627.38134516385435</v>
      </c>
      <c r="M56" s="163">
        <f t="shared" si="21"/>
        <v>689.26879480967909</v>
      </c>
      <c r="N56" s="163">
        <f t="shared" si="21"/>
        <v>782.1076442369349</v>
      </c>
      <c r="O56" s="163">
        <f t="shared" si="21"/>
        <v>856.19722914656904</v>
      </c>
      <c r="P56" s="163">
        <f t="shared" si="21"/>
        <v>921.00367600660684</v>
      </c>
      <c r="Q56" s="163">
        <f t="shared" si="21"/>
        <v>989.98327606795283</v>
      </c>
      <c r="R56" s="163">
        <f t="shared" si="21"/>
        <v>1060.9038077778405</v>
      </c>
      <c r="S56" s="163">
        <f t="shared" si="21"/>
        <v>1137.7422722145302</v>
      </c>
      <c r="T56" s="163">
        <f t="shared" si="21"/>
        <v>1218.1254378545507</v>
      </c>
      <c r="U56" s="163">
        <f t="shared" si="21"/>
        <v>1245.7942214498883</v>
      </c>
      <c r="V56" s="163">
        <f t="shared" si="21"/>
        <v>-178.7851290500673</v>
      </c>
      <c r="W56" s="163">
        <f t="shared" si="21"/>
        <v>-1536.5537732937339</v>
      </c>
      <c r="X56" s="163">
        <f t="shared" si="21"/>
        <v>-1974.6044252031134</v>
      </c>
      <c r="Y56" s="163">
        <f t="shared" si="21"/>
        <v>-2192.343946945979</v>
      </c>
      <c r="Z56" s="163">
        <f t="shared" si="21"/>
        <v>-2425.3871086149666</v>
      </c>
      <c r="AA56" s="163">
        <f t="shared" si="21"/>
        <v>-2684.1670647600367</v>
      </c>
      <c r="AB56" s="163">
        <f t="shared" si="21"/>
        <v>-2964.5903002400137</v>
      </c>
      <c r="AC56" s="163">
        <f t="shared" si="21"/>
        <v>-3272.2928794917771</v>
      </c>
      <c r="AD56" s="163">
        <f t="shared" si="21"/>
        <v>-3600.7583285519468</v>
      </c>
      <c r="AE56" s="163">
        <f t="shared" si="21"/>
        <v>-3965.5271667665656</v>
      </c>
      <c r="AF56" s="163">
        <f t="shared" si="21"/>
        <v>-3989.6934080816827</v>
      </c>
    </row>
    <row r="57" spans="1:39">
      <c r="A57" s="403" t="s">
        <v>136</v>
      </c>
      <c r="B57" s="392">
        <f t="shared" ref="B57:AF57" si="22">B36+B44+B27</f>
        <v>622.02546741763422</v>
      </c>
      <c r="C57" s="392">
        <f t="shared" si="22"/>
        <v>952.3706611832032</v>
      </c>
      <c r="D57" s="392">
        <f t="shared" si="22"/>
        <v>978.92567975633506</v>
      </c>
      <c r="E57" s="392">
        <f t="shared" si="22"/>
        <v>992.75003283365686</v>
      </c>
      <c r="F57" s="392">
        <f t="shared" si="22"/>
        <v>981.133720108131</v>
      </c>
      <c r="G57" s="392">
        <f t="shared" si="22"/>
        <v>954.56440546883834</v>
      </c>
      <c r="H57" s="392">
        <f t="shared" si="22"/>
        <v>923.42865391654664</v>
      </c>
      <c r="I57" s="392">
        <f t="shared" si="22"/>
        <v>889.79555855153114</v>
      </c>
      <c r="J57" s="392">
        <f t="shared" si="22"/>
        <v>851.74226461966691</v>
      </c>
      <c r="K57" s="392">
        <f t="shared" si="22"/>
        <v>808.82352710187229</v>
      </c>
      <c r="L57" s="392">
        <f t="shared" si="22"/>
        <v>760.44167499518915</v>
      </c>
      <c r="M57" s="392">
        <f t="shared" si="22"/>
        <v>706.2856627994247</v>
      </c>
      <c r="N57" s="392">
        <f t="shared" si="22"/>
        <v>645.49709705642624</v>
      </c>
      <c r="O57" s="392">
        <f t="shared" si="22"/>
        <v>577.9610017394034</v>
      </c>
      <c r="P57" s="392">
        <f t="shared" si="22"/>
        <v>504.68254333102328</v>
      </c>
      <c r="Q57" s="392">
        <f t="shared" si="22"/>
        <v>426.02909833050757</v>
      </c>
      <c r="R57" s="392">
        <f t="shared" si="22"/>
        <v>341.31730837181885</v>
      </c>
      <c r="S57" s="392">
        <f t="shared" si="22"/>
        <v>250.66552545601013</v>
      </c>
      <c r="T57" s="392">
        <f t="shared" si="22"/>
        <v>153.52487833237771</v>
      </c>
      <c r="U57" s="392">
        <f t="shared" si="22"/>
        <v>50.878701386641907</v>
      </c>
      <c r="V57" s="392">
        <f t="shared" si="22"/>
        <v>7.2999652391442549</v>
      </c>
      <c r="W57" s="392">
        <f t="shared" si="22"/>
        <v>77.487892369618663</v>
      </c>
      <c r="X57" s="392">
        <f t="shared" si="22"/>
        <v>222.13256222405107</v>
      </c>
      <c r="Y57" s="392">
        <f t="shared" si="22"/>
        <v>393.69785858087351</v>
      </c>
      <c r="Z57" s="392">
        <f t="shared" si="22"/>
        <v>584.28590224035759</v>
      </c>
      <c r="AA57" s="392">
        <f t="shared" si="22"/>
        <v>794.94215835567218</v>
      </c>
      <c r="AB57" s="392">
        <f t="shared" si="22"/>
        <v>1027.8235929362659</v>
      </c>
      <c r="AC57" s="392">
        <f t="shared" si="22"/>
        <v>1284.670873952314</v>
      </c>
      <c r="AD57" s="392">
        <f t="shared" si="22"/>
        <v>1568.2936125113361</v>
      </c>
      <c r="AE57" s="392">
        <f t="shared" si="22"/>
        <v>1880.2531574320742</v>
      </c>
      <c r="AF57" s="392">
        <f t="shared" si="22"/>
        <v>2281.9820548167399</v>
      </c>
    </row>
    <row r="58" spans="1:39">
      <c r="A58" s="49" t="s">
        <v>59</v>
      </c>
      <c r="B58" s="49">
        <f>SUM(B56:B57)</f>
        <v>458.38333989316584</v>
      </c>
      <c r="C58" s="49">
        <f t="shared" ref="C58:AF58" si="23">SUM(C56:C57)</f>
        <v>638.04114134197255</v>
      </c>
      <c r="D58" s="49">
        <f t="shared" si="23"/>
        <v>649.38651999114995</v>
      </c>
      <c r="E58" s="49">
        <f t="shared" si="23"/>
        <v>992.12376855920365</v>
      </c>
      <c r="F58" s="49">
        <f t="shared" si="23"/>
        <v>1264.252292953764</v>
      </c>
      <c r="G58" s="49">
        <f t="shared" si="23"/>
        <v>1316.7169540515715</v>
      </c>
      <c r="H58" s="49">
        <f t="shared" si="23"/>
        <v>1316.435864253818</v>
      </c>
      <c r="I58" s="49">
        <f t="shared" si="23"/>
        <v>1315.1709380399598</v>
      </c>
      <c r="J58" s="49">
        <f t="shared" si="23"/>
        <v>1346.6706537617761</v>
      </c>
      <c r="K58" s="49">
        <f t="shared" si="23"/>
        <v>1355.2189653598209</v>
      </c>
      <c r="L58" s="49">
        <f t="shared" si="23"/>
        <v>1387.8230201590436</v>
      </c>
      <c r="M58" s="49">
        <f t="shared" si="23"/>
        <v>1395.5544576091038</v>
      </c>
      <c r="N58" s="49">
        <f t="shared" si="23"/>
        <v>1427.6047412933613</v>
      </c>
      <c r="O58" s="49">
        <f t="shared" si="23"/>
        <v>1434.1582308859724</v>
      </c>
      <c r="P58" s="49">
        <f t="shared" si="23"/>
        <v>1425.6862193376301</v>
      </c>
      <c r="Q58" s="49">
        <f t="shared" si="23"/>
        <v>1416.0123743984605</v>
      </c>
      <c r="R58" s="49">
        <f t="shared" si="23"/>
        <v>1402.2211161496593</v>
      </c>
      <c r="S58" s="49">
        <f t="shared" si="23"/>
        <v>1388.4077976705403</v>
      </c>
      <c r="T58" s="49">
        <f t="shared" si="23"/>
        <v>1371.6503161869284</v>
      </c>
      <c r="U58" s="49">
        <f t="shared" si="23"/>
        <v>1296.6729228365302</v>
      </c>
      <c r="V58" s="49">
        <f t="shared" si="23"/>
        <v>-171.48516381092304</v>
      </c>
      <c r="W58" s="49">
        <f t="shared" si="23"/>
        <v>-1459.0658809241152</v>
      </c>
      <c r="X58" s="49">
        <f t="shared" si="23"/>
        <v>-1752.4718629790623</v>
      </c>
      <c r="Y58" s="49">
        <f t="shared" si="23"/>
        <v>-1798.6460883651055</v>
      </c>
      <c r="Z58" s="49">
        <f t="shared" si="23"/>
        <v>-1841.1012063746089</v>
      </c>
      <c r="AA58" s="49">
        <f t="shared" si="23"/>
        <v>-1889.2249064043644</v>
      </c>
      <c r="AB58" s="49">
        <f t="shared" si="23"/>
        <v>-1936.7667073037478</v>
      </c>
      <c r="AC58" s="49">
        <f t="shared" si="23"/>
        <v>-1987.6220055394631</v>
      </c>
      <c r="AD58" s="49">
        <f t="shared" si="23"/>
        <v>-2032.4647160406107</v>
      </c>
      <c r="AE58" s="49">
        <f t="shared" si="23"/>
        <v>-2085.2740093344914</v>
      </c>
      <c r="AF58" s="49">
        <f t="shared" si="23"/>
        <v>-1707.7113532649428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46" t="s">
        <v>333</v>
      </c>
      <c r="C61" s="547"/>
      <c r="D61" s="547"/>
      <c r="E61" s="54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395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1.7500000000000002E-2</v>
      </c>
      <c r="AA63" s="12"/>
      <c r="AB63" s="12"/>
    </row>
    <row r="64" spans="1:39">
      <c r="A64" s="48"/>
      <c r="B64" s="339" t="s">
        <v>396</v>
      </c>
      <c r="C64" s="58"/>
      <c r="D64" s="58"/>
      <c r="E64" s="406">
        <f>E63+E62</f>
        <v>8.2500000000000004E-2</v>
      </c>
      <c r="AA64" s="12"/>
      <c r="AB64" s="12"/>
    </row>
    <row r="65" spans="1:43">
      <c r="B65" s="408" t="s">
        <v>394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393</v>
      </c>
      <c r="C66" s="13"/>
      <c r="D66" s="13"/>
      <c r="E66" s="465">
        <f>B77</f>
        <v>-53.212232275954904</v>
      </c>
      <c r="AA66" s="12"/>
      <c r="AB66" s="12"/>
    </row>
    <row r="67" spans="1:43">
      <c r="B67" s="339" t="s">
        <v>54</v>
      </c>
      <c r="C67" s="58"/>
      <c r="D67" s="58"/>
      <c r="E67" s="451">
        <f>B19</f>
        <v>11225.348171977193</v>
      </c>
      <c r="AA67" s="12"/>
      <c r="AB67" s="12"/>
    </row>
    <row r="68" spans="1:43">
      <c r="B68" s="336" t="s">
        <v>0</v>
      </c>
      <c r="C68" s="57"/>
      <c r="D68" s="57" t="s">
        <v>389</v>
      </c>
      <c r="E68" s="468">
        <f>AVERAGE(B52:AF52)</f>
        <v>1.3018383141726013</v>
      </c>
      <c r="AA68" s="12"/>
      <c r="AB68" s="12"/>
    </row>
    <row r="69" spans="1:43">
      <c r="B69" s="466"/>
      <c r="C69" s="58"/>
      <c r="D69" s="58" t="s">
        <v>390</v>
      </c>
      <c r="E69" s="469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70">
        <f>(SUMPRODUCT(B74:AF74,B35:AF35)+SUMPRODUCT(B75:AF75,B26:AF26))/E67</f>
        <v>-53.212232275954904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Notes</vt:lpstr>
      <vt:lpstr>Tracking Sheet</vt:lpstr>
      <vt:lpstr>Compare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2000-02-12T00:04:30Z</cp:lastPrinted>
  <dcterms:created xsi:type="dcterms:W3CDTF">1999-04-02T01:38:38Z</dcterms:created>
  <dcterms:modified xsi:type="dcterms:W3CDTF">2014-09-03T11:31:59Z</dcterms:modified>
</cp:coreProperties>
</file>