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923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GCurve" sheetId="26" r:id="rId5"/>
    <sheet name="IS" sheetId="4" r:id="rId6"/>
    <sheet name="BS" sheetId="19" state="hidden" r:id="rId7"/>
    <sheet name="Returns Analysis" sheetId="25" r:id="rId8"/>
    <sheet name="IDC-Project" sheetId="27" r:id="rId9"/>
    <sheet name="Debt" sheetId="6" r:id="rId10"/>
    <sheet name="Depreciation" sheetId="7" r:id="rId11"/>
    <sheet name="Taxes" sheetId="8" r:id="rId12"/>
    <sheet name="IDC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AnnualHours" localSheetId="8">[6]Assumptions!#REF!</definedName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 localSheetId="8">[6]Assumptions!#REF!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6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5">IS!$A$2:$AG$45</definedName>
    <definedName name="_xlnm.Print_Area" localSheetId="11">Taxes!$A$2:$AF$41</definedName>
    <definedName name="_xlnm.Print_Titles" localSheetId="6">BS!$A:$A</definedName>
    <definedName name="_xlnm.Print_Titles" localSheetId="9">Debt!$A:$A</definedName>
    <definedName name="_xlnm.Print_Titles" localSheetId="10">Depreciation!$A:$A</definedName>
    <definedName name="_xlnm.Print_Titles" localSheetId="5">IS!$A:$A</definedName>
    <definedName name="_xlnm.Print_Titles" localSheetId="3">'Price_Technical Assumption'!$A:$B</definedName>
    <definedName name="_xlnm.Print_Titles" localSheetId="7">'Returns Analysis'!$A:$A</definedName>
    <definedName name="_xlnm.Print_Titles" localSheetId="11">Taxes!$A:$A</definedName>
    <definedName name="StartMWh">'[2]Project Assumptions'!#REF!</definedName>
    <definedName name="Variable" localSheetId="8">[6]Assumptions!#REF!</definedName>
    <definedName name="Variable">Assumptions!#REF!</definedName>
    <definedName name="WaterTreatmentVar" localSheetId="8">[6]Assumptions!#REF!</definedName>
    <definedName name="WaterTreatmentVar">Assumptions!#REF!</definedName>
    <definedName name="wrn.test1." localSheetId="8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8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8" hidden="1">{"SourcesUses",#N/A,TRUE,#N/A;"TransOverview",#N/A,TRUE,"CFMODEL"}</definedName>
    <definedName name="wrn.test3." hidden="1">{"SourcesUses",#N/A,TRUE,#N/A;"TransOverview",#N/A,TRUE,"CFMODEL"}</definedName>
    <definedName name="wrn.test4." localSheetId="8" hidden="1">{"SourcesUses",#N/A,TRUE,"FundsFlow";"TransOverview",#N/A,TRUE,"FundsFlow"}</definedName>
    <definedName name="wrn.test4." hidden="1">{"SourcesUses",#N/A,TRUE,"FundsFlow";"TransOverview",#N/A,TRUE,"FundsFlow"}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C12" i="2" l="1"/>
  <c r="D12" i="2"/>
  <c r="AA13" i="2"/>
  <c r="AA14" i="2" s="1"/>
  <c r="U14" i="2"/>
  <c r="V14" i="2"/>
  <c r="W14" i="2"/>
  <c r="X14" i="2"/>
  <c r="Y14" i="2"/>
  <c r="Z14" i="2"/>
  <c r="AB14" i="2"/>
  <c r="N17" i="2"/>
  <c r="P17" i="2"/>
  <c r="H60" i="2" s="1"/>
  <c r="H18" i="2"/>
  <c r="O19" i="2"/>
  <c r="O26" i="2" s="1"/>
  <c r="C20" i="2"/>
  <c r="O20" i="2"/>
  <c r="C21" i="2"/>
  <c r="O21" i="2"/>
  <c r="D22" i="2"/>
  <c r="O23" i="2"/>
  <c r="D24" i="2"/>
  <c r="O24" i="2"/>
  <c r="O25" i="2"/>
  <c r="D26" i="2"/>
  <c r="N26" i="2"/>
  <c r="D27" i="2"/>
  <c r="D28" i="2"/>
  <c r="D29" i="2"/>
  <c r="D30" i="2"/>
  <c r="D31" i="2"/>
  <c r="D32" i="2"/>
  <c r="G32" i="2"/>
  <c r="H35" i="2"/>
  <c r="D37" i="2"/>
  <c r="D38" i="2"/>
  <c r="D39" i="2"/>
  <c r="H39" i="2"/>
  <c r="D40" i="2"/>
  <c r="D41" i="2"/>
  <c r="D42" i="2"/>
  <c r="D43" i="2"/>
  <c r="D44" i="2"/>
  <c r="D45" i="2"/>
  <c r="C48" i="2"/>
  <c r="G48" i="2"/>
  <c r="D53" i="2"/>
  <c r="D54" i="2"/>
  <c r="D55" i="2"/>
  <c r="C56" i="2"/>
  <c r="D56" i="2" s="1"/>
  <c r="H57" i="2"/>
  <c r="H62" i="2"/>
  <c r="H66" i="2"/>
  <c r="H68" i="2"/>
  <c r="O22" i="2" s="1"/>
  <c r="A69" i="2"/>
  <c r="A70" i="2"/>
  <c r="A71" i="2"/>
  <c r="A2" i="19"/>
  <c r="D8" i="19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C42" i="19"/>
  <c r="A2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N11" i="6"/>
  <c r="AN12" i="6"/>
  <c r="B33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E62" i="6"/>
  <c r="E63" i="6"/>
  <c r="E64" i="6"/>
  <c r="E65" i="6"/>
  <c r="E67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E13" i="7"/>
  <c r="F13" i="7"/>
  <c r="F27" i="7" s="1"/>
  <c r="G13" i="7"/>
  <c r="G27" i="7" s="1"/>
  <c r="H13" i="7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H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41" i="7"/>
  <c r="C41" i="7"/>
  <c r="B42" i="7"/>
  <c r="F42" i="7"/>
  <c r="G42" i="7"/>
  <c r="H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I11" i="26"/>
  <c r="I12" i="26"/>
  <c r="I13" i="26"/>
  <c r="I25" i="3" s="1"/>
  <c r="I30" i="3" s="1"/>
  <c r="H16" i="4" s="1"/>
  <c r="I14" i="26"/>
  <c r="I19" i="26"/>
  <c r="I20" i="26"/>
  <c r="I21" i="26"/>
  <c r="I22" i="26"/>
  <c r="E26" i="26"/>
  <c r="I8" i="26" s="1"/>
  <c r="D25" i="3" s="1"/>
  <c r="I27" i="26"/>
  <c r="W25" i="3" s="1"/>
  <c r="W30" i="3" s="1"/>
  <c r="I28" i="26"/>
  <c r="X25" i="3" s="1"/>
  <c r="X30" i="3" s="1"/>
  <c r="E38" i="26"/>
  <c r="I9" i="26" s="1"/>
  <c r="E50" i="26"/>
  <c r="I10" i="26" s="1"/>
  <c r="E62" i="26"/>
  <c r="E74" i="26"/>
  <c r="E86" i="26"/>
  <c r="E98" i="26"/>
  <c r="E110" i="26"/>
  <c r="I15" i="26" s="1"/>
  <c r="K25" i="3" s="1"/>
  <c r="E122" i="26"/>
  <c r="I16" i="26" s="1"/>
  <c r="L25" i="3" s="1"/>
  <c r="L30" i="3" s="1"/>
  <c r="E134" i="26"/>
  <c r="I17" i="26" s="1"/>
  <c r="E146" i="26"/>
  <c r="I18" i="26" s="1"/>
  <c r="E158" i="26"/>
  <c r="E170" i="26"/>
  <c r="E182" i="26"/>
  <c r="E194" i="26"/>
  <c r="E206" i="26"/>
  <c r="I23" i="26" s="1"/>
  <c r="S25" i="3" s="1"/>
  <c r="E218" i="26"/>
  <c r="I24" i="26" s="1"/>
  <c r="T25" i="3" s="1"/>
  <c r="T30" i="3" s="1"/>
  <c r="S16" i="4" s="1"/>
  <c r="E230" i="26"/>
  <c r="I25" i="26" s="1"/>
  <c r="E242" i="26"/>
  <c r="I26" i="26" s="1"/>
  <c r="A2" i="18"/>
  <c r="C6" i="18"/>
  <c r="C8" i="18"/>
  <c r="D8" i="18"/>
  <c r="C15" i="18"/>
  <c r="D15" i="18"/>
  <c r="D34" i="18" s="1"/>
  <c r="A16" i="18"/>
  <c r="C16" i="18"/>
  <c r="E16" i="18"/>
  <c r="F16" i="18"/>
  <c r="A17" i="18"/>
  <c r="C17" i="18"/>
  <c r="E17" i="18" s="1"/>
  <c r="F17" i="18" s="1"/>
  <c r="A18" i="18"/>
  <c r="C18" i="18"/>
  <c r="E18" i="18" s="1"/>
  <c r="F18" i="18" s="1"/>
  <c r="A19" i="18"/>
  <c r="A20" i="18" s="1"/>
  <c r="C19" i="18"/>
  <c r="E19" i="18" s="1"/>
  <c r="F19" i="18" s="1"/>
  <c r="C20" i="18"/>
  <c r="E20" i="18" s="1"/>
  <c r="F20" i="18" s="1"/>
  <c r="A21" i="18"/>
  <c r="C21" i="18"/>
  <c r="E21" i="18" s="1"/>
  <c r="F21" i="18" s="1"/>
  <c r="C22" i="18"/>
  <c r="E22" i="18" s="1"/>
  <c r="F22" i="18" s="1"/>
  <c r="C23" i="18"/>
  <c r="E23" i="18"/>
  <c r="F23" i="18"/>
  <c r="C24" i="18"/>
  <c r="E24" i="18"/>
  <c r="F24" i="18"/>
  <c r="C25" i="18"/>
  <c r="E25" i="18" s="1"/>
  <c r="F25" i="18" s="1"/>
  <c r="C26" i="18"/>
  <c r="E26" i="18" s="1"/>
  <c r="F26" i="18" s="1"/>
  <c r="C27" i="18"/>
  <c r="E27" i="18" s="1"/>
  <c r="F27" i="18" s="1"/>
  <c r="C28" i="18"/>
  <c r="E28" i="18" s="1"/>
  <c r="F28" i="18" s="1"/>
  <c r="C29" i="18"/>
  <c r="E29" i="18"/>
  <c r="F29" i="18" s="1"/>
  <c r="E30" i="18"/>
  <c r="F30" i="18"/>
  <c r="E31" i="18"/>
  <c r="F31" i="18"/>
  <c r="E32" i="18"/>
  <c r="F32" i="18" s="1"/>
  <c r="E33" i="18"/>
  <c r="F33" i="18" s="1"/>
  <c r="H57" i="18"/>
  <c r="I57" i="18"/>
  <c r="J57" i="18"/>
  <c r="K57" i="18"/>
  <c r="L57" i="18"/>
  <c r="D59" i="18"/>
  <c r="C5" i="27"/>
  <c r="B8" i="27"/>
  <c r="A2" i="4"/>
  <c r="C6" i="4"/>
  <c r="D6" i="4"/>
  <c r="Q16" i="4"/>
  <c r="R16" i="4"/>
  <c r="C17" i="4"/>
  <c r="D17" i="4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C20" i="4"/>
  <c r="D20" i="4"/>
  <c r="E20" i="4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/>
  <c r="F22" i="4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 s="1"/>
  <c r="F28" i="4" s="1"/>
  <c r="G28" i="4" s="1"/>
  <c r="H28" i="4" s="1"/>
  <c r="I28" i="4" s="1"/>
  <c r="J28" i="4"/>
  <c r="K28" i="4"/>
  <c r="L28" i="4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C29" i="4"/>
  <c r="D29" i="4"/>
  <c r="E29" i="4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B42" i="4"/>
  <c r="B43" i="4"/>
  <c r="B2" i="3"/>
  <c r="D7" i="3"/>
  <c r="E7" i="3"/>
  <c r="F7" i="3" s="1"/>
  <c r="D8" i="3"/>
  <c r="E8" i="3"/>
  <c r="F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J19" i="3" s="1"/>
  <c r="E19" i="3"/>
  <c r="F19" i="3"/>
  <c r="G19" i="3"/>
  <c r="H19" i="3"/>
  <c r="I19" i="3"/>
  <c r="K19" i="3"/>
  <c r="M19" i="3"/>
  <c r="N19" i="3"/>
  <c r="O19" i="3"/>
  <c r="P19" i="3"/>
  <c r="Q19" i="3"/>
  <c r="S19" i="3"/>
  <c r="U19" i="3"/>
  <c r="V19" i="3"/>
  <c r="W19" i="3"/>
  <c r="X19" i="3"/>
  <c r="Y19" i="3"/>
  <c r="AA19" i="3"/>
  <c r="AC19" i="3"/>
  <c r="AD19" i="3"/>
  <c r="AE19" i="3"/>
  <c r="AF19" i="3"/>
  <c r="AG19" i="3"/>
  <c r="E25" i="3"/>
  <c r="F25" i="3"/>
  <c r="G25" i="3"/>
  <c r="G30" i="3" s="1"/>
  <c r="H25" i="3"/>
  <c r="H30" i="3" s="1"/>
  <c r="J25" i="3"/>
  <c r="J30" i="3" s="1"/>
  <c r="M25" i="3"/>
  <c r="N25" i="3"/>
  <c r="O25" i="3"/>
  <c r="O30" i="3" s="1"/>
  <c r="N16" i="4" s="1"/>
  <c r="P25" i="3"/>
  <c r="P30" i="3" s="1"/>
  <c r="Q25" i="3"/>
  <c r="Q30" i="3" s="1"/>
  <c r="R25" i="3"/>
  <c r="R30" i="3" s="1"/>
  <c r="U25" i="3"/>
  <c r="V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C16" i="4" s="1"/>
  <c r="E30" i="3"/>
  <c r="F30" i="3"/>
  <c r="K30" i="3"/>
  <c r="J16" i="4" s="1"/>
  <c r="M30" i="3"/>
  <c r="L16" i="4" s="1"/>
  <c r="N30" i="3"/>
  <c r="S30" i="3"/>
  <c r="U30" i="3"/>
  <c r="V30" i="3"/>
  <c r="Y30" i="3"/>
  <c r="Z30" i="3"/>
  <c r="AA30" i="3"/>
  <c r="Z16" i="4" s="1"/>
  <c r="AB30" i="3"/>
  <c r="AC30" i="3"/>
  <c r="AB16" i="4" s="1"/>
  <c r="AD30" i="3"/>
  <c r="AE30" i="3"/>
  <c r="AF30" i="3"/>
  <c r="AG30" i="3"/>
  <c r="AF16" i="4" s="1"/>
  <c r="AH30" i="3"/>
  <c r="AG16" i="4" s="1"/>
  <c r="M34" i="3"/>
  <c r="N34" i="3"/>
  <c r="AC34" i="3"/>
  <c r="E35" i="3"/>
  <c r="F35" i="3"/>
  <c r="A38" i="3"/>
  <c r="F38" i="3"/>
  <c r="E11" i="4" s="1"/>
  <c r="D42" i="3"/>
  <c r="D44" i="3" s="1"/>
  <c r="D34" i="3" s="1"/>
  <c r="E42" i="3"/>
  <c r="F42" i="3"/>
  <c r="F44" i="3" s="1"/>
  <c r="F34" i="3" s="1"/>
  <c r="F36" i="3" s="1"/>
  <c r="G42" i="3"/>
  <c r="G44" i="3" s="1"/>
  <c r="G34" i="3" s="1"/>
  <c r="H42" i="3"/>
  <c r="H44" i="3" s="1"/>
  <c r="H34" i="3" s="1"/>
  <c r="I42" i="3"/>
  <c r="I44" i="3" s="1"/>
  <c r="J42" i="3"/>
  <c r="K42" i="3"/>
  <c r="L42" i="3"/>
  <c r="L44" i="3" s="1"/>
  <c r="M42" i="3"/>
  <c r="N42" i="3"/>
  <c r="N44" i="3" s="1"/>
  <c r="O42" i="3"/>
  <c r="O44" i="3" s="1"/>
  <c r="P42" i="3"/>
  <c r="P44" i="3" s="1"/>
  <c r="P34" i="3" s="1"/>
  <c r="Q42" i="3"/>
  <c r="Q44" i="3" s="1"/>
  <c r="Q34" i="3" s="1"/>
  <c r="R42" i="3"/>
  <c r="S42" i="3"/>
  <c r="T42" i="3"/>
  <c r="T44" i="3" s="1"/>
  <c r="U42" i="3"/>
  <c r="V42" i="3"/>
  <c r="V44" i="3" s="1"/>
  <c r="V34" i="3" s="1"/>
  <c r="W42" i="3"/>
  <c r="W44" i="3" s="1"/>
  <c r="W34" i="3" s="1"/>
  <c r="X42" i="3"/>
  <c r="X44" i="3" s="1"/>
  <c r="X34" i="3" s="1"/>
  <c r="Y42" i="3"/>
  <c r="Y44" i="3" s="1"/>
  <c r="Y34" i="3" s="1"/>
  <c r="Z42" i="3"/>
  <c r="AA42" i="3"/>
  <c r="AB42" i="3"/>
  <c r="AB44" i="3" s="1"/>
  <c r="AB34" i="3" s="1"/>
  <c r="AC42" i="3"/>
  <c r="AD42" i="3"/>
  <c r="AD44" i="3" s="1"/>
  <c r="AD34" i="3" s="1"/>
  <c r="AE42" i="3"/>
  <c r="AE44" i="3" s="1"/>
  <c r="AE34" i="3" s="1"/>
  <c r="AF42" i="3"/>
  <c r="AF44" i="3" s="1"/>
  <c r="AF34" i="3" s="1"/>
  <c r="AG42" i="3"/>
  <c r="AG44" i="3" s="1"/>
  <c r="AG34" i="3" s="1"/>
  <c r="AH42" i="3"/>
  <c r="E44" i="3"/>
  <c r="J44" i="3"/>
  <c r="J34" i="3" s="1"/>
  <c r="K44" i="3"/>
  <c r="M44" i="3"/>
  <c r="R44" i="3"/>
  <c r="S44" i="3"/>
  <c r="S34" i="3" s="1"/>
  <c r="U44" i="3"/>
  <c r="Z44" i="3"/>
  <c r="Z34" i="3" s="1"/>
  <c r="AA44" i="3"/>
  <c r="AA34" i="3" s="1"/>
  <c r="AC44" i="3"/>
  <c r="AH44" i="3"/>
  <c r="AH34" i="3" s="1"/>
  <c r="A2" i="25"/>
  <c r="C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B13" i="25"/>
  <c r="B18" i="25" s="1"/>
  <c r="B21" i="25" s="1"/>
  <c r="B27" i="25" s="1"/>
  <c r="A41" i="25"/>
  <c r="B43" i="25"/>
  <c r="A48" i="25"/>
  <c r="B50" i="25"/>
  <c r="A55" i="25"/>
  <c r="B57" i="25"/>
  <c r="AG58" i="25"/>
  <c r="A2" i="8"/>
  <c r="B6" i="8"/>
  <c r="C6" i="8"/>
  <c r="D6" i="8"/>
  <c r="B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W16" i="4" l="1"/>
  <c r="K34" i="3"/>
  <c r="T16" i="4"/>
  <c r="U34" i="3"/>
  <c r="F6" i="19"/>
  <c r="E6" i="4"/>
  <c r="E10" i="4" s="1"/>
  <c r="E13" i="4" s="1"/>
  <c r="G7" i="3"/>
  <c r="F6" i="7"/>
  <c r="E6" i="25"/>
  <c r="N30" i="2"/>
  <c r="O30" i="2" s="1"/>
  <c r="N32" i="2"/>
  <c r="O32" i="2" s="1"/>
  <c r="C26" i="4"/>
  <c r="N33" i="2" s="1"/>
  <c r="O33" i="2" s="1"/>
  <c r="S26" i="4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D16" i="4"/>
  <c r="E34" i="3"/>
  <c r="E36" i="3" s="1"/>
  <c r="E38" i="3" s="1"/>
  <c r="D11" i="4" s="1"/>
  <c r="D36" i="3"/>
  <c r="O34" i="3"/>
  <c r="K16" i="4"/>
  <c r="L34" i="3"/>
  <c r="T34" i="3"/>
  <c r="F16" i="4"/>
  <c r="F7" i="19"/>
  <c r="E7" i="25"/>
  <c r="E7" i="4"/>
  <c r="D73" i="2" s="1"/>
  <c r="G8" i="3"/>
  <c r="F7" i="7"/>
  <c r="D7" i="8"/>
  <c r="A22" i="18"/>
  <c r="X16" i="4"/>
  <c r="P16" i="4"/>
  <c r="E7" i="19"/>
  <c r="D7" i="25"/>
  <c r="D7" i="4"/>
  <c r="C73" i="2" s="1"/>
  <c r="E7" i="7"/>
  <c r="C7" i="8"/>
  <c r="I34" i="3"/>
  <c r="O16" i="4"/>
  <c r="N29" i="2"/>
  <c r="O29" i="2" s="1"/>
  <c r="C34" i="18"/>
  <c r="E15" i="18"/>
  <c r="V16" i="4"/>
  <c r="AA16" i="4"/>
  <c r="I16" i="4"/>
  <c r="E6" i="19"/>
  <c r="E6" i="7"/>
  <c r="D6" i="25"/>
  <c r="F21" i="3"/>
  <c r="B37" i="25"/>
  <c r="R34" i="3"/>
  <c r="D6" i="19"/>
  <c r="D6" i="7"/>
  <c r="D13" i="7" s="1"/>
  <c r="C6" i="25"/>
  <c r="D21" i="3"/>
  <c r="C10" i="4" s="1"/>
  <c r="C13" i="4" s="1"/>
  <c r="E21" i="3"/>
  <c r="D10" i="4" s="1"/>
  <c r="D13" i="4" s="1"/>
  <c r="D35" i="3"/>
  <c r="Y16" i="4"/>
  <c r="G16" i="4"/>
  <c r="D7" i="19"/>
  <c r="D7" i="7"/>
  <c r="C7" i="4"/>
  <c r="B47" i="7"/>
  <c r="D38" i="3"/>
  <c r="C11" i="4" s="1"/>
  <c r="AB19" i="3"/>
  <c r="T19" i="3"/>
  <c r="L19" i="3"/>
  <c r="D19" i="3"/>
  <c r="AE16" i="4"/>
  <c r="AD16" i="4"/>
  <c r="AH19" i="3"/>
  <c r="Z19" i="3"/>
  <c r="R19" i="3"/>
  <c r="E27" i="7"/>
  <c r="E42" i="7"/>
  <c r="AC16" i="4"/>
  <c r="U16" i="4"/>
  <c r="M16" i="4"/>
  <c r="E16" i="4"/>
  <c r="B33" i="7"/>
  <c r="G39" i="2"/>
  <c r="B36" i="6"/>
  <c r="D48" i="2"/>
  <c r="D21" i="2"/>
  <c r="D20" i="2"/>
  <c r="D34" i="2" s="1"/>
  <c r="C34" i="2"/>
  <c r="D49" i="2"/>
  <c r="D47" i="2"/>
  <c r="D33" i="2"/>
  <c r="D23" i="2"/>
  <c r="D25" i="2"/>
  <c r="D27" i="7" l="1"/>
  <c r="D42" i="7"/>
  <c r="I13" i="7"/>
  <c r="E14" i="7"/>
  <c r="E41" i="7"/>
  <c r="E43" i="7"/>
  <c r="E47" i="7" s="1"/>
  <c r="F15" i="18"/>
  <c r="E34" i="18"/>
  <c r="G6" i="19"/>
  <c r="G6" i="7"/>
  <c r="F6" i="4"/>
  <c r="F10" i="4" s="1"/>
  <c r="F13" i="4" s="1"/>
  <c r="H7" i="3"/>
  <c r="F6" i="25"/>
  <c r="E6" i="8"/>
  <c r="G35" i="3"/>
  <c r="G36" i="3" s="1"/>
  <c r="G38" i="3" s="1"/>
  <c r="F11" i="4" s="1"/>
  <c r="G7" i="19"/>
  <c r="H8" i="3"/>
  <c r="F7" i="25"/>
  <c r="F7" i="4"/>
  <c r="G7" i="7"/>
  <c r="E7" i="8"/>
  <c r="F14" i="7"/>
  <c r="F41" i="7"/>
  <c r="F43" i="7"/>
  <c r="F47" i="7" s="1"/>
  <c r="D14" i="7"/>
  <c r="D43" i="7"/>
  <c r="D47" i="7" s="1"/>
  <c r="D41" i="7"/>
  <c r="B49" i="6"/>
  <c r="C12" i="25"/>
  <c r="A23" i="18"/>
  <c r="B7" i="27"/>
  <c r="B10" i="27" s="1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B73" i="2"/>
  <c r="G21" i="3"/>
  <c r="J10" i="27" l="1"/>
  <c r="K10" i="27"/>
  <c r="L10" i="27"/>
  <c r="E10" i="27"/>
  <c r="B12" i="27" s="1"/>
  <c r="F10" i="27"/>
  <c r="G10" i="27"/>
  <c r="H10" i="27"/>
  <c r="I10" i="27"/>
  <c r="F28" i="7"/>
  <c r="F33" i="7" s="1"/>
  <c r="F18" i="7"/>
  <c r="A24" i="18"/>
  <c r="D28" i="7"/>
  <c r="D33" i="7" s="1"/>
  <c r="D18" i="7"/>
  <c r="H6" i="19"/>
  <c r="H6" i="7"/>
  <c r="G6" i="4"/>
  <c r="H35" i="3"/>
  <c r="H36" i="3" s="1"/>
  <c r="H38" i="3" s="1"/>
  <c r="G11" i="4" s="1"/>
  <c r="I7" i="3"/>
  <c r="I21" i="3" s="1"/>
  <c r="G6" i="25"/>
  <c r="F6" i="8"/>
  <c r="H7" i="19"/>
  <c r="H7" i="7"/>
  <c r="G7" i="4"/>
  <c r="I8" i="3"/>
  <c r="G7" i="25"/>
  <c r="F7" i="8"/>
  <c r="G14" i="7"/>
  <c r="G41" i="7"/>
  <c r="G43" i="7"/>
  <c r="G47" i="7" s="1"/>
  <c r="I42" i="7"/>
  <c r="I27" i="7"/>
  <c r="H21" i="3"/>
  <c r="G15" i="18"/>
  <c r="F34" i="18"/>
  <c r="E28" i="7"/>
  <c r="E33" i="7" s="1"/>
  <c r="E18" i="7"/>
  <c r="G28" i="7" l="1"/>
  <c r="G33" i="7" s="1"/>
  <c r="G18" i="7"/>
  <c r="A25" i="18"/>
  <c r="I6" i="19"/>
  <c r="I6" i="7"/>
  <c r="H6" i="4"/>
  <c r="H10" i="4" s="1"/>
  <c r="I35" i="3"/>
  <c r="I36" i="3" s="1"/>
  <c r="I38" i="3" s="1"/>
  <c r="H11" i="4" s="1"/>
  <c r="J7" i="3"/>
  <c r="G6" i="8"/>
  <c r="H6" i="25"/>
  <c r="I7" i="19"/>
  <c r="I7" i="7"/>
  <c r="H7" i="4"/>
  <c r="J8" i="3"/>
  <c r="H7" i="25"/>
  <c r="G7" i="8"/>
  <c r="G16" i="18"/>
  <c r="H16" i="18"/>
  <c r="G10" i="4"/>
  <c r="G13" i="4" s="1"/>
  <c r="H41" i="7"/>
  <c r="H43" i="7"/>
  <c r="H47" i="7" s="1"/>
  <c r="H14" i="7"/>
  <c r="I41" i="7" l="1"/>
  <c r="I43" i="7"/>
  <c r="I47" i="7" s="1"/>
  <c r="I14" i="7"/>
  <c r="I16" i="18"/>
  <c r="A26" i="18"/>
  <c r="H25" i="18"/>
  <c r="J7" i="19"/>
  <c r="J7" i="7"/>
  <c r="I7" i="4"/>
  <c r="K8" i="3"/>
  <c r="H7" i="8"/>
  <c r="I7" i="25"/>
  <c r="H17" i="18"/>
  <c r="G17" i="18"/>
  <c r="J6" i="19"/>
  <c r="J6" i="7"/>
  <c r="I6" i="4"/>
  <c r="J35" i="3"/>
  <c r="J36" i="3" s="1"/>
  <c r="J38" i="3" s="1"/>
  <c r="I11" i="4" s="1"/>
  <c r="K7" i="3"/>
  <c r="H6" i="8"/>
  <c r="I6" i="25"/>
  <c r="J21" i="3"/>
  <c r="H28" i="7"/>
  <c r="H33" i="7" s="1"/>
  <c r="H18" i="7"/>
  <c r="H13" i="4"/>
  <c r="I17" i="18" l="1"/>
  <c r="H26" i="18"/>
  <c r="A27" i="18"/>
  <c r="K7" i="19"/>
  <c r="K7" i="7"/>
  <c r="J7" i="4"/>
  <c r="L8" i="3"/>
  <c r="I7" i="8"/>
  <c r="J7" i="25"/>
  <c r="I10" i="4"/>
  <c r="I13" i="4" s="1"/>
  <c r="I28" i="7"/>
  <c r="I33" i="7" s="1"/>
  <c r="I18" i="7"/>
  <c r="H18" i="18"/>
  <c r="I18" i="18" s="1"/>
  <c r="K6" i="19"/>
  <c r="K6" i="7"/>
  <c r="J6" i="4"/>
  <c r="J10" i="4" s="1"/>
  <c r="L21" i="3"/>
  <c r="K35" i="3"/>
  <c r="K36" i="3" s="1"/>
  <c r="K38" i="3" s="1"/>
  <c r="J11" i="4" s="1"/>
  <c r="J6" i="25"/>
  <c r="I6" i="8"/>
  <c r="L7" i="3"/>
  <c r="K21" i="3"/>
  <c r="J14" i="7"/>
  <c r="J41" i="7"/>
  <c r="J43" i="7"/>
  <c r="J47" i="7" s="1"/>
  <c r="H27" i="18" l="1"/>
  <c r="A28" i="18"/>
  <c r="J28" i="7"/>
  <c r="J33" i="7" s="1"/>
  <c r="J18" i="7"/>
  <c r="K14" i="7"/>
  <c r="K41" i="7"/>
  <c r="K43" i="7"/>
  <c r="K47" i="7" s="1"/>
  <c r="J13" i="4"/>
  <c r="L7" i="19"/>
  <c r="L7" i="7"/>
  <c r="K7" i="4"/>
  <c r="M8" i="3"/>
  <c r="J7" i="8"/>
  <c r="K7" i="25"/>
  <c r="L6" i="19"/>
  <c r="L6" i="7"/>
  <c r="K6" i="4"/>
  <c r="K10" i="4" s="1"/>
  <c r="K6" i="25"/>
  <c r="M21" i="3"/>
  <c r="L35" i="3"/>
  <c r="L36" i="3" s="1"/>
  <c r="L38" i="3" s="1"/>
  <c r="K11" i="4" s="1"/>
  <c r="J6" i="8"/>
  <c r="M7" i="3"/>
  <c r="G18" i="18"/>
  <c r="K28" i="7" l="1"/>
  <c r="K33" i="7" s="1"/>
  <c r="K18" i="7"/>
  <c r="K13" i="4"/>
  <c r="M7" i="19"/>
  <c r="M7" i="7"/>
  <c r="L7" i="25"/>
  <c r="L7" i="4"/>
  <c r="N8" i="3"/>
  <c r="K7" i="8"/>
  <c r="H19" i="18"/>
  <c r="G19" i="18"/>
  <c r="L14" i="7"/>
  <c r="L41" i="7"/>
  <c r="L43" i="7"/>
  <c r="L47" i="7" s="1"/>
  <c r="M6" i="19"/>
  <c r="M6" i="7"/>
  <c r="L6" i="4"/>
  <c r="L10" i="4" s="1"/>
  <c r="L6" i="25"/>
  <c r="M35" i="3"/>
  <c r="M36" i="3" s="1"/>
  <c r="M38" i="3" s="1"/>
  <c r="L11" i="4" s="1"/>
  <c r="K6" i="8"/>
  <c r="N7" i="3"/>
  <c r="H28" i="18"/>
  <c r="A29" i="18"/>
  <c r="M14" i="7" l="1"/>
  <c r="M41" i="7"/>
  <c r="M43" i="7"/>
  <c r="M47" i="7" s="1"/>
  <c r="N7" i="19"/>
  <c r="N7" i="7"/>
  <c r="M7" i="25"/>
  <c r="M7" i="4"/>
  <c r="O8" i="3"/>
  <c r="L7" i="8"/>
  <c r="N6" i="19"/>
  <c r="O7" i="3"/>
  <c r="N6" i="7"/>
  <c r="M6" i="4"/>
  <c r="M6" i="25"/>
  <c r="N35" i="3"/>
  <c r="N36" i="3" s="1"/>
  <c r="N38" i="3" s="1"/>
  <c r="M11" i="4" s="1"/>
  <c r="L6" i="8"/>
  <c r="L28" i="7"/>
  <c r="L33" i="7" s="1"/>
  <c r="L18" i="7"/>
  <c r="N21" i="3"/>
  <c r="H20" i="18"/>
  <c r="I20" i="18" s="1"/>
  <c r="H29" i="18"/>
  <c r="A30" i="18"/>
  <c r="I19" i="18"/>
  <c r="L13" i="4"/>
  <c r="O7" i="19" l="1"/>
  <c r="O7" i="7"/>
  <c r="P8" i="3"/>
  <c r="N7" i="25"/>
  <c r="N7" i="4"/>
  <c r="M7" i="8"/>
  <c r="G20" i="18"/>
  <c r="N14" i="7"/>
  <c r="N41" i="7"/>
  <c r="N43" i="7"/>
  <c r="N47" i="7" s="1"/>
  <c r="M10" i="4"/>
  <c r="M13" i="4" s="1"/>
  <c r="O6" i="19"/>
  <c r="O6" i="7"/>
  <c r="N6" i="4"/>
  <c r="P7" i="3"/>
  <c r="N6" i="25"/>
  <c r="O35" i="3"/>
  <c r="O36" i="3" s="1"/>
  <c r="O38" i="3" s="1"/>
  <c r="N11" i="4" s="1"/>
  <c r="M6" i="8"/>
  <c r="H30" i="18"/>
  <c r="A31" i="18"/>
  <c r="O21" i="3"/>
  <c r="M28" i="7"/>
  <c r="M33" i="7" s="1"/>
  <c r="M18" i="7"/>
  <c r="N28" i="7" l="1"/>
  <c r="N33" i="7" s="1"/>
  <c r="N18" i="7"/>
  <c r="P6" i="19"/>
  <c r="P6" i="7"/>
  <c r="O6" i="4"/>
  <c r="P35" i="3"/>
  <c r="P36" i="3" s="1"/>
  <c r="P38" i="3" s="1"/>
  <c r="O11" i="4" s="1"/>
  <c r="Q7" i="3"/>
  <c r="O6" i="25"/>
  <c r="N6" i="8"/>
  <c r="H21" i="18"/>
  <c r="I21" i="18" s="1"/>
  <c r="N10" i="4"/>
  <c r="N13" i="4" s="1"/>
  <c r="O14" i="7"/>
  <c r="O43" i="7"/>
  <c r="O47" i="7" s="1"/>
  <c r="O41" i="7"/>
  <c r="A32" i="18"/>
  <c r="H31" i="18"/>
  <c r="P21" i="3"/>
  <c r="P7" i="19"/>
  <c r="O7" i="4"/>
  <c r="P7" i="7"/>
  <c r="Q8" i="3"/>
  <c r="O7" i="25"/>
  <c r="N7" i="8"/>
  <c r="Q6" i="19" l="1"/>
  <c r="Q6" i="7"/>
  <c r="P6" i="4"/>
  <c r="Q35" i="3"/>
  <c r="Q36" i="3" s="1"/>
  <c r="Q38" i="3" s="1"/>
  <c r="P11" i="4" s="1"/>
  <c r="R7" i="3"/>
  <c r="O6" i="8"/>
  <c r="P6" i="25"/>
  <c r="O10" i="4"/>
  <c r="O13" i="4" s="1"/>
  <c r="G21" i="18"/>
  <c r="P14" i="7"/>
  <c r="P43" i="7"/>
  <c r="P47" i="7" s="1"/>
  <c r="P41" i="7"/>
  <c r="Q21" i="3"/>
  <c r="O28" i="7"/>
  <c r="O33" i="7" s="1"/>
  <c r="O18" i="7"/>
  <c r="Q7" i="19"/>
  <c r="P7" i="4"/>
  <c r="Q7" i="7"/>
  <c r="R8" i="3"/>
  <c r="P7" i="25"/>
  <c r="O7" i="8"/>
  <c r="H32" i="18"/>
  <c r="A33" i="18"/>
  <c r="R6" i="19" l="1"/>
  <c r="R6" i="7"/>
  <c r="Q6" i="4"/>
  <c r="R35" i="3"/>
  <c r="R36" i="3" s="1"/>
  <c r="R38" i="3" s="1"/>
  <c r="Q11" i="4" s="1"/>
  <c r="S7" i="3"/>
  <c r="P6" i="8"/>
  <c r="Q6" i="25"/>
  <c r="P28" i="7"/>
  <c r="P33" i="7" s="1"/>
  <c r="P18" i="7"/>
  <c r="R21" i="3"/>
  <c r="Q14" i="7"/>
  <c r="Q43" i="7"/>
  <c r="Q47" i="7" s="1"/>
  <c r="Q41" i="7"/>
  <c r="R7" i="19"/>
  <c r="R7" i="7"/>
  <c r="Q7" i="4"/>
  <c r="S8" i="3"/>
  <c r="P7" i="8"/>
  <c r="Q7" i="25"/>
  <c r="P10" i="4"/>
  <c r="P13" i="4" s="1"/>
  <c r="H33" i="18"/>
  <c r="H22" i="18"/>
  <c r="I22" i="18" s="1"/>
  <c r="S6" i="19" l="1"/>
  <c r="S6" i="7"/>
  <c r="R6" i="4"/>
  <c r="S35" i="3"/>
  <c r="S36" i="3" s="1"/>
  <c r="S38" i="3" s="1"/>
  <c r="R11" i="4" s="1"/>
  <c r="Q6" i="8"/>
  <c r="T7" i="3"/>
  <c r="T21" i="3" s="1"/>
  <c r="R6" i="25"/>
  <c r="Q28" i="7"/>
  <c r="Q33" i="7" s="1"/>
  <c r="Q18" i="7"/>
  <c r="S21" i="3"/>
  <c r="R41" i="7"/>
  <c r="R43" i="7"/>
  <c r="R47" i="7" s="1"/>
  <c r="R14" i="7"/>
  <c r="S7" i="19"/>
  <c r="S7" i="7"/>
  <c r="R7" i="4"/>
  <c r="T8" i="3"/>
  <c r="R7" i="25"/>
  <c r="Q7" i="8"/>
  <c r="G22" i="18"/>
  <c r="Q10" i="4"/>
  <c r="Q13" i="4" s="1"/>
  <c r="H23" i="18" l="1"/>
  <c r="R28" i="7"/>
  <c r="R33" i="7" s="1"/>
  <c r="R18" i="7"/>
  <c r="T6" i="19"/>
  <c r="T6" i="7"/>
  <c r="S6" i="25"/>
  <c r="U21" i="3"/>
  <c r="S6" i="4"/>
  <c r="S10" i="4" s="1"/>
  <c r="T35" i="3"/>
  <c r="T36" i="3" s="1"/>
  <c r="T38" i="3" s="1"/>
  <c r="S11" i="4" s="1"/>
  <c r="U7" i="3"/>
  <c r="R6" i="8"/>
  <c r="S14" i="7"/>
  <c r="S41" i="7"/>
  <c r="S43" i="7"/>
  <c r="S47" i="7" s="1"/>
  <c r="R10" i="4"/>
  <c r="R13" i="4" s="1"/>
  <c r="T7" i="19"/>
  <c r="T7" i="7"/>
  <c r="S7" i="4"/>
  <c r="S7" i="25"/>
  <c r="R7" i="8"/>
  <c r="U8" i="3"/>
  <c r="S18" i="7" l="1"/>
  <c r="S28" i="7"/>
  <c r="S33" i="7" s="1"/>
  <c r="U7" i="19"/>
  <c r="U7" i="7"/>
  <c r="T7" i="4"/>
  <c r="T7" i="25"/>
  <c r="S7" i="8"/>
  <c r="V8" i="3"/>
  <c r="T14" i="7"/>
  <c r="T41" i="7"/>
  <c r="T43" i="7"/>
  <c r="T47" i="7" s="1"/>
  <c r="U6" i="19"/>
  <c r="U6" i="7"/>
  <c r="T6" i="25"/>
  <c r="V21" i="3"/>
  <c r="V7" i="3"/>
  <c r="U35" i="3"/>
  <c r="U36" i="3" s="1"/>
  <c r="U38" i="3" s="1"/>
  <c r="T11" i="4" s="1"/>
  <c r="S6" i="8"/>
  <c r="T6" i="4"/>
  <c r="T10" i="4" s="1"/>
  <c r="T13" i="4" s="1"/>
  <c r="I23" i="18"/>
  <c r="S13" i="4"/>
  <c r="G23" i="18"/>
  <c r="U14" i="7" l="1"/>
  <c r="U41" i="7"/>
  <c r="U43" i="7"/>
  <c r="U47" i="7" s="1"/>
  <c r="T28" i="7"/>
  <c r="T33" i="7" s="1"/>
  <c r="T18" i="7"/>
  <c r="H24" i="18"/>
  <c r="V6" i="19"/>
  <c r="V6" i="7"/>
  <c r="W7" i="3"/>
  <c r="U6" i="25"/>
  <c r="U6" i="4"/>
  <c r="U10" i="4" s="1"/>
  <c r="V35" i="3"/>
  <c r="V36" i="3" s="1"/>
  <c r="V38" i="3" s="1"/>
  <c r="U11" i="4" s="1"/>
  <c r="T6" i="8"/>
  <c r="V7" i="19"/>
  <c r="V7" i="7"/>
  <c r="U7" i="4"/>
  <c r="U7" i="25"/>
  <c r="T7" i="8"/>
  <c r="W8" i="3"/>
  <c r="U13" i="4" l="1"/>
  <c r="W6" i="19"/>
  <c r="W6" i="7"/>
  <c r="V6" i="4"/>
  <c r="V10" i="4" s="1"/>
  <c r="V13" i="4" s="1"/>
  <c r="X7" i="3"/>
  <c r="X21" i="3"/>
  <c r="U6" i="8"/>
  <c r="V6" i="25"/>
  <c r="W35" i="3"/>
  <c r="W36" i="3" s="1"/>
  <c r="W38" i="3" s="1"/>
  <c r="V11" i="4" s="1"/>
  <c r="W7" i="19"/>
  <c r="W7" i="7"/>
  <c r="X8" i="3"/>
  <c r="V7" i="4"/>
  <c r="V7" i="25"/>
  <c r="U7" i="8"/>
  <c r="V14" i="7"/>
  <c r="V41" i="7"/>
  <c r="V43" i="7"/>
  <c r="V47" i="7" s="1"/>
  <c r="W21" i="3"/>
  <c r="I24" i="18"/>
  <c r="I25" i="18" s="1"/>
  <c r="I26" i="18" s="1"/>
  <c r="I27" i="18" s="1"/>
  <c r="I28" i="18" s="1"/>
  <c r="I29" i="18" s="1"/>
  <c r="I30" i="18" s="1"/>
  <c r="I31" i="18" s="1"/>
  <c r="I32" i="18" s="1"/>
  <c r="I33" i="18" s="1"/>
  <c r="H34" i="18"/>
  <c r="C46" i="2" s="1"/>
  <c r="G24" i="18"/>
  <c r="G25" i="18" s="1"/>
  <c r="G26" i="18" s="1"/>
  <c r="G27" i="18" s="1"/>
  <c r="G28" i="18" s="1"/>
  <c r="G29" i="18" s="1"/>
  <c r="G30" i="18" s="1"/>
  <c r="G31" i="18" s="1"/>
  <c r="G32" i="18" s="1"/>
  <c r="G33" i="18" s="1"/>
  <c r="U28" i="7"/>
  <c r="U33" i="7" s="1"/>
  <c r="U18" i="7"/>
  <c r="D46" i="2" l="1"/>
  <c r="C50" i="2"/>
  <c r="B16" i="7"/>
  <c r="W6" i="4"/>
  <c r="W10" i="4" s="1"/>
  <c r="X6" i="7"/>
  <c r="X6" i="19"/>
  <c r="X35" i="3"/>
  <c r="X36" i="3" s="1"/>
  <c r="X38" i="3" s="1"/>
  <c r="W11" i="4" s="1"/>
  <c r="Y7" i="3"/>
  <c r="Y21" i="3"/>
  <c r="V6" i="8"/>
  <c r="W6" i="25"/>
  <c r="X7" i="19"/>
  <c r="X7" i="7"/>
  <c r="W7" i="4"/>
  <c r="Y8" i="3"/>
  <c r="W7" i="25"/>
  <c r="V7" i="8"/>
  <c r="W14" i="7"/>
  <c r="W41" i="7"/>
  <c r="W43" i="7"/>
  <c r="W47" i="7" s="1"/>
  <c r="V28" i="7"/>
  <c r="V33" i="7" s="1"/>
  <c r="V18" i="7"/>
  <c r="W13" i="4" l="1"/>
  <c r="Y7" i="19"/>
  <c r="X7" i="4"/>
  <c r="Y7" i="7"/>
  <c r="Z8" i="3"/>
  <c r="X7" i="25"/>
  <c r="W7" i="8"/>
  <c r="X14" i="7"/>
  <c r="X41" i="7"/>
  <c r="X43" i="7"/>
  <c r="X47" i="7" s="1"/>
  <c r="W28" i="7"/>
  <c r="W33" i="7" s="1"/>
  <c r="W18" i="7"/>
  <c r="D50" i="2"/>
  <c r="C58" i="2"/>
  <c r="B17" i="7"/>
  <c r="W45" i="7"/>
  <c r="D16" i="7"/>
  <c r="L16" i="7"/>
  <c r="T16" i="7"/>
  <c r="AB16" i="7"/>
  <c r="E16" i="7"/>
  <c r="M16" i="7"/>
  <c r="U16" i="7"/>
  <c r="AC16" i="7"/>
  <c r="F16" i="7"/>
  <c r="N16" i="7"/>
  <c r="V16" i="7"/>
  <c r="AD16" i="7"/>
  <c r="G16" i="7"/>
  <c r="O16" i="7"/>
  <c r="W16" i="7"/>
  <c r="AE16" i="7"/>
  <c r="H16" i="7"/>
  <c r="P16" i="7"/>
  <c r="X16" i="7"/>
  <c r="AF16" i="7"/>
  <c r="I16" i="7"/>
  <c r="AA16" i="7"/>
  <c r="J16" i="7"/>
  <c r="AG16" i="7"/>
  <c r="B45" i="7"/>
  <c r="K16" i="7"/>
  <c r="AH16" i="7"/>
  <c r="Q16" i="7"/>
  <c r="B19" i="7"/>
  <c r="R16" i="7"/>
  <c r="B31" i="7"/>
  <c r="S16" i="7"/>
  <c r="Y16" i="7"/>
  <c r="Z16" i="7"/>
  <c r="Y6" i="19"/>
  <c r="Y6" i="7"/>
  <c r="X6" i="4"/>
  <c r="X10" i="4" s="1"/>
  <c r="X13" i="4" s="1"/>
  <c r="Y35" i="3"/>
  <c r="Y36" i="3" s="1"/>
  <c r="Y38" i="3" s="1"/>
  <c r="X11" i="4" s="1"/>
  <c r="Z7" i="3"/>
  <c r="X6" i="25"/>
  <c r="W6" i="8"/>
  <c r="X28" i="7" l="1"/>
  <c r="X33" i="7" s="1"/>
  <c r="X18" i="7"/>
  <c r="E31" i="7"/>
  <c r="M31" i="7"/>
  <c r="U31" i="7"/>
  <c r="AC31" i="7"/>
  <c r="F31" i="7"/>
  <c r="N31" i="7"/>
  <c r="V31" i="7"/>
  <c r="AD31" i="7"/>
  <c r="G31" i="7"/>
  <c r="O31" i="7"/>
  <c r="W31" i="7"/>
  <c r="AE31" i="7"/>
  <c r="I31" i="7"/>
  <c r="T31" i="7"/>
  <c r="AH31" i="7"/>
  <c r="J31" i="7"/>
  <c r="X31" i="7"/>
  <c r="K31" i="7"/>
  <c r="Y31" i="7"/>
  <c r="L31" i="7"/>
  <c r="Z31" i="7"/>
  <c r="P31" i="7"/>
  <c r="AA31" i="7"/>
  <c r="AF31" i="7"/>
  <c r="AG31" i="7"/>
  <c r="D31" i="7"/>
  <c r="H31" i="7"/>
  <c r="Q31" i="7"/>
  <c r="R31" i="7"/>
  <c r="AB31" i="7"/>
  <c r="S31" i="7"/>
  <c r="W19" i="7"/>
  <c r="U19" i="7"/>
  <c r="D17" i="7"/>
  <c r="D19" i="7" s="1"/>
  <c r="D21" i="7" s="1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L17" i="7"/>
  <c r="T17" i="7"/>
  <c r="AB17" i="7"/>
  <c r="E17" i="7"/>
  <c r="M17" i="7"/>
  <c r="U17" i="7"/>
  <c r="AC17" i="7"/>
  <c r="F17" i="7"/>
  <c r="F19" i="7" s="1"/>
  <c r="N17" i="7"/>
  <c r="V17" i="7"/>
  <c r="AD17" i="7"/>
  <c r="G17" i="7"/>
  <c r="O17" i="7"/>
  <c r="W17" i="7"/>
  <c r="AE17" i="7"/>
  <c r="H17" i="7"/>
  <c r="H19" i="7" s="1"/>
  <c r="P17" i="7"/>
  <c r="X17" i="7"/>
  <c r="AF17" i="7"/>
  <c r="R17" i="7"/>
  <c r="S17" i="7"/>
  <c r="B32" i="7"/>
  <c r="B46" i="7"/>
  <c r="Y17" i="7"/>
  <c r="Z17" i="7"/>
  <c r="I17" i="7"/>
  <c r="AA17" i="7"/>
  <c r="K17" i="7"/>
  <c r="Q17" i="7"/>
  <c r="AG17" i="7"/>
  <c r="AH17" i="7"/>
  <c r="J17" i="7"/>
  <c r="J19" i="7" s="1"/>
  <c r="B21" i="7"/>
  <c r="I19" i="7"/>
  <c r="G19" i="7"/>
  <c r="E19" i="7"/>
  <c r="Z7" i="19"/>
  <c r="Z7" i="7"/>
  <c r="Y7" i="4"/>
  <c r="AA8" i="3"/>
  <c r="X7" i="8"/>
  <c r="Y7" i="25"/>
  <c r="Z6" i="19"/>
  <c r="Z6" i="7"/>
  <c r="Y6" i="4"/>
  <c r="Y10" i="4" s="1"/>
  <c r="Y13" i="4" s="1"/>
  <c r="Z35" i="3"/>
  <c r="Z36" i="3" s="1"/>
  <c r="Z38" i="3" s="1"/>
  <c r="Y11" i="4" s="1"/>
  <c r="AA7" i="3"/>
  <c r="Y6" i="25"/>
  <c r="X6" i="8"/>
  <c r="R19" i="7"/>
  <c r="B28" i="2"/>
  <c r="B39" i="2"/>
  <c r="B42" i="2"/>
  <c r="B53" i="2"/>
  <c r="C11" i="2"/>
  <c r="B26" i="2"/>
  <c r="B29" i="2"/>
  <c r="B31" i="2"/>
  <c r="B43" i="2"/>
  <c r="B54" i="2"/>
  <c r="B24" i="2"/>
  <c r="B37" i="2"/>
  <c r="B40" i="2"/>
  <c r="B44" i="2"/>
  <c r="B55" i="2"/>
  <c r="D58" i="2"/>
  <c r="C62" i="2" s="1"/>
  <c r="B32" i="2"/>
  <c r="B41" i="2"/>
  <c r="B47" i="2"/>
  <c r="C18" i="19"/>
  <c r="C20" i="19" s="1"/>
  <c r="C25" i="19" s="1"/>
  <c r="B25" i="2"/>
  <c r="B33" i="2"/>
  <c r="B30" i="2"/>
  <c r="B22" i="2"/>
  <c r="B49" i="2"/>
  <c r="B23" i="2"/>
  <c r="B27" i="2"/>
  <c r="B38" i="2"/>
  <c r="B45" i="2"/>
  <c r="AG51" i="25"/>
  <c r="B20" i="2"/>
  <c r="B48" i="2"/>
  <c r="B21" i="2"/>
  <c r="B46" i="2"/>
  <c r="Y14" i="7"/>
  <c r="Y41" i="7"/>
  <c r="Y45" i="7" s="1"/>
  <c r="Y43" i="7"/>
  <c r="Y47" i="7" s="1"/>
  <c r="X19" i="7"/>
  <c r="V19" i="7"/>
  <c r="T19" i="7"/>
  <c r="S19" i="7"/>
  <c r="Z21" i="3"/>
  <c r="O19" i="7"/>
  <c r="Q19" i="7"/>
  <c r="K19" i="7"/>
  <c r="P19" i="7"/>
  <c r="N19" i="7"/>
  <c r="L19" i="7"/>
  <c r="M19" i="7"/>
  <c r="B48" i="7"/>
  <c r="F45" i="7"/>
  <c r="D45" i="7"/>
  <c r="E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X45" i="7"/>
  <c r="U34" i="7" l="1"/>
  <c r="S12" i="8" s="1"/>
  <c r="X34" i="7"/>
  <c r="V12" i="8" s="1"/>
  <c r="E34" i="7"/>
  <c r="C12" i="8" s="1"/>
  <c r="Z41" i="7"/>
  <c r="Z45" i="7" s="1"/>
  <c r="Z43" i="7"/>
  <c r="Z47" i="7" s="1"/>
  <c r="Z14" i="7"/>
  <c r="M32" i="7"/>
  <c r="U32" i="7"/>
  <c r="AC32" i="7"/>
  <c r="N32" i="7"/>
  <c r="N34" i="7" s="1"/>
  <c r="L12" i="8" s="1"/>
  <c r="V32" i="7"/>
  <c r="AD32" i="7"/>
  <c r="O32" i="7"/>
  <c r="O34" i="7" s="1"/>
  <c r="M12" i="8" s="1"/>
  <c r="W32" i="7"/>
  <c r="AE32" i="7"/>
  <c r="P32" i="7"/>
  <c r="P34" i="7" s="1"/>
  <c r="N12" i="8" s="1"/>
  <c r="AB32" i="7"/>
  <c r="AF32" i="7"/>
  <c r="H32" i="7"/>
  <c r="T32" i="7"/>
  <c r="J32" i="7"/>
  <c r="L32" i="7"/>
  <c r="L34" i="7" s="1"/>
  <c r="J12" i="8" s="1"/>
  <c r="X32" i="7"/>
  <c r="Y32" i="7"/>
  <c r="Y34" i="7" s="1"/>
  <c r="W12" i="8" s="1"/>
  <c r="Z32" i="7"/>
  <c r="F32" i="7"/>
  <c r="F34" i="7" s="1"/>
  <c r="D12" i="8" s="1"/>
  <c r="R32" i="7"/>
  <c r="S32" i="7"/>
  <c r="AH32" i="7"/>
  <c r="AG32" i="7"/>
  <c r="AA32" i="7"/>
  <c r="Q32" i="7"/>
  <c r="Q34" i="7" s="1"/>
  <c r="O12" i="8" s="1"/>
  <c r="G32" i="7"/>
  <c r="G34" i="7" s="1"/>
  <c r="E12" i="8" s="1"/>
  <c r="K32" i="7"/>
  <c r="K34" i="7" s="1"/>
  <c r="I12" i="8" s="1"/>
  <c r="E32" i="7"/>
  <c r="D32" i="7"/>
  <c r="I32" i="7"/>
  <c r="B34" i="7"/>
  <c r="M34" i="7"/>
  <c r="K12" i="8" s="1"/>
  <c r="G48" i="7"/>
  <c r="F34" i="4" s="1"/>
  <c r="E11" i="8" s="1"/>
  <c r="B11" i="2"/>
  <c r="C14" i="2"/>
  <c r="G41" i="19"/>
  <c r="O41" i="19"/>
  <c r="W41" i="19"/>
  <c r="AE41" i="19"/>
  <c r="D11" i="2"/>
  <c r="I41" i="19"/>
  <c r="Q41" i="19"/>
  <c r="Y41" i="19"/>
  <c r="AG41" i="19"/>
  <c r="C41" i="19"/>
  <c r="C43" i="19" s="1"/>
  <c r="C45" i="19" s="1"/>
  <c r="C47" i="19" s="1"/>
  <c r="K41" i="19"/>
  <c r="S41" i="19"/>
  <c r="AA41" i="19"/>
  <c r="F41" i="19"/>
  <c r="T41" i="19"/>
  <c r="AF41" i="19"/>
  <c r="H47" i="2"/>
  <c r="M41" i="19"/>
  <c r="AB41" i="19"/>
  <c r="N41" i="19"/>
  <c r="AC41" i="19"/>
  <c r="P41" i="19"/>
  <c r="AD41" i="19"/>
  <c r="D41" i="19"/>
  <c r="R41" i="19"/>
  <c r="AH41" i="19"/>
  <c r="E41" i="19"/>
  <c r="U41" i="19"/>
  <c r="L41" i="19"/>
  <c r="V41" i="19"/>
  <c r="X41" i="19"/>
  <c r="Z41" i="19"/>
  <c r="H41" i="19"/>
  <c r="J41" i="19"/>
  <c r="B25" i="25"/>
  <c r="B36" i="25"/>
  <c r="B38" i="25" s="1"/>
  <c r="B49" i="25"/>
  <c r="B52" i="25" s="1"/>
  <c r="B56" i="25"/>
  <c r="B59" i="25" s="1"/>
  <c r="B42" i="25"/>
  <c r="B45" i="25" s="1"/>
  <c r="H48" i="2"/>
  <c r="AA6" i="19"/>
  <c r="AA6" i="7"/>
  <c r="Z6" i="4"/>
  <c r="Z10" i="4" s="1"/>
  <c r="AA35" i="3"/>
  <c r="AA36" i="3" s="1"/>
  <c r="AA38" i="3" s="1"/>
  <c r="Z11" i="4" s="1"/>
  <c r="AB7" i="3"/>
  <c r="Z6" i="25"/>
  <c r="Y6" i="8"/>
  <c r="AA7" i="19"/>
  <c r="Z7" i="4"/>
  <c r="AA7" i="7"/>
  <c r="AB8" i="3"/>
  <c r="Y7" i="8"/>
  <c r="Z7" i="25"/>
  <c r="S34" i="7"/>
  <c r="Q12" i="8" s="1"/>
  <c r="J34" i="7"/>
  <c r="H12" i="8" s="1"/>
  <c r="R48" i="7"/>
  <c r="Q34" i="4" s="1"/>
  <c r="P11" i="8" s="1"/>
  <c r="W34" i="7"/>
  <c r="U12" i="8" s="1"/>
  <c r="I48" i="7"/>
  <c r="H34" i="4" s="1"/>
  <c r="G11" i="8" s="1"/>
  <c r="V48" i="7"/>
  <c r="U34" i="4" s="1"/>
  <c r="T11" i="8" s="1"/>
  <c r="B50" i="2"/>
  <c r="B56" i="2"/>
  <c r="V34" i="7"/>
  <c r="T12" i="8" s="1"/>
  <c r="J46" i="7"/>
  <c r="J48" i="7" s="1"/>
  <c r="I34" i="4" s="1"/>
  <c r="H11" i="8" s="1"/>
  <c r="R46" i="7"/>
  <c r="Z46" i="7"/>
  <c r="AH46" i="7"/>
  <c r="K46" i="7"/>
  <c r="K48" i="7" s="1"/>
  <c r="J34" i="4" s="1"/>
  <c r="I11" i="8" s="1"/>
  <c r="S46" i="7"/>
  <c r="S48" i="7" s="1"/>
  <c r="R34" i="4" s="1"/>
  <c r="Q11" i="8" s="1"/>
  <c r="AA46" i="7"/>
  <c r="L46" i="7"/>
  <c r="T46" i="7"/>
  <c r="AB46" i="7"/>
  <c r="M46" i="7"/>
  <c r="M48" i="7" s="1"/>
  <c r="L34" i="4" s="1"/>
  <c r="K11" i="8" s="1"/>
  <c r="U46" i="7"/>
  <c r="AC46" i="7"/>
  <c r="F46" i="7"/>
  <c r="N46" i="7"/>
  <c r="V46" i="7"/>
  <c r="AD46" i="7"/>
  <c r="O46" i="7"/>
  <c r="O48" i="7" s="1"/>
  <c r="N34" i="4" s="1"/>
  <c r="M11" i="8" s="1"/>
  <c r="P46" i="7"/>
  <c r="P48" i="7" s="1"/>
  <c r="O34" i="4" s="1"/>
  <c r="N11" i="8" s="1"/>
  <c r="Q46" i="7"/>
  <c r="Q48" i="7" s="1"/>
  <c r="P34" i="4" s="1"/>
  <c r="O11" i="8" s="1"/>
  <c r="W46" i="7"/>
  <c r="W48" i="7" s="1"/>
  <c r="V34" i="4" s="1"/>
  <c r="U11" i="8" s="1"/>
  <c r="X46" i="7"/>
  <c r="X48" i="7" s="1"/>
  <c r="W34" i="4" s="1"/>
  <c r="V11" i="8" s="1"/>
  <c r="G46" i="7"/>
  <c r="H46" i="7"/>
  <c r="H48" i="7" s="1"/>
  <c r="G34" i="4" s="1"/>
  <c r="F11" i="8" s="1"/>
  <c r="Y46" i="7"/>
  <c r="Y48" i="7" s="1"/>
  <c r="X34" i="4" s="1"/>
  <c r="W11" i="8" s="1"/>
  <c r="AE46" i="7"/>
  <c r="AF46" i="7"/>
  <c r="AG46" i="7"/>
  <c r="E46" i="7"/>
  <c r="E48" i="7" s="1"/>
  <c r="D34" i="4" s="1"/>
  <c r="C11" i="8" s="1"/>
  <c r="D46" i="7"/>
  <c r="I46" i="7"/>
  <c r="D34" i="7"/>
  <c r="B12" i="8" s="1"/>
  <c r="B34" i="2"/>
  <c r="N48" i="7"/>
  <c r="M34" i="4" s="1"/>
  <c r="L11" i="8" s="1"/>
  <c r="U48" i="7"/>
  <c r="T34" i="4" s="1"/>
  <c r="S11" i="8" s="1"/>
  <c r="D48" i="7"/>
  <c r="Y18" i="7"/>
  <c r="Y19" i="7" s="1"/>
  <c r="Y21" i="7" s="1"/>
  <c r="Y28" i="7"/>
  <c r="Y33" i="7" s="1"/>
  <c r="AA21" i="3"/>
  <c r="R34" i="7"/>
  <c r="P12" i="8" s="1"/>
  <c r="T34" i="7"/>
  <c r="R12" i="8" s="1"/>
  <c r="D18" i="19"/>
  <c r="L18" i="19"/>
  <c r="T18" i="19"/>
  <c r="AB18" i="19"/>
  <c r="F18" i="19"/>
  <c r="N18" i="19"/>
  <c r="V18" i="19"/>
  <c r="AD18" i="19"/>
  <c r="H18" i="19"/>
  <c r="P18" i="19"/>
  <c r="X18" i="19"/>
  <c r="AF18" i="19"/>
  <c r="Q18" i="19"/>
  <c r="AC18" i="19"/>
  <c r="E18" i="19"/>
  <c r="R18" i="19"/>
  <c r="G18" i="19"/>
  <c r="S18" i="19"/>
  <c r="AG18" i="19"/>
  <c r="W18" i="19"/>
  <c r="Y18" i="19"/>
  <c r="I18" i="19"/>
  <c r="Z18" i="19"/>
  <c r="J18" i="19"/>
  <c r="AA18" i="19"/>
  <c r="K18" i="19"/>
  <c r="AE18" i="19"/>
  <c r="M18" i="19"/>
  <c r="O18" i="19"/>
  <c r="U18" i="19"/>
  <c r="AH18" i="19"/>
  <c r="B50" i="7"/>
  <c r="D50" i="7"/>
  <c r="H34" i="7"/>
  <c r="F12" i="8" s="1"/>
  <c r="T48" i="7"/>
  <c r="S34" i="4" s="1"/>
  <c r="R11" i="8" s="1"/>
  <c r="L48" i="7"/>
  <c r="K34" i="4" s="1"/>
  <c r="J11" i="8" s="1"/>
  <c r="F48" i="7"/>
  <c r="E34" i="4" s="1"/>
  <c r="D11" i="8" s="1"/>
  <c r="I34" i="7"/>
  <c r="G12" i="8" s="1"/>
  <c r="AB6" i="19" l="1"/>
  <c r="AB6" i="7"/>
  <c r="AA6" i="25"/>
  <c r="AB35" i="3"/>
  <c r="AB36" i="3" s="1"/>
  <c r="AB38" i="3" s="1"/>
  <c r="AA11" i="4" s="1"/>
  <c r="AA6" i="4"/>
  <c r="AA10" i="4" s="1"/>
  <c r="AA13" i="4" s="1"/>
  <c r="AC7" i="3"/>
  <c r="Z6" i="8"/>
  <c r="Z48" i="7"/>
  <c r="Y34" i="4" s="1"/>
  <c r="X11" i="8" s="1"/>
  <c r="E19" i="19"/>
  <c r="M19" i="19"/>
  <c r="U19" i="19"/>
  <c r="G19" i="19"/>
  <c r="G20" i="19" s="1"/>
  <c r="G25" i="19" s="1"/>
  <c r="O19" i="19"/>
  <c r="O20" i="19" s="1"/>
  <c r="O25" i="19" s="1"/>
  <c r="W19" i="19"/>
  <c r="W20" i="19" s="1"/>
  <c r="W25" i="19" s="1"/>
  <c r="I19" i="19"/>
  <c r="Q19" i="19"/>
  <c r="Y19" i="19"/>
  <c r="K19" i="19"/>
  <c r="K20" i="19" s="1"/>
  <c r="K25" i="19" s="1"/>
  <c r="X19" i="19"/>
  <c r="N19" i="19"/>
  <c r="N20" i="19" s="1"/>
  <c r="N25" i="19" s="1"/>
  <c r="H19" i="19"/>
  <c r="Z19" i="19"/>
  <c r="J19" i="19"/>
  <c r="J20" i="19" s="1"/>
  <c r="J25" i="19" s="1"/>
  <c r="L19" i="19"/>
  <c r="P19" i="19"/>
  <c r="R19" i="19"/>
  <c r="R20" i="19" s="1"/>
  <c r="R25" i="19" s="1"/>
  <c r="S19" i="19"/>
  <c r="T19" i="19"/>
  <c r="V19" i="19"/>
  <c r="V20" i="19" s="1"/>
  <c r="V25" i="19" s="1"/>
  <c r="D19" i="19"/>
  <c r="D20" i="19" s="1"/>
  <c r="D25" i="19" s="1"/>
  <c r="F19" i="19"/>
  <c r="F20" i="19" s="1"/>
  <c r="F25" i="19" s="1"/>
  <c r="C34" i="4"/>
  <c r="B11" i="8" s="1"/>
  <c r="Z20" i="19"/>
  <c r="Z25" i="19" s="1"/>
  <c r="AB21" i="3"/>
  <c r="U20" i="19"/>
  <c r="U25" i="19" s="1"/>
  <c r="I20" i="19"/>
  <c r="I25" i="19" s="1"/>
  <c r="B58" i="2"/>
  <c r="Z13" i="4"/>
  <c r="B29" i="25"/>
  <c r="C25" i="25" s="1"/>
  <c r="C26" i="25"/>
  <c r="Y20" i="19"/>
  <c r="Y25" i="19" s="1"/>
  <c r="Q20" i="19"/>
  <c r="Q25" i="19" s="1"/>
  <c r="AA41" i="7"/>
  <c r="AA45" i="7" s="1"/>
  <c r="AA43" i="7"/>
  <c r="AA47" i="7" s="1"/>
  <c r="AA14" i="7"/>
  <c r="M20" i="19"/>
  <c r="M25" i="19" s="1"/>
  <c r="C24" i="4"/>
  <c r="E50" i="7"/>
  <c r="H20" i="19"/>
  <c r="H25" i="19" s="1"/>
  <c r="E20" i="19"/>
  <c r="E25" i="19" s="1"/>
  <c r="AB7" i="19"/>
  <c r="AB7" i="7"/>
  <c r="AA7" i="4"/>
  <c r="Z7" i="8"/>
  <c r="AC8" i="3"/>
  <c r="AA7" i="25"/>
  <c r="D36" i="7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Y36" i="7" s="1"/>
  <c r="B36" i="7"/>
  <c r="X20" i="19"/>
  <c r="X25" i="19" s="1"/>
  <c r="T20" i="19"/>
  <c r="T25" i="19" s="1"/>
  <c r="D14" i="2"/>
  <c r="B14" i="2"/>
  <c r="B12" i="2"/>
  <c r="Z28" i="7"/>
  <c r="Z33" i="7" s="1"/>
  <c r="Z34" i="7" s="1"/>
  <c r="X12" i="8" s="1"/>
  <c r="Z18" i="7"/>
  <c r="Z19" i="7" s="1"/>
  <c r="Z21" i="7" s="1"/>
  <c r="S20" i="19"/>
  <c r="S25" i="19" s="1"/>
  <c r="P20" i="19"/>
  <c r="P25" i="19" s="1"/>
  <c r="L20" i="19"/>
  <c r="L25" i="19" s="1"/>
  <c r="D24" i="4" l="1"/>
  <c r="D30" i="4" s="1"/>
  <c r="D32" i="4" s="1"/>
  <c r="F50" i="7"/>
  <c r="AC6" i="19"/>
  <c r="AC6" i="7"/>
  <c r="AB6" i="4"/>
  <c r="AB10" i="4" s="1"/>
  <c r="AB13" i="4" s="1"/>
  <c r="AB6" i="25"/>
  <c r="AD21" i="3"/>
  <c r="AD7" i="3"/>
  <c r="AA6" i="8"/>
  <c r="AC35" i="3"/>
  <c r="AC36" i="3" s="1"/>
  <c r="AC38" i="3" s="1"/>
  <c r="AB11" i="4" s="1"/>
  <c r="N31" i="2"/>
  <c r="O31" i="2" s="1"/>
  <c r="C30" i="4"/>
  <c r="C32" i="4" s="1"/>
  <c r="Z36" i="7"/>
  <c r="AA36" i="7" s="1"/>
  <c r="AA48" i="7"/>
  <c r="AB14" i="7"/>
  <c r="AB41" i="7"/>
  <c r="AB45" i="7" s="1"/>
  <c r="AB43" i="7"/>
  <c r="AB47" i="7" s="1"/>
  <c r="AC7" i="19"/>
  <c r="AB7" i="25"/>
  <c r="AB7" i="4"/>
  <c r="AD8" i="3"/>
  <c r="AA7" i="8"/>
  <c r="AC7" i="7"/>
  <c r="AA28" i="7"/>
  <c r="AA33" i="7" s="1"/>
  <c r="AA34" i="7" s="1"/>
  <c r="Y12" i="8" s="1"/>
  <c r="AA18" i="7"/>
  <c r="AA19" i="7" s="1"/>
  <c r="AA21" i="7" s="1"/>
  <c r="AC21" i="3"/>
  <c r="E24" i="4" l="1"/>
  <c r="E30" i="4" s="1"/>
  <c r="E32" i="4" s="1"/>
  <c r="G50" i="7"/>
  <c r="Z34" i="4"/>
  <c r="Y11" i="8" s="1"/>
  <c r="AA19" i="19"/>
  <c r="AA20" i="19" s="1"/>
  <c r="AA25" i="19" s="1"/>
  <c r="AC14" i="7"/>
  <c r="AC41" i="7"/>
  <c r="AC45" i="7" s="1"/>
  <c r="AC48" i="7" s="1"/>
  <c r="AB34" i="4" s="1"/>
  <c r="AA11" i="8" s="1"/>
  <c r="AC43" i="7"/>
  <c r="AC47" i="7" s="1"/>
  <c r="AD7" i="19"/>
  <c r="AD7" i="7"/>
  <c r="AC7" i="25"/>
  <c r="AC7" i="4"/>
  <c r="AE8" i="3"/>
  <c r="AB7" i="8"/>
  <c r="AB48" i="7"/>
  <c r="AA34" i="4" s="1"/>
  <c r="Z11" i="8" s="1"/>
  <c r="AB36" i="7"/>
  <c r="B74" i="2"/>
  <c r="C36" i="4"/>
  <c r="C11" i="25"/>
  <c r="C13" i="25" s="1"/>
  <c r="B38" i="6"/>
  <c r="AB28" i="7"/>
  <c r="AB33" i="7" s="1"/>
  <c r="AB34" i="7" s="1"/>
  <c r="Z12" i="8" s="1"/>
  <c r="AB18" i="7"/>
  <c r="AB19" i="7" s="1"/>
  <c r="AB21" i="7" s="1"/>
  <c r="C74" i="2"/>
  <c r="D36" i="4"/>
  <c r="D11" i="25"/>
  <c r="C38" i="6"/>
  <c r="C29" i="6"/>
  <c r="C11" i="6" s="1"/>
  <c r="C13" i="6" s="1"/>
  <c r="AD6" i="19"/>
  <c r="AD6" i="7"/>
  <c r="AE7" i="3"/>
  <c r="AC6" i="4"/>
  <c r="AC10" i="4" s="1"/>
  <c r="AC13" i="4" s="1"/>
  <c r="AC6" i="25"/>
  <c r="AD35" i="3"/>
  <c r="AD36" i="3" s="1"/>
  <c r="AD38" i="3" s="1"/>
  <c r="AC11" i="4" s="1"/>
  <c r="AB6" i="8"/>
  <c r="AE6" i="19" l="1"/>
  <c r="AE6" i="7"/>
  <c r="AD6" i="4"/>
  <c r="AD10" i="4" s="1"/>
  <c r="AD13" i="4" s="1"/>
  <c r="AF7" i="3"/>
  <c r="AE35" i="3"/>
  <c r="AE36" i="3" s="1"/>
  <c r="AE38" i="3" s="1"/>
  <c r="AD11" i="4" s="1"/>
  <c r="AD6" i="25"/>
  <c r="AC6" i="8"/>
  <c r="AD14" i="7"/>
  <c r="AD41" i="7"/>
  <c r="AD45" i="7" s="1"/>
  <c r="AD48" i="7" s="1"/>
  <c r="AC34" i="4" s="1"/>
  <c r="AB11" i="8" s="1"/>
  <c r="AD43" i="7"/>
  <c r="AD47" i="7" s="1"/>
  <c r="AE7" i="19"/>
  <c r="AE7" i="7"/>
  <c r="AF8" i="3"/>
  <c r="AD7" i="25"/>
  <c r="AD7" i="4"/>
  <c r="AC7" i="8"/>
  <c r="AC28" i="7"/>
  <c r="AC33" i="7" s="1"/>
  <c r="AC34" i="7" s="1"/>
  <c r="AA12" i="8" s="1"/>
  <c r="AC18" i="7"/>
  <c r="AC19" i="7" s="1"/>
  <c r="AC21" i="7" s="1"/>
  <c r="B76" i="2"/>
  <c r="AC19" i="19"/>
  <c r="AC20" i="19" s="1"/>
  <c r="AC25" i="19" s="1"/>
  <c r="F24" i="4"/>
  <c r="F30" i="4" s="1"/>
  <c r="F32" i="4" s="1"/>
  <c r="H50" i="7"/>
  <c r="AD19" i="19"/>
  <c r="AD20" i="19" s="1"/>
  <c r="AD25" i="19" s="1"/>
  <c r="AB19" i="19"/>
  <c r="AB20" i="19" s="1"/>
  <c r="AB25" i="19" s="1"/>
  <c r="D74" i="2"/>
  <c r="E36" i="4"/>
  <c r="E11" i="25"/>
  <c r="D38" i="6"/>
  <c r="D29" i="6"/>
  <c r="AC36" i="7"/>
  <c r="B11" i="6"/>
  <c r="B13" i="6" s="1"/>
  <c r="B37" i="6" s="1"/>
  <c r="AE21" i="3"/>
  <c r="D11" i="6" l="1"/>
  <c r="D13" i="6" s="1"/>
  <c r="F36" i="4"/>
  <c r="F11" i="25"/>
  <c r="E29" i="6"/>
  <c r="E11" i="6" s="1"/>
  <c r="E13" i="6" s="1"/>
  <c r="E38" i="6"/>
  <c r="AD28" i="7"/>
  <c r="AD33" i="7" s="1"/>
  <c r="AD34" i="7" s="1"/>
  <c r="AB12" i="8" s="1"/>
  <c r="AD18" i="7"/>
  <c r="AD19" i="7" s="1"/>
  <c r="AD21" i="7" s="1"/>
  <c r="AD36" i="7"/>
  <c r="AF6" i="19"/>
  <c r="AF6" i="7"/>
  <c r="AE6" i="4"/>
  <c r="AE10" i="4" s="1"/>
  <c r="AF35" i="3"/>
  <c r="AF36" i="3" s="1"/>
  <c r="AF38" i="3" s="1"/>
  <c r="AE11" i="4" s="1"/>
  <c r="AG7" i="3"/>
  <c r="AG21" i="3" s="1"/>
  <c r="AE6" i="25"/>
  <c r="AD6" i="8"/>
  <c r="G24" i="4"/>
  <c r="G30" i="4" s="1"/>
  <c r="G32" i="4" s="1"/>
  <c r="I50" i="7"/>
  <c r="AE14" i="7"/>
  <c r="AE41" i="7"/>
  <c r="AE45" i="7" s="1"/>
  <c r="AE43" i="7"/>
  <c r="AE47" i="7" s="1"/>
  <c r="AF7" i="19"/>
  <c r="AF7" i="7"/>
  <c r="AE7" i="4"/>
  <c r="AG8" i="3"/>
  <c r="AE7" i="25"/>
  <c r="AD7" i="8"/>
  <c r="AF21" i="3"/>
  <c r="B35" i="6"/>
  <c r="B42" i="6"/>
  <c r="G11" i="25" l="1"/>
  <c r="G36" i="4"/>
  <c r="F38" i="6"/>
  <c r="F29" i="6"/>
  <c r="F11" i="6" s="1"/>
  <c r="F13" i="6" s="1"/>
  <c r="B56" i="6"/>
  <c r="B48" i="6"/>
  <c r="B44" i="6"/>
  <c r="B45" i="6"/>
  <c r="C24" i="6" s="1"/>
  <c r="AG6" i="19"/>
  <c r="AG6" i="7"/>
  <c r="AF6" i="4"/>
  <c r="AF10" i="4" s="1"/>
  <c r="AF13" i="4" s="1"/>
  <c r="AH21" i="3"/>
  <c r="AG35" i="3"/>
  <c r="AG36" i="3" s="1"/>
  <c r="AG38" i="3" s="1"/>
  <c r="AF11" i="4" s="1"/>
  <c r="AH7" i="3"/>
  <c r="AE6" i="8"/>
  <c r="AF6" i="25"/>
  <c r="AE48" i="7"/>
  <c r="AE28" i="7"/>
  <c r="AE33" i="7" s="1"/>
  <c r="AE34" i="7" s="1"/>
  <c r="AC12" i="8" s="1"/>
  <c r="AE18" i="7"/>
  <c r="AE19" i="7" s="1"/>
  <c r="AE21" i="7" s="1"/>
  <c r="AE13" i="4"/>
  <c r="AG7" i="7"/>
  <c r="AF7" i="4"/>
  <c r="AG7" i="19"/>
  <c r="AH8" i="3"/>
  <c r="AF7" i="25"/>
  <c r="AE7" i="8"/>
  <c r="B39" i="6"/>
  <c r="J50" i="7"/>
  <c r="H24" i="4"/>
  <c r="H30" i="4" s="1"/>
  <c r="H32" i="4" s="1"/>
  <c r="AF14" i="7"/>
  <c r="AF41" i="7"/>
  <c r="AF45" i="7" s="1"/>
  <c r="AF43" i="7"/>
  <c r="AF47" i="7" s="1"/>
  <c r="AD34" i="4" l="1"/>
  <c r="AC11" i="8" s="1"/>
  <c r="AE19" i="19"/>
  <c r="AE20" i="19" s="1"/>
  <c r="AE25" i="19" s="1"/>
  <c r="B58" i="6"/>
  <c r="AF48" i="7"/>
  <c r="AE34" i="4" s="1"/>
  <c r="AD11" i="8" s="1"/>
  <c r="AF28" i="7"/>
  <c r="AF33" i="7" s="1"/>
  <c r="AF34" i="7" s="1"/>
  <c r="AD12" i="8" s="1"/>
  <c r="AF18" i="7"/>
  <c r="AF19" i="7" s="1"/>
  <c r="AF21" i="7" s="1"/>
  <c r="C27" i="6"/>
  <c r="B50" i="6"/>
  <c r="B52" i="6" s="1"/>
  <c r="C16" i="25"/>
  <c r="G29" i="6"/>
  <c r="G11" i="6" s="1"/>
  <c r="G13" i="6" s="1"/>
  <c r="G38" i="6"/>
  <c r="H36" i="4"/>
  <c r="H11" i="25"/>
  <c r="AH6" i="19"/>
  <c r="AH6" i="7"/>
  <c r="AG6" i="4"/>
  <c r="AG10" i="4" s="1"/>
  <c r="AH35" i="3"/>
  <c r="AH36" i="3" s="1"/>
  <c r="AH38" i="3" s="1"/>
  <c r="AG11" i="4" s="1"/>
  <c r="AF6" i="8"/>
  <c r="AG6" i="25"/>
  <c r="B57" i="6"/>
  <c r="C38" i="4" s="1"/>
  <c r="C40" i="4" s="1"/>
  <c r="AE36" i="7"/>
  <c r="AF36" i="7" s="1"/>
  <c r="AG43" i="7"/>
  <c r="AG47" i="7" s="1"/>
  <c r="AG14" i="7"/>
  <c r="AG41" i="7"/>
  <c r="AG45" i="7" s="1"/>
  <c r="AH7" i="19"/>
  <c r="AH7" i="7"/>
  <c r="AG7" i="4"/>
  <c r="AF7" i="8"/>
  <c r="AG7" i="25"/>
  <c r="K50" i="7"/>
  <c r="I24" i="4"/>
  <c r="I30" i="4" s="1"/>
  <c r="I32" i="4" s="1"/>
  <c r="AG13" i="4" l="1"/>
  <c r="AH41" i="7"/>
  <c r="AH45" i="7" s="1"/>
  <c r="AH43" i="7"/>
  <c r="AH47" i="7" s="1"/>
  <c r="AH14" i="7"/>
  <c r="AF19" i="19"/>
  <c r="AF20" i="19" s="1"/>
  <c r="AF25" i="19" s="1"/>
  <c r="J24" i="4"/>
  <c r="J30" i="4" s="1"/>
  <c r="J32" i="4" s="1"/>
  <c r="L50" i="7"/>
  <c r="C28" i="6"/>
  <c r="B10" i="8"/>
  <c r="B13" i="8" s="1"/>
  <c r="C42" i="4"/>
  <c r="C43" i="4" s="1"/>
  <c r="C45" i="4" s="1"/>
  <c r="AG48" i="7"/>
  <c r="AG36" i="7"/>
  <c r="I36" i="4"/>
  <c r="I11" i="25"/>
  <c r="H29" i="6"/>
  <c r="H38" i="6"/>
  <c r="AG28" i="7"/>
  <c r="AG33" i="7" s="1"/>
  <c r="AG34" i="7" s="1"/>
  <c r="AE12" i="8" s="1"/>
  <c r="AG18" i="7"/>
  <c r="AG19" i="7" s="1"/>
  <c r="AG21" i="7" s="1"/>
  <c r="B75" i="2" l="1"/>
  <c r="D42" i="19"/>
  <c r="D43" i="19" s="1"/>
  <c r="C33" i="6"/>
  <c r="C26" i="6"/>
  <c r="C30" i="6" s="1"/>
  <c r="AH36" i="7"/>
  <c r="AH28" i="7"/>
  <c r="AH33" i="7" s="1"/>
  <c r="AH34" i="7" s="1"/>
  <c r="AF12" i="8" s="1"/>
  <c r="AH18" i="7"/>
  <c r="AH19" i="7" s="1"/>
  <c r="AH21" i="7" s="1"/>
  <c r="B28" i="8"/>
  <c r="B16" i="8"/>
  <c r="B24" i="8"/>
  <c r="K24" i="4"/>
  <c r="K30" i="4" s="1"/>
  <c r="K32" i="4" s="1"/>
  <c r="M50" i="7"/>
  <c r="AH48" i="7"/>
  <c r="AF34" i="4"/>
  <c r="AE11" i="8" s="1"/>
  <c r="AG19" i="19"/>
  <c r="AG20" i="19" s="1"/>
  <c r="AG25" i="19" s="1"/>
  <c r="H11" i="6"/>
  <c r="H13" i="6" s="1"/>
  <c r="I38" i="6"/>
  <c r="J36" i="4"/>
  <c r="J11" i="25"/>
  <c r="I29" i="6"/>
  <c r="I11" i="6" s="1"/>
  <c r="I13" i="6" s="1"/>
  <c r="L24" i="4" l="1"/>
  <c r="L30" i="4" s="1"/>
  <c r="L32" i="4" s="1"/>
  <c r="N50" i="7"/>
  <c r="AG34" i="4"/>
  <c r="AF11" i="8" s="1"/>
  <c r="AH19" i="19"/>
  <c r="AH20" i="19" s="1"/>
  <c r="AH25" i="19" s="1"/>
  <c r="B29" i="8"/>
  <c r="B30" i="8" s="1"/>
  <c r="K36" i="4"/>
  <c r="K11" i="25"/>
  <c r="J38" i="6"/>
  <c r="J29" i="6"/>
  <c r="J11" i="6" s="1"/>
  <c r="J13" i="6" s="1"/>
  <c r="C36" i="6"/>
  <c r="B21" i="8"/>
  <c r="B19" i="8"/>
  <c r="B33" i="8" l="1"/>
  <c r="B41" i="8"/>
  <c r="C15" i="25" s="1"/>
  <c r="D12" i="25"/>
  <c r="D13" i="25" s="1"/>
  <c r="C49" i="6"/>
  <c r="C37" i="6"/>
  <c r="M24" i="4"/>
  <c r="M30" i="4" s="1"/>
  <c r="M32" i="4" s="1"/>
  <c r="O50" i="7"/>
  <c r="B22" i="8"/>
  <c r="C18" i="8" s="1"/>
  <c r="L36" i="4"/>
  <c r="L11" i="25"/>
  <c r="K38" i="6"/>
  <c r="K29" i="6"/>
  <c r="K11" i="6" s="1"/>
  <c r="K13" i="6" s="1"/>
  <c r="C42" i="6" l="1"/>
  <c r="C35" i="6"/>
  <c r="D32" i="19"/>
  <c r="C18" i="25"/>
  <c r="C21" i="25" s="1"/>
  <c r="M36" i="4"/>
  <c r="M11" i="25"/>
  <c r="L29" i="6"/>
  <c r="L38" i="6"/>
  <c r="C76" i="2"/>
  <c r="N24" i="4"/>
  <c r="N30" i="4" s="1"/>
  <c r="N32" i="4" s="1"/>
  <c r="P50" i="7"/>
  <c r="B36" i="8"/>
  <c r="B38" i="8"/>
  <c r="D37" i="19" l="1"/>
  <c r="D45" i="19" s="1"/>
  <c r="D47" i="19" s="1"/>
  <c r="B77" i="2"/>
  <c r="C27" i="25"/>
  <c r="C28" i="25" s="1"/>
  <c r="C29" i="25" s="1"/>
  <c r="D25" i="25" s="1"/>
  <c r="C37" i="25"/>
  <c r="C38" i="25" s="1"/>
  <c r="C43" i="25"/>
  <c r="C45" i="25" s="1"/>
  <c r="C57" i="25"/>
  <c r="C59" i="25" s="1"/>
  <c r="C50" i="25"/>
  <c r="C52" i="25" s="1"/>
  <c r="L11" i="6"/>
  <c r="L13" i="6" s="1"/>
  <c r="C48" i="6"/>
  <c r="C56" i="6"/>
  <c r="Q50" i="7"/>
  <c r="O24" i="4"/>
  <c r="O30" i="4" s="1"/>
  <c r="O32" i="4" s="1"/>
  <c r="C44" i="6"/>
  <c r="C45" i="6"/>
  <c r="D24" i="6" s="1"/>
  <c r="M38" i="6"/>
  <c r="N36" i="4"/>
  <c r="N11" i="25"/>
  <c r="M29" i="6"/>
  <c r="M11" i="6" s="1"/>
  <c r="M13" i="6" s="1"/>
  <c r="B39" i="8"/>
  <c r="C35" i="8" s="1"/>
  <c r="C39" i="6"/>
  <c r="D26" i="25" l="1"/>
  <c r="N29" i="6"/>
  <c r="N11" i="6" s="1"/>
  <c r="N13" i="6" s="1"/>
  <c r="O36" i="4"/>
  <c r="O11" i="25"/>
  <c r="N38" i="6"/>
  <c r="R50" i="7"/>
  <c r="P24" i="4"/>
  <c r="P30" i="4" s="1"/>
  <c r="P32" i="4" s="1"/>
  <c r="C50" i="6"/>
  <c r="C52" i="6" s="1"/>
  <c r="D16" i="25"/>
  <c r="C57" i="6"/>
  <c r="D38" i="4" s="1"/>
  <c r="D40" i="4" s="1"/>
  <c r="D27" i="6"/>
  <c r="D28" i="6"/>
  <c r="D26" i="6" s="1"/>
  <c r="O38" i="6" l="1"/>
  <c r="O29" i="6"/>
  <c r="O11" i="6" s="1"/>
  <c r="O13" i="6" s="1"/>
  <c r="P36" i="4"/>
  <c r="P11" i="25"/>
  <c r="C58" i="6"/>
  <c r="D33" i="6"/>
  <c r="D30" i="6"/>
  <c r="S50" i="7"/>
  <c r="Q24" i="4"/>
  <c r="Q30" i="4" s="1"/>
  <c r="Q32" i="4" s="1"/>
  <c r="C10" i="8"/>
  <c r="C13" i="8" s="1"/>
  <c r="D42" i="4"/>
  <c r="D43" i="4" s="1"/>
  <c r="D45" i="4" s="1"/>
  <c r="C75" i="2" l="1"/>
  <c r="E42" i="19"/>
  <c r="E43" i="19" s="1"/>
  <c r="C28" i="8"/>
  <c r="C24" i="8"/>
  <c r="C16" i="8"/>
  <c r="R24" i="4"/>
  <c r="R30" i="4" s="1"/>
  <c r="R32" i="4" s="1"/>
  <c r="T50" i="7"/>
  <c r="D36" i="6"/>
  <c r="D37" i="6"/>
  <c r="Q36" i="4"/>
  <c r="Q11" i="25"/>
  <c r="P38" i="6"/>
  <c r="P29" i="6"/>
  <c r="S24" i="4" l="1"/>
  <c r="S30" i="4" s="1"/>
  <c r="S32" i="4" s="1"/>
  <c r="U50" i="7"/>
  <c r="C19" i="8"/>
  <c r="C21" i="8"/>
  <c r="D42" i="6"/>
  <c r="C30" i="8"/>
  <c r="R36" i="4"/>
  <c r="R11" i="25"/>
  <c r="Q29" i="6"/>
  <c r="Q38" i="6"/>
  <c r="E12" i="25"/>
  <c r="E13" i="25" s="1"/>
  <c r="D49" i="6"/>
  <c r="C29" i="8"/>
  <c r="P11" i="6"/>
  <c r="P13" i="6" s="1"/>
  <c r="D35" i="6"/>
  <c r="D39" i="6" s="1"/>
  <c r="D44" i="6" l="1"/>
  <c r="D45" i="6"/>
  <c r="E24" i="6" s="1"/>
  <c r="Q11" i="6"/>
  <c r="Q13" i="6" s="1"/>
  <c r="T24" i="4"/>
  <c r="T30" i="4" s="1"/>
  <c r="T32" i="4" s="1"/>
  <c r="V50" i="7"/>
  <c r="C33" i="8"/>
  <c r="C41" i="8"/>
  <c r="D15" i="25" s="1"/>
  <c r="D56" i="6"/>
  <c r="D48" i="6"/>
  <c r="C22" i="8"/>
  <c r="D18" i="8" s="1"/>
  <c r="S36" i="4"/>
  <c r="S11" i="25"/>
  <c r="R29" i="6"/>
  <c r="R11" i="6" s="1"/>
  <c r="R13" i="6" s="1"/>
  <c r="R38" i="6"/>
  <c r="D76" i="2"/>
  <c r="E32" i="19" l="1"/>
  <c r="D18" i="25"/>
  <c r="D21" i="25" s="1"/>
  <c r="C38" i="8"/>
  <c r="C36" i="8"/>
  <c r="T36" i="4"/>
  <c r="T11" i="25"/>
  <c r="S29" i="6"/>
  <c r="S11" i="6" s="1"/>
  <c r="S13" i="6" s="1"/>
  <c r="S38" i="6"/>
  <c r="E27" i="6"/>
  <c r="E28" i="6"/>
  <c r="U24" i="4"/>
  <c r="U30" i="4" s="1"/>
  <c r="U32" i="4" s="1"/>
  <c r="W50" i="7"/>
  <c r="D50" i="6"/>
  <c r="D52" i="6" s="1"/>
  <c r="E16" i="25"/>
  <c r="D57" i="6"/>
  <c r="E38" i="4" s="1"/>
  <c r="E40" i="4" s="1"/>
  <c r="U36" i="4" l="1"/>
  <c r="U11" i="25"/>
  <c r="T38" i="6"/>
  <c r="T29" i="6"/>
  <c r="T11" i="6" s="1"/>
  <c r="T13" i="6" s="1"/>
  <c r="E33" i="6"/>
  <c r="E30" i="6"/>
  <c r="D58" i="6"/>
  <c r="E26" i="6"/>
  <c r="C39" i="8"/>
  <c r="D35" i="8" s="1"/>
  <c r="V24" i="4"/>
  <c r="V30" i="4" s="1"/>
  <c r="V32" i="4" s="1"/>
  <c r="X50" i="7"/>
  <c r="C77" i="2"/>
  <c r="D37" i="25"/>
  <c r="D38" i="25" s="1"/>
  <c r="D43" i="25"/>
  <c r="D45" i="25" s="1"/>
  <c r="D57" i="25"/>
  <c r="D59" i="25" s="1"/>
  <c r="D27" i="25"/>
  <c r="D28" i="25" s="1"/>
  <c r="D29" i="25" s="1"/>
  <c r="E25" i="25" s="1"/>
  <c r="D50" i="25"/>
  <c r="D52" i="25" s="1"/>
  <c r="E42" i="4"/>
  <c r="E43" i="4" s="1"/>
  <c r="D10" i="8"/>
  <c r="D13" i="8" s="1"/>
  <c r="E37" i="19"/>
  <c r="E45" i="19" s="1"/>
  <c r="E47" i="19" s="1"/>
  <c r="W24" i="4" l="1"/>
  <c r="W30" i="4" s="1"/>
  <c r="W32" i="4" s="1"/>
  <c r="Y50" i="7"/>
  <c r="E45" i="4"/>
  <c r="E26" i="25"/>
  <c r="U38" i="6"/>
  <c r="V36" i="4"/>
  <c r="V11" i="25"/>
  <c r="U29" i="6"/>
  <c r="U11" i="6" s="1"/>
  <c r="U13" i="6" s="1"/>
  <c r="E36" i="6"/>
  <c r="E37" i="6"/>
  <c r="D28" i="8"/>
  <c r="D24" i="8"/>
  <c r="D16" i="8"/>
  <c r="F12" i="25" l="1"/>
  <c r="F13" i="25" s="1"/>
  <c r="E49" i="6"/>
  <c r="E42" i="6"/>
  <c r="D75" i="2"/>
  <c r="F42" i="19"/>
  <c r="F43" i="19" s="1"/>
  <c r="D19" i="8"/>
  <c r="D21" i="8"/>
  <c r="D29" i="8"/>
  <c r="D30" i="8"/>
  <c r="Z50" i="7"/>
  <c r="X24" i="4"/>
  <c r="X30" i="4" s="1"/>
  <c r="X32" i="4" s="1"/>
  <c r="V38" i="6"/>
  <c r="W36" i="4"/>
  <c r="W11" i="25"/>
  <c r="V29" i="6"/>
  <c r="V11" i="6" s="1"/>
  <c r="V13" i="6" s="1"/>
  <c r="E35" i="6"/>
  <c r="AA50" i="7" l="1"/>
  <c r="Y24" i="4"/>
  <c r="Y30" i="4" s="1"/>
  <c r="Y32" i="4" s="1"/>
  <c r="E48" i="6"/>
  <c r="E56" i="6"/>
  <c r="E39" i="6"/>
  <c r="D22" i="8"/>
  <c r="E18" i="8" s="1"/>
  <c r="W38" i="6"/>
  <c r="X36" i="4"/>
  <c r="X11" i="25"/>
  <c r="W29" i="6"/>
  <c r="W11" i="6" s="1"/>
  <c r="W13" i="6" s="1"/>
  <c r="D33" i="8"/>
  <c r="D41" i="8"/>
  <c r="E15" i="25" s="1"/>
  <c r="E44" i="6"/>
  <c r="E45" i="6"/>
  <c r="F24" i="6" s="1"/>
  <c r="F27" i="6" l="1"/>
  <c r="F28" i="6" s="1"/>
  <c r="E57" i="6"/>
  <c r="F38" i="4" s="1"/>
  <c r="F40" i="4" s="1"/>
  <c r="X38" i="6"/>
  <c r="Y36" i="4"/>
  <c r="Y11" i="25"/>
  <c r="X29" i="6"/>
  <c r="E50" i="6"/>
  <c r="E52" i="6" s="1"/>
  <c r="F16" i="25"/>
  <c r="E18" i="25"/>
  <c r="E21" i="25" s="1"/>
  <c r="F32" i="19"/>
  <c r="Z24" i="4"/>
  <c r="Z30" i="4" s="1"/>
  <c r="Z32" i="4" s="1"/>
  <c r="AB50" i="7"/>
  <c r="D38" i="8"/>
  <c r="D36" i="8"/>
  <c r="F33" i="6" l="1"/>
  <c r="F26" i="6"/>
  <c r="F30" i="6" s="1"/>
  <c r="F42" i="4"/>
  <c r="F43" i="4"/>
  <c r="F45" i="4" s="1"/>
  <c r="G42" i="19" s="1"/>
  <c r="G43" i="19" s="1"/>
  <c r="E10" i="8"/>
  <c r="E13" i="8" s="1"/>
  <c r="Z36" i="4"/>
  <c r="Z11" i="25"/>
  <c r="Y38" i="6"/>
  <c r="Y29" i="6"/>
  <c r="Y11" i="6" s="1"/>
  <c r="Y13" i="6" s="1"/>
  <c r="D39" i="8"/>
  <c r="E35" i="8" s="1"/>
  <c r="X11" i="6"/>
  <c r="X13" i="6" s="1"/>
  <c r="D77" i="2"/>
  <c r="E37" i="25"/>
  <c r="E38" i="25" s="1"/>
  <c r="E43" i="25"/>
  <c r="E45" i="25" s="1"/>
  <c r="E57" i="25"/>
  <c r="E59" i="25" s="1"/>
  <c r="E27" i="25"/>
  <c r="E28" i="25" s="1"/>
  <c r="E29" i="25" s="1"/>
  <c r="F25" i="25" s="1"/>
  <c r="E50" i="25"/>
  <c r="E52" i="25" s="1"/>
  <c r="E58" i="6"/>
  <c r="F37" i="19"/>
  <c r="F45" i="19" s="1"/>
  <c r="F47" i="19" s="1"/>
  <c r="AA24" i="4"/>
  <c r="AA30" i="4" s="1"/>
  <c r="AA32" i="4" s="1"/>
  <c r="AC50" i="7"/>
  <c r="AB24" i="4" l="1"/>
  <c r="AB30" i="4" s="1"/>
  <c r="AB32" i="4" s="1"/>
  <c r="AD50" i="7"/>
  <c r="E28" i="8"/>
  <c r="E24" i="8"/>
  <c r="E16" i="8"/>
  <c r="AA36" i="4"/>
  <c r="AA11" i="25"/>
  <c r="Z29" i="6"/>
  <c r="Z38" i="6"/>
  <c r="F26" i="25"/>
  <c r="F36" i="6"/>
  <c r="G12" i="25" l="1"/>
  <c r="G13" i="25" s="1"/>
  <c r="F49" i="6"/>
  <c r="E29" i="8"/>
  <c r="E30" i="8" s="1"/>
  <c r="F37" i="6"/>
  <c r="E19" i="8"/>
  <c r="E21" i="8"/>
  <c r="AC24" i="4"/>
  <c r="AC30" i="4" s="1"/>
  <c r="AC32" i="4" s="1"/>
  <c r="AE50" i="7"/>
  <c r="AB36" i="4"/>
  <c r="AB11" i="25"/>
  <c r="AA38" i="6"/>
  <c r="AA29" i="6"/>
  <c r="Z11" i="6"/>
  <c r="Z13" i="6" s="1"/>
  <c r="E41" i="8" l="1"/>
  <c r="F15" i="25" s="1"/>
  <c r="E33" i="8"/>
  <c r="E22" i="8"/>
  <c r="F18" i="8" s="1"/>
  <c r="AC36" i="4"/>
  <c r="AC11" i="25"/>
  <c r="AB29" i="6"/>
  <c r="AB11" i="6" s="1"/>
  <c r="AB13" i="6" s="1"/>
  <c r="AB38" i="6"/>
  <c r="F42" i="6"/>
  <c r="F35" i="6"/>
  <c r="AD24" i="4"/>
  <c r="AD30" i="4" s="1"/>
  <c r="AD32" i="4" s="1"/>
  <c r="AF50" i="7"/>
  <c r="AA11" i="6"/>
  <c r="AA13" i="6" s="1"/>
  <c r="AD36" i="4" l="1"/>
  <c r="AD11" i="25"/>
  <c r="AC38" i="6"/>
  <c r="AC29" i="6"/>
  <c r="AC11" i="6" s="1"/>
  <c r="AC13" i="6" s="1"/>
  <c r="F48" i="6"/>
  <c r="F56" i="6"/>
  <c r="F44" i="6"/>
  <c r="F45" i="6"/>
  <c r="G24" i="6" s="1"/>
  <c r="F39" i="6"/>
  <c r="E36" i="8"/>
  <c r="E38" i="8"/>
  <c r="AE24" i="4"/>
  <c r="AE30" i="4" s="1"/>
  <c r="AE32" i="4" s="1"/>
  <c r="AG50" i="7"/>
  <c r="G32" i="19"/>
  <c r="F18" i="25"/>
  <c r="F21" i="25" s="1"/>
  <c r="AD29" i="6" l="1"/>
  <c r="AE11" i="25"/>
  <c r="AE36" i="4"/>
  <c r="AD38" i="6"/>
  <c r="E39" i="8"/>
  <c r="F35" i="8" s="1"/>
  <c r="F50" i="25"/>
  <c r="F52" i="25" s="1"/>
  <c r="F37" i="25"/>
  <c r="F38" i="25" s="1"/>
  <c r="F43" i="25"/>
  <c r="F45" i="25" s="1"/>
  <c r="F57" i="25"/>
  <c r="F59" i="25" s="1"/>
  <c r="F27" i="25"/>
  <c r="F28" i="25" s="1"/>
  <c r="F29" i="25" s="1"/>
  <c r="G25" i="25" s="1"/>
  <c r="G27" i="6"/>
  <c r="G28" i="6"/>
  <c r="AH50" i="7"/>
  <c r="AG24" i="4" s="1"/>
  <c r="AG30" i="4" s="1"/>
  <c r="AG32" i="4" s="1"/>
  <c r="AF24" i="4"/>
  <c r="AF30" i="4" s="1"/>
  <c r="AF32" i="4" s="1"/>
  <c r="F50" i="6"/>
  <c r="F52" i="6" s="1"/>
  <c r="G16" i="25"/>
  <c r="G37" i="19"/>
  <c r="G45" i="19" s="1"/>
  <c r="G47" i="19" s="1"/>
  <c r="F57" i="6"/>
  <c r="G38" i="4" s="1"/>
  <c r="G40" i="4" s="1"/>
  <c r="G33" i="6" l="1"/>
  <c r="F58" i="6"/>
  <c r="G26" i="25"/>
  <c r="G42" i="4"/>
  <c r="G43" i="4" s="1"/>
  <c r="F10" i="8"/>
  <c r="F13" i="8" s="1"/>
  <c r="AE38" i="6"/>
  <c r="AG44" i="25"/>
  <c r="AF11" i="25"/>
  <c r="AF36" i="4"/>
  <c r="AE29" i="6"/>
  <c r="AF38" i="6"/>
  <c r="AG36" i="4"/>
  <c r="AG11" i="25"/>
  <c r="AF29" i="6"/>
  <c r="G26" i="6"/>
  <c r="G30" i="6" s="1"/>
  <c r="AD11" i="6"/>
  <c r="AD13" i="6" s="1"/>
  <c r="F28" i="8" l="1"/>
  <c r="F24" i="8"/>
  <c r="F16" i="8"/>
  <c r="G45" i="4"/>
  <c r="H42" i="19" s="1"/>
  <c r="H43" i="19" s="1"/>
  <c r="G36" i="6"/>
  <c r="AF11" i="6"/>
  <c r="AF13" i="6" s="1"/>
  <c r="AE11" i="6"/>
  <c r="AE13" i="6" s="1"/>
  <c r="F21" i="8" l="1"/>
  <c r="F19" i="8"/>
  <c r="F29" i="8"/>
  <c r="F30" i="8" s="1"/>
  <c r="G49" i="6"/>
  <c r="H12" i="25"/>
  <c r="H13" i="25" s="1"/>
  <c r="G37" i="6"/>
  <c r="F33" i="8" l="1"/>
  <c r="F41" i="8"/>
  <c r="G15" i="25" s="1"/>
  <c r="F22" i="8"/>
  <c r="G18" i="8" s="1"/>
  <c r="G42" i="6"/>
  <c r="G35" i="6"/>
  <c r="G45" i="6" l="1"/>
  <c r="H24" i="6" s="1"/>
  <c r="G44" i="6"/>
  <c r="H32" i="19"/>
  <c r="G18" i="25"/>
  <c r="G21" i="25" s="1"/>
  <c r="G56" i="6"/>
  <c r="G48" i="6"/>
  <c r="G39" i="6"/>
  <c r="F38" i="8"/>
  <c r="F36" i="8"/>
  <c r="G50" i="6" l="1"/>
  <c r="G52" i="6" s="1"/>
  <c r="H16" i="25"/>
  <c r="G57" i="6"/>
  <c r="H38" i="4" s="1"/>
  <c r="H40" i="4" s="1"/>
  <c r="G50" i="25"/>
  <c r="G52" i="25" s="1"/>
  <c r="G43" i="25"/>
  <c r="G45" i="25" s="1"/>
  <c r="G27" i="25"/>
  <c r="G28" i="25" s="1"/>
  <c r="G29" i="25" s="1"/>
  <c r="H25" i="25" s="1"/>
  <c r="G37" i="25"/>
  <c r="G38" i="25" s="1"/>
  <c r="G57" i="25"/>
  <c r="G59" i="25" s="1"/>
  <c r="H27" i="6"/>
  <c r="H28" i="6" s="1"/>
  <c r="H37" i="19"/>
  <c r="H45" i="19" s="1"/>
  <c r="H47" i="19" s="1"/>
  <c r="F39" i="8"/>
  <c r="G35" i="8" s="1"/>
  <c r="H33" i="6" l="1"/>
  <c r="H26" i="6"/>
  <c r="H30" i="6" s="1"/>
  <c r="G58" i="6"/>
  <c r="H42" i="4"/>
  <c r="H43" i="4" s="1"/>
  <c r="H45" i="4" s="1"/>
  <c r="I42" i="19" s="1"/>
  <c r="I43" i="19" s="1"/>
  <c r="G10" i="8"/>
  <c r="G13" i="8" s="1"/>
  <c r="H26" i="25"/>
  <c r="G16" i="8" l="1"/>
  <c r="G28" i="8"/>
  <c r="G24" i="8"/>
  <c r="H36" i="6"/>
  <c r="H37" i="6" s="1"/>
  <c r="H42" i="6" l="1"/>
  <c r="H35" i="6"/>
  <c r="I12" i="25"/>
  <c r="I13" i="25" s="1"/>
  <c r="H49" i="6"/>
  <c r="G29" i="8"/>
  <c r="G30" i="8" s="1"/>
  <c r="G21" i="8"/>
  <c r="G19" i="8"/>
  <c r="G33" i="8" l="1"/>
  <c r="G41" i="8"/>
  <c r="H15" i="25" s="1"/>
  <c r="H48" i="6"/>
  <c r="H56" i="6"/>
  <c r="H39" i="6"/>
  <c r="G22" i="8"/>
  <c r="H18" i="8" s="1"/>
  <c r="H44" i="6"/>
  <c r="H45" i="6"/>
  <c r="I24" i="6" s="1"/>
  <c r="I27" i="6" l="1"/>
  <c r="I28" i="6"/>
  <c r="I26" i="6" s="1"/>
  <c r="H50" i="6"/>
  <c r="H52" i="6" s="1"/>
  <c r="I16" i="25"/>
  <c r="H58" i="6"/>
  <c r="I32" i="19"/>
  <c r="H18" i="25"/>
  <c r="H21" i="25" s="1"/>
  <c r="H57" i="6"/>
  <c r="I38" i="4" s="1"/>
  <c r="I40" i="4" s="1"/>
  <c r="G38" i="8"/>
  <c r="G36" i="8"/>
  <c r="I37" i="19" l="1"/>
  <c r="I45" i="19" s="1"/>
  <c r="I47" i="19" s="1"/>
  <c r="G39" i="8"/>
  <c r="H35" i="8" s="1"/>
  <c r="I42" i="4"/>
  <c r="I45" i="4"/>
  <c r="J42" i="19" s="1"/>
  <c r="J43" i="19" s="1"/>
  <c r="I43" i="4"/>
  <c r="H10" i="8"/>
  <c r="H13" i="8" s="1"/>
  <c r="I33" i="6"/>
  <c r="I30" i="6"/>
  <c r="H50" i="25"/>
  <c r="H52" i="25" s="1"/>
  <c r="H37" i="25"/>
  <c r="H38" i="25" s="1"/>
  <c r="H43" i="25"/>
  <c r="H45" i="25" s="1"/>
  <c r="H27" i="25"/>
  <c r="H28" i="25" s="1"/>
  <c r="H29" i="25" s="1"/>
  <c r="I25" i="25" s="1"/>
  <c r="H57" i="25"/>
  <c r="H59" i="25" s="1"/>
  <c r="I36" i="6" l="1"/>
  <c r="I26" i="25"/>
  <c r="H16" i="8"/>
  <c r="H28" i="8"/>
  <c r="I49" i="6" l="1"/>
  <c r="J12" i="25"/>
  <c r="J13" i="25" s="1"/>
  <c r="I37" i="6"/>
  <c r="H21" i="8"/>
  <c r="H19" i="8"/>
  <c r="I42" i="6" l="1"/>
  <c r="I35" i="6"/>
  <c r="H22" i="8"/>
  <c r="I18" i="8" s="1"/>
  <c r="H24" i="8"/>
  <c r="I56" i="6" l="1"/>
  <c r="I48" i="6"/>
  <c r="H29" i="8"/>
  <c r="H30" i="8" s="1"/>
  <c r="I39" i="6"/>
  <c r="I44" i="6"/>
  <c r="I45" i="6"/>
  <c r="J24" i="6" s="1"/>
  <c r="J27" i="6" l="1"/>
  <c r="H33" i="8"/>
  <c r="I50" i="6"/>
  <c r="I52" i="6" s="1"/>
  <c r="J16" i="25"/>
  <c r="I57" i="6"/>
  <c r="J38" i="4" s="1"/>
  <c r="J40" i="4" s="1"/>
  <c r="I58" i="6"/>
  <c r="J28" i="6" l="1"/>
  <c r="H38" i="8"/>
  <c r="H36" i="8"/>
  <c r="J42" i="4"/>
  <c r="J43" i="4"/>
  <c r="J45" i="4" s="1"/>
  <c r="K42" i="19" s="1"/>
  <c r="K43" i="19" s="1"/>
  <c r="I10" i="8"/>
  <c r="I13" i="8" s="1"/>
  <c r="J33" i="6" l="1"/>
  <c r="J26" i="6"/>
  <c r="J30" i="6" s="1"/>
  <c r="H41" i="8"/>
  <c r="I15" i="25" s="1"/>
  <c r="H39" i="8"/>
  <c r="I35" i="8" s="1"/>
  <c r="I28" i="8"/>
  <c r="I16" i="8"/>
  <c r="J36" i="6" l="1"/>
  <c r="J37" i="6" s="1"/>
  <c r="I21" i="8"/>
  <c r="I19" i="8"/>
  <c r="J32" i="19"/>
  <c r="I18" i="25"/>
  <c r="I21" i="25" s="1"/>
  <c r="J42" i="6" l="1"/>
  <c r="J35" i="6"/>
  <c r="I22" i="8"/>
  <c r="J18" i="8" s="1"/>
  <c r="J20" i="8"/>
  <c r="I24" i="8"/>
  <c r="I27" i="25"/>
  <c r="I28" i="25" s="1"/>
  <c r="I29" i="25" s="1"/>
  <c r="J25" i="25" s="1"/>
  <c r="I50" i="25"/>
  <c r="I52" i="25" s="1"/>
  <c r="I43" i="25"/>
  <c r="I45" i="25" s="1"/>
  <c r="I57" i="25"/>
  <c r="I59" i="25" s="1"/>
  <c r="I37" i="25"/>
  <c r="I38" i="25" s="1"/>
  <c r="K12" i="25"/>
  <c r="K13" i="25" s="1"/>
  <c r="J49" i="6"/>
  <c r="J37" i="19"/>
  <c r="J45" i="19" s="1"/>
  <c r="J47" i="19" s="1"/>
  <c r="I29" i="8" l="1"/>
  <c r="I30" i="8" s="1"/>
  <c r="J56" i="6"/>
  <c r="J48" i="6"/>
  <c r="J39" i="6"/>
  <c r="J26" i="25"/>
  <c r="J44" i="6"/>
  <c r="J45" i="6"/>
  <c r="K24" i="6" s="1"/>
  <c r="I33" i="8" l="1"/>
  <c r="J57" i="6"/>
  <c r="K38" i="4" s="1"/>
  <c r="K40" i="4" s="1"/>
  <c r="J50" i="6"/>
  <c r="J52" i="6" s="1"/>
  <c r="K16" i="25"/>
  <c r="K28" i="6"/>
  <c r="K27" i="6"/>
  <c r="K33" i="6" l="1"/>
  <c r="K42" i="4"/>
  <c r="J10" i="8"/>
  <c r="J13" i="8" s="1"/>
  <c r="K43" i="4"/>
  <c r="K45" i="4"/>
  <c r="L42" i="19" s="1"/>
  <c r="L43" i="19" s="1"/>
  <c r="J58" i="6"/>
  <c r="I36" i="8"/>
  <c r="I38" i="8"/>
  <c r="K26" i="6"/>
  <c r="K30" i="6" s="1"/>
  <c r="J28" i="8" l="1"/>
  <c r="J16" i="8"/>
  <c r="I41" i="8"/>
  <c r="J15" i="25" s="1"/>
  <c r="I39" i="8"/>
  <c r="J35" i="8" s="1"/>
  <c r="K36" i="6"/>
  <c r="J19" i="8" l="1"/>
  <c r="J21" i="8"/>
  <c r="L12" i="25"/>
  <c r="L13" i="25" s="1"/>
  <c r="K49" i="6"/>
  <c r="K37" i="6"/>
  <c r="J18" i="25"/>
  <c r="J21" i="25" s="1"/>
  <c r="K32" i="19"/>
  <c r="K42" i="6" l="1"/>
  <c r="K35" i="6"/>
  <c r="K20" i="8"/>
  <c r="J24" i="8"/>
  <c r="K37" i="19"/>
  <c r="K45" i="19" s="1"/>
  <c r="K47" i="19" s="1"/>
  <c r="J22" i="8"/>
  <c r="K18" i="8" s="1"/>
  <c r="J27" i="25"/>
  <c r="J28" i="25" s="1"/>
  <c r="J29" i="25" s="1"/>
  <c r="K25" i="25" s="1"/>
  <c r="J37" i="25"/>
  <c r="J38" i="25" s="1"/>
  <c r="J43" i="25"/>
  <c r="J45" i="25" s="1"/>
  <c r="J57" i="25"/>
  <c r="J59" i="25" s="1"/>
  <c r="J50" i="25"/>
  <c r="J52" i="25" s="1"/>
  <c r="K26" i="25" l="1"/>
  <c r="K48" i="6"/>
  <c r="K56" i="6"/>
  <c r="J29" i="8"/>
  <c r="J30" i="8" s="1"/>
  <c r="K44" i="6"/>
  <c r="K45" i="6"/>
  <c r="L24" i="6" s="1"/>
  <c r="K39" i="6"/>
  <c r="J33" i="8" l="1"/>
  <c r="K50" i="6"/>
  <c r="K52" i="6" s="1"/>
  <c r="L16" i="25"/>
  <c r="K57" i="6"/>
  <c r="L38" i="4" s="1"/>
  <c r="L40" i="4" s="1"/>
  <c r="K58" i="6"/>
  <c r="L27" i="6"/>
  <c r="L42" i="4" l="1"/>
  <c r="K10" i="8"/>
  <c r="K13" i="8" s="1"/>
  <c r="J36" i="8"/>
  <c r="J38" i="8"/>
  <c r="L28" i="6"/>
  <c r="K28" i="8" l="1"/>
  <c r="K16" i="8"/>
  <c r="J39" i="8"/>
  <c r="K35" i="8" s="1"/>
  <c r="L33" i="6"/>
  <c r="L30" i="6"/>
  <c r="L26" i="6"/>
  <c r="L43" i="4"/>
  <c r="L45" i="4" s="1"/>
  <c r="M42" i="19" s="1"/>
  <c r="M43" i="19" s="1"/>
  <c r="J41" i="8"/>
  <c r="K15" i="25" s="1"/>
  <c r="K19" i="8" l="1"/>
  <c r="K21" i="8"/>
  <c r="K18" i="25"/>
  <c r="K21" i="25" s="1"/>
  <c r="L32" i="19"/>
  <c r="L36" i="6"/>
  <c r="K22" i="8" l="1"/>
  <c r="L18" i="8" s="1"/>
  <c r="L37" i="19"/>
  <c r="L45" i="19" s="1"/>
  <c r="L47" i="19" s="1"/>
  <c r="L20" i="8"/>
  <c r="K24" i="8"/>
  <c r="K27" i="25"/>
  <c r="K28" i="25" s="1"/>
  <c r="K29" i="25" s="1"/>
  <c r="L25" i="25" s="1"/>
  <c r="K37" i="25"/>
  <c r="K38" i="25" s="1"/>
  <c r="K43" i="25"/>
  <c r="K45" i="25" s="1"/>
  <c r="K57" i="25"/>
  <c r="K59" i="25" s="1"/>
  <c r="K50" i="25"/>
  <c r="K52" i="25" s="1"/>
  <c r="L49" i="6"/>
  <c r="M12" i="25"/>
  <c r="M13" i="25" s="1"/>
  <c r="L37" i="6"/>
  <c r="L26" i="25" l="1"/>
  <c r="K29" i="8"/>
  <c r="K30" i="8" s="1"/>
  <c r="L42" i="6"/>
  <c r="L39" i="6"/>
  <c r="L35" i="6"/>
  <c r="K33" i="8" l="1"/>
  <c r="L44" i="6"/>
  <c r="L45" i="6"/>
  <c r="M24" i="6" s="1"/>
  <c r="L56" i="6"/>
  <c r="L48" i="6"/>
  <c r="L50" i="6" l="1"/>
  <c r="L52" i="6" s="1"/>
  <c r="M16" i="25"/>
  <c r="L57" i="6"/>
  <c r="M38" i="4" s="1"/>
  <c r="M40" i="4" s="1"/>
  <c r="M27" i="6"/>
  <c r="K38" i="8"/>
  <c r="K36" i="8"/>
  <c r="M28" i="6" l="1"/>
  <c r="M42" i="4"/>
  <c r="M43" i="4" s="1"/>
  <c r="M45" i="4" s="1"/>
  <c r="N42" i="19" s="1"/>
  <c r="N43" i="19" s="1"/>
  <c r="L10" i="8"/>
  <c r="L13" i="8" s="1"/>
  <c r="K39" i="8"/>
  <c r="L35" i="8" s="1"/>
  <c r="K41" i="8"/>
  <c r="L15" i="25" s="1"/>
  <c r="L58" i="6"/>
  <c r="L18" i="25" l="1"/>
  <c r="L21" i="25" s="1"/>
  <c r="M32" i="19"/>
  <c r="M33" i="6"/>
  <c r="M26" i="6"/>
  <c r="M30" i="6" s="1"/>
  <c r="L28" i="8"/>
  <c r="L16" i="8"/>
  <c r="M37" i="19" l="1"/>
  <c r="M45" i="19" s="1"/>
  <c r="M47" i="19" s="1"/>
  <c r="L27" i="25"/>
  <c r="L28" i="25" s="1"/>
  <c r="L29" i="25" s="1"/>
  <c r="M25" i="25" s="1"/>
  <c r="L37" i="25"/>
  <c r="L38" i="25" s="1"/>
  <c r="L43" i="25"/>
  <c r="L45" i="25" s="1"/>
  <c r="L57" i="25"/>
  <c r="L59" i="25" s="1"/>
  <c r="L50" i="25"/>
  <c r="L52" i="25" s="1"/>
  <c r="M36" i="6"/>
  <c r="M37" i="6"/>
  <c r="M35" i="6" s="1"/>
  <c r="L19" i="8"/>
  <c r="L21" i="8"/>
  <c r="M48" i="6" l="1"/>
  <c r="M56" i="6"/>
  <c r="L22" i="8"/>
  <c r="M18" i="8" s="1"/>
  <c r="M20" i="8"/>
  <c r="L24" i="8"/>
  <c r="M26" i="25"/>
  <c r="M42" i="6"/>
  <c r="M39" i="6"/>
  <c r="M49" i="6"/>
  <c r="N12" i="25"/>
  <c r="N13" i="25" s="1"/>
  <c r="M44" i="6" l="1"/>
  <c r="M45" i="6"/>
  <c r="N24" i="6" s="1"/>
  <c r="L29" i="8"/>
  <c r="L30" i="8" s="1"/>
  <c r="M50" i="6"/>
  <c r="M52" i="6" s="1"/>
  <c r="N16" i="25"/>
  <c r="N27" i="6" l="1"/>
  <c r="L33" i="8"/>
  <c r="M57" i="6"/>
  <c r="N38" i="4" l="1"/>
  <c r="N40" i="4" s="1"/>
  <c r="M58" i="6"/>
  <c r="L38" i="8"/>
  <c r="L36" i="8"/>
  <c r="N28" i="6"/>
  <c r="L39" i="8" l="1"/>
  <c r="M35" i="8" s="1"/>
  <c r="L41" i="8"/>
  <c r="M15" i="25" s="1"/>
  <c r="N33" i="6"/>
  <c r="N26" i="6"/>
  <c r="N30" i="6" s="1"/>
  <c r="N42" i="4"/>
  <c r="N43" i="4"/>
  <c r="N45" i="4" s="1"/>
  <c r="O42" i="19" s="1"/>
  <c r="O43" i="19" s="1"/>
  <c r="M10" i="8"/>
  <c r="M13" i="8" s="1"/>
  <c r="M18" i="25" l="1"/>
  <c r="M21" i="25" s="1"/>
  <c r="N32" i="19"/>
  <c r="N36" i="6"/>
  <c r="N37" i="6"/>
  <c r="M16" i="8"/>
  <c r="M28" i="8"/>
  <c r="N42" i="6" l="1"/>
  <c r="N37" i="19"/>
  <c r="N45" i="19" s="1"/>
  <c r="N47" i="19" s="1"/>
  <c r="N35" i="6"/>
  <c r="O12" i="25"/>
  <c r="O13" i="25" s="1"/>
  <c r="N49" i="6"/>
  <c r="M27" i="25"/>
  <c r="M28" i="25" s="1"/>
  <c r="M29" i="25" s="1"/>
  <c r="N25" i="25" s="1"/>
  <c r="M37" i="25"/>
  <c r="M38" i="25" s="1"/>
  <c r="M43" i="25"/>
  <c r="M45" i="25" s="1"/>
  <c r="M57" i="25"/>
  <c r="M59" i="25" s="1"/>
  <c r="M50" i="25"/>
  <c r="M52" i="25" s="1"/>
  <c r="M19" i="8"/>
  <c r="M21" i="8"/>
  <c r="M22" i="8" l="1"/>
  <c r="N18" i="8" s="1"/>
  <c r="N20" i="8"/>
  <c r="M24" i="8"/>
  <c r="N48" i="6"/>
  <c r="N56" i="6"/>
  <c r="N39" i="6"/>
  <c r="N26" i="25"/>
  <c r="N44" i="6"/>
  <c r="N45" i="6"/>
  <c r="O24" i="6" s="1"/>
  <c r="N57" i="6" l="1"/>
  <c r="O38" i="4" s="1"/>
  <c r="O40" i="4" s="1"/>
  <c r="M29" i="8"/>
  <c r="M30" i="8" s="1"/>
  <c r="O27" i="6"/>
  <c r="O28" i="6"/>
  <c r="N58" i="6"/>
  <c r="N50" i="6"/>
  <c r="N52" i="6" s="1"/>
  <c r="O16" i="25"/>
  <c r="O33" i="6" l="1"/>
  <c r="M33" i="8"/>
  <c r="O26" i="6"/>
  <c r="O30" i="6" s="1"/>
  <c r="O42" i="4"/>
  <c r="O45" i="4" s="1"/>
  <c r="P42" i="19" s="1"/>
  <c r="P43" i="19" s="1"/>
  <c r="O43" i="4"/>
  <c r="N10" i="8"/>
  <c r="N13" i="8" s="1"/>
  <c r="M36" i="8" l="1"/>
  <c r="M38" i="8"/>
  <c r="N16" i="8"/>
  <c r="N28" i="8"/>
  <c r="O36" i="6"/>
  <c r="O49" i="6" l="1"/>
  <c r="P12" i="25"/>
  <c r="P13" i="25" s="1"/>
  <c r="M41" i="8"/>
  <c r="N15" i="25" s="1"/>
  <c r="O37" i="6"/>
  <c r="N21" i="8"/>
  <c r="N19" i="8"/>
  <c r="M39" i="8"/>
  <c r="N35" i="8" s="1"/>
  <c r="O20" i="8" l="1"/>
  <c r="N24" i="8"/>
  <c r="N18" i="25"/>
  <c r="N21" i="25" s="1"/>
  <c r="O32" i="19"/>
  <c r="N22" i="8"/>
  <c r="O18" i="8" s="1"/>
  <c r="O42" i="6"/>
  <c r="O35" i="6"/>
  <c r="O48" i="6" l="1"/>
  <c r="O56" i="6"/>
  <c r="N29" i="8"/>
  <c r="N30" i="8" s="1"/>
  <c r="O37" i="19"/>
  <c r="O45" i="19" s="1"/>
  <c r="O47" i="19" s="1"/>
  <c r="O39" i="6"/>
  <c r="O45" i="6"/>
  <c r="P24" i="6" s="1"/>
  <c r="O44" i="6"/>
  <c r="N50" i="25"/>
  <c r="N52" i="25" s="1"/>
  <c r="N27" i="25"/>
  <c r="N28" i="25" s="1"/>
  <c r="N29" i="25" s="1"/>
  <c r="O25" i="25" s="1"/>
  <c r="N37" i="25"/>
  <c r="N38" i="25" s="1"/>
  <c r="N43" i="25"/>
  <c r="N45" i="25" s="1"/>
  <c r="N57" i="25"/>
  <c r="N59" i="25" s="1"/>
  <c r="N33" i="8" l="1"/>
  <c r="O26" i="25"/>
  <c r="O57" i="6"/>
  <c r="P38" i="4" s="1"/>
  <c r="P40" i="4" s="1"/>
  <c r="O58" i="6"/>
  <c r="P26" i="6"/>
  <c r="P27" i="6"/>
  <c r="P28" i="6"/>
  <c r="O50" i="6"/>
  <c r="O52" i="6" s="1"/>
  <c r="P16" i="25"/>
  <c r="P42" i="4" l="1"/>
  <c r="O10" i="8"/>
  <c r="O13" i="8" s="1"/>
  <c r="P30" i="6"/>
  <c r="P33" i="6"/>
  <c r="N38" i="8"/>
  <c r="N36" i="8"/>
  <c r="P36" i="6" l="1"/>
  <c r="P37" i="6"/>
  <c r="O16" i="8"/>
  <c r="O28" i="8"/>
  <c r="N39" i="8"/>
  <c r="O35" i="8" s="1"/>
  <c r="P43" i="4"/>
  <c r="P45" i="4" s="1"/>
  <c r="Q42" i="19" s="1"/>
  <c r="Q43" i="19" s="1"/>
  <c r="N41" i="8"/>
  <c r="O15" i="25" s="1"/>
  <c r="P42" i="6" l="1"/>
  <c r="O18" i="25"/>
  <c r="O21" i="25" s="1"/>
  <c r="P32" i="19"/>
  <c r="P35" i="6"/>
  <c r="Q12" i="25"/>
  <c r="Q13" i="25" s="1"/>
  <c r="P49" i="6"/>
  <c r="O21" i="8"/>
  <c r="O19" i="8"/>
  <c r="O22" i="8" l="1"/>
  <c r="P18" i="8" s="1"/>
  <c r="P48" i="6"/>
  <c r="P56" i="6"/>
  <c r="P20" i="8"/>
  <c r="O24" i="8"/>
  <c r="P44" i="6"/>
  <c r="P45" i="6"/>
  <c r="Q24" i="6" s="1"/>
  <c r="P37" i="19"/>
  <c r="P45" i="19" s="1"/>
  <c r="P47" i="19" s="1"/>
  <c r="P39" i="6"/>
  <c r="O50" i="25"/>
  <c r="O52" i="25" s="1"/>
  <c r="O27" i="25"/>
  <c r="O28" i="25" s="1"/>
  <c r="O29" i="25" s="1"/>
  <c r="P25" i="25" s="1"/>
  <c r="O37" i="25"/>
  <c r="O38" i="25" s="1"/>
  <c r="O43" i="25"/>
  <c r="O45" i="25" s="1"/>
  <c r="O57" i="25"/>
  <c r="O59" i="25" s="1"/>
  <c r="P57" i="6" l="1"/>
  <c r="Q38" i="4" s="1"/>
  <c r="Q40" i="4" s="1"/>
  <c r="P50" i="6"/>
  <c r="P52" i="6" s="1"/>
  <c r="Q16" i="25"/>
  <c r="Q27" i="6"/>
  <c r="Q28" i="6" s="1"/>
  <c r="P58" i="6"/>
  <c r="O29" i="8"/>
  <c r="O30" i="8" s="1"/>
  <c r="P26" i="25"/>
  <c r="Q33" i="6" l="1"/>
  <c r="Q26" i="6"/>
  <c r="Q30" i="6" s="1"/>
  <c r="Q42" i="4"/>
  <c r="Q43" i="4" s="1"/>
  <c r="P10" i="8"/>
  <c r="P13" i="8" s="1"/>
  <c r="O33" i="8"/>
  <c r="P16" i="8" l="1"/>
  <c r="P28" i="8"/>
  <c r="Q45" i="4"/>
  <c r="R42" i="19" s="1"/>
  <c r="R43" i="19" s="1"/>
  <c r="O36" i="8"/>
  <c r="O38" i="8"/>
  <c r="Q37" i="6"/>
  <c r="Q36" i="6"/>
  <c r="Q42" i="6" l="1"/>
  <c r="Q35" i="6"/>
  <c r="O41" i="8"/>
  <c r="P15" i="25" s="1"/>
  <c r="O39" i="8"/>
  <c r="P35" i="8" s="1"/>
  <c r="R12" i="25"/>
  <c r="R13" i="25" s="1"/>
  <c r="Q49" i="6"/>
  <c r="P21" i="8"/>
  <c r="P19" i="8"/>
  <c r="Q56" i="6" l="1"/>
  <c r="Q48" i="6"/>
  <c r="Q20" i="8"/>
  <c r="P24" i="8"/>
  <c r="Q45" i="6"/>
  <c r="R24" i="6" s="1"/>
  <c r="Q44" i="6"/>
  <c r="P22" i="8"/>
  <c r="Q18" i="8" s="1"/>
  <c r="P18" i="25"/>
  <c r="P21" i="25" s="1"/>
  <c r="Q32" i="19"/>
  <c r="Q39" i="6"/>
  <c r="P50" i="25" l="1"/>
  <c r="P52" i="25" s="1"/>
  <c r="P27" i="25"/>
  <c r="P28" i="25" s="1"/>
  <c r="P29" i="25" s="1"/>
  <c r="Q25" i="25" s="1"/>
  <c r="P37" i="25"/>
  <c r="P38" i="25" s="1"/>
  <c r="P57" i="25"/>
  <c r="P59" i="25" s="1"/>
  <c r="P43" i="25"/>
  <c r="P45" i="25" s="1"/>
  <c r="Q37" i="19"/>
  <c r="Q45" i="19" s="1"/>
  <c r="Q47" i="19" s="1"/>
  <c r="Q58" i="6"/>
  <c r="Q57" i="6"/>
  <c r="R38" i="4" s="1"/>
  <c r="R40" i="4" s="1"/>
  <c r="R27" i="6"/>
  <c r="R28" i="6" s="1"/>
  <c r="P29" i="8"/>
  <c r="P30" i="8" s="1"/>
  <c r="Q50" i="6"/>
  <c r="Q52" i="6" s="1"/>
  <c r="R16" i="25"/>
  <c r="R30" i="6" l="1"/>
  <c r="R33" i="6"/>
  <c r="B20" i="6"/>
  <c r="R26" i="6"/>
  <c r="P33" i="8"/>
  <c r="R45" i="4"/>
  <c r="S42" i="19" s="1"/>
  <c r="S43" i="19" s="1"/>
  <c r="R43" i="4"/>
  <c r="Q10" i="8"/>
  <c r="Q13" i="8" s="1"/>
  <c r="R42" i="4"/>
  <c r="Q26" i="25"/>
  <c r="P38" i="8" l="1"/>
  <c r="P36" i="8"/>
  <c r="Q28" i="8"/>
  <c r="Q16" i="8"/>
  <c r="R36" i="6"/>
  <c r="R52" i="6"/>
  <c r="S12" i="25" l="1"/>
  <c r="S13" i="25" s="1"/>
  <c r="R49" i="6"/>
  <c r="Q21" i="8"/>
  <c r="Q19" i="8"/>
  <c r="P39" i="8"/>
  <c r="Q35" i="8" s="1"/>
  <c r="R37" i="6"/>
  <c r="Q37" i="8"/>
  <c r="P41" i="8"/>
  <c r="Q15" i="25" s="1"/>
  <c r="R20" i="8" l="1"/>
  <c r="Q24" i="8"/>
  <c r="Q18" i="25"/>
  <c r="Q21" i="25" s="1"/>
  <c r="R32" i="19"/>
  <c r="Q22" i="8"/>
  <c r="R18" i="8" s="1"/>
  <c r="R42" i="6"/>
  <c r="R39" i="6"/>
  <c r="R35" i="6"/>
  <c r="Q29" i="8" l="1"/>
  <c r="Q30" i="8" s="1"/>
  <c r="Q27" i="25"/>
  <c r="Q28" i="25" s="1"/>
  <c r="Q29" i="25" s="1"/>
  <c r="R25" i="25" s="1"/>
  <c r="Q50" i="25"/>
  <c r="Q52" i="25" s="1"/>
  <c r="Q37" i="25"/>
  <c r="Q38" i="25" s="1"/>
  <c r="Q57" i="25"/>
  <c r="Q59" i="25" s="1"/>
  <c r="Q43" i="25"/>
  <c r="Q45" i="25" s="1"/>
  <c r="R56" i="6"/>
  <c r="R48" i="6"/>
  <c r="R45" i="6"/>
  <c r="S24" i="6" s="1"/>
  <c r="R44" i="6"/>
  <c r="R37" i="19"/>
  <c r="R45" i="19" s="1"/>
  <c r="R47" i="19" s="1"/>
  <c r="R26" i="25" l="1"/>
  <c r="S27" i="6"/>
  <c r="S28" i="6" s="1"/>
  <c r="Q33" i="8"/>
  <c r="R57" i="6"/>
  <c r="S38" i="4" s="1"/>
  <c r="S40" i="4" s="1"/>
  <c r="R50" i="6"/>
  <c r="S16" i="25"/>
  <c r="S33" i="6" l="1"/>
  <c r="S30" i="6"/>
  <c r="S26" i="6"/>
  <c r="Q38" i="8"/>
  <c r="Q36" i="8"/>
  <c r="S42" i="4"/>
  <c r="R10" i="8"/>
  <c r="R13" i="8" s="1"/>
  <c r="R58" i="6"/>
  <c r="Q39" i="8" l="1"/>
  <c r="R35" i="8" s="1"/>
  <c r="R28" i="8"/>
  <c r="R16" i="8"/>
  <c r="R37" i="8"/>
  <c r="Q41" i="8"/>
  <c r="R15" i="25" s="1"/>
  <c r="S43" i="4"/>
  <c r="S45" i="4" s="1"/>
  <c r="T42" i="19" s="1"/>
  <c r="T43" i="19" s="1"/>
  <c r="S52" i="6"/>
  <c r="S37" i="6"/>
  <c r="S36" i="6"/>
  <c r="R21" i="8" l="1"/>
  <c r="R19" i="8"/>
  <c r="R18" i="25"/>
  <c r="R21" i="25" s="1"/>
  <c r="S32" i="19"/>
  <c r="S39" i="6"/>
  <c r="S42" i="6"/>
  <c r="S35" i="6"/>
  <c r="S49" i="6"/>
  <c r="T12" i="25"/>
  <c r="T13" i="25" s="1"/>
  <c r="R22" i="8" l="1"/>
  <c r="S18" i="8" s="1"/>
  <c r="S44" i="6"/>
  <c r="S45" i="6"/>
  <c r="T24" i="6" s="1"/>
  <c r="R27" i="25"/>
  <c r="R28" i="25" s="1"/>
  <c r="R29" i="25" s="1"/>
  <c r="S25" i="25" s="1"/>
  <c r="R43" i="25"/>
  <c r="R45" i="25" s="1"/>
  <c r="R57" i="25"/>
  <c r="R59" i="25" s="1"/>
  <c r="R50" i="25"/>
  <c r="R52" i="25" s="1"/>
  <c r="R37" i="25"/>
  <c r="R38" i="25" s="1"/>
  <c r="S20" i="8"/>
  <c r="R24" i="8"/>
  <c r="S37" i="19"/>
  <c r="S45" i="19" s="1"/>
  <c r="S47" i="19" s="1"/>
  <c r="S56" i="6"/>
  <c r="S48" i="6"/>
  <c r="T27" i="6" l="1"/>
  <c r="T28" i="6"/>
  <c r="T26" i="6"/>
  <c r="S50" i="6"/>
  <c r="T16" i="25"/>
  <c r="S26" i="25"/>
  <c r="R29" i="8"/>
  <c r="R30" i="8" s="1"/>
  <c r="S57" i="6"/>
  <c r="T38" i="4" s="1"/>
  <c r="T40" i="4" s="1"/>
  <c r="T42" i="4" l="1"/>
  <c r="T43" i="4"/>
  <c r="S10" i="8"/>
  <c r="S13" i="8" s="1"/>
  <c r="T45" i="4"/>
  <c r="U42" i="19" s="1"/>
  <c r="U43" i="19" s="1"/>
  <c r="R33" i="8"/>
  <c r="T30" i="6"/>
  <c r="T33" i="6"/>
  <c r="S58" i="6"/>
  <c r="R36" i="8" l="1"/>
  <c r="R38" i="8"/>
  <c r="S28" i="8"/>
  <c r="S16" i="8"/>
  <c r="T36" i="6"/>
  <c r="T52" i="6"/>
  <c r="U12" i="25" l="1"/>
  <c r="U13" i="25" s="1"/>
  <c r="T49" i="6"/>
  <c r="S37" i="8"/>
  <c r="R41" i="8"/>
  <c r="S15" i="25" s="1"/>
  <c r="S19" i="8"/>
  <c r="S21" i="8"/>
  <c r="T37" i="6"/>
  <c r="R39" i="8"/>
  <c r="S35" i="8" s="1"/>
  <c r="T20" i="8" l="1"/>
  <c r="S24" i="8"/>
  <c r="S22" i="8"/>
  <c r="S18" i="25"/>
  <c r="S21" i="25" s="1"/>
  <c r="T32" i="19"/>
  <c r="T42" i="6"/>
  <c r="T39" i="6"/>
  <c r="T35" i="6"/>
  <c r="T56" i="6" l="1"/>
  <c r="T48" i="6"/>
  <c r="S29" i="8"/>
  <c r="S30" i="8" s="1"/>
  <c r="T37" i="19"/>
  <c r="T45" i="19" s="1"/>
  <c r="T47" i="19" s="1"/>
  <c r="T44" i="6"/>
  <c r="T45" i="6"/>
  <c r="U24" i="6" s="1"/>
  <c r="S27" i="25"/>
  <c r="S28" i="25" s="1"/>
  <c r="S29" i="25" s="1"/>
  <c r="T25" i="25" s="1"/>
  <c r="S37" i="25"/>
  <c r="S38" i="25" s="1"/>
  <c r="S43" i="25"/>
  <c r="S45" i="25" s="1"/>
  <c r="S57" i="25"/>
  <c r="S59" i="25" s="1"/>
  <c r="S50" i="25"/>
  <c r="S52" i="25" s="1"/>
  <c r="T57" i="6" l="1"/>
  <c r="U38" i="4" s="1"/>
  <c r="U40" i="4" s="1"/>
  <c r="S33" i="8"/>
  <c r="U27" i="6"/>
  <c r="U28" i="6" s="1"/>
  <c r="T50" i="6"/>
  <c r="U16" i="25"/>
  <c r="T26" i="25"/>
  <c r="T58" i="6"/>
  <c r="U33" i="6" l="1"/>
  <c r="U30" i="6"/>
  <c r="U26" i="6"/>
  <c r="U42" i="4"/>
  <c r="U43" i="4" s="1"/>
  <c r="U45" i="4" s="1"/>
  <c r="V42" i="19" s="1"/>
  <c r="V43" i="19" s="1"/>
  <c r="T10" i="8"/>
  <c r="T13" i="8" s="1"/>
  <c r="S38" i="8"/>
  <c r="S36" i="8"/>
  <c r="S39" i="8" s="1"/>
  <c r="T28" i="8" l="1"/>
  <c r="T16" i="8"/>
  <c r="T37" i="8"/>
  <c r="S41" i="8"/>
  <c r="T15" i="25" s="1"/>
  <c r="U36" i="6"/>
  <c r="U37" i="6"/>
  <c r="U52" i="6"/>
  <c r="U35" i="6"/>
  <c r="U48" i="6" l="1"/>
  <c r="U56" i="6"/>
  <c r="T19" i="8"/>
  <c r="T21" i="8"/>
  <c r="U49" i="6"/>
  <c r="V12" i="25"/>
  <c r="V13" i="25" s="1"/>
  <c r="U42" i="6"/>
  <c r="U39" i="6"/>
  <c r="T18" i="25"/>
  <c r="T21" i="25" s="1"/>
  <c r="U32" i="19"/>
  <c r="U20" i="8" l="1"/>
  <c r="T24" i="8"/>
  <c r="T22" i="8"/>
  <c r="U18" i="8" s="1"/>
  <c r="U37" i="19"/>
  <c r="U45" i="19" s="1"/>
  <c r="U47" i="19" s="1"/>
  <c r="T37" i="25"/>
  <c r="T38" i="25" s="1"/>
  <c r="T43" i="25"/>
  <c r="T45" i="25" s="1"/>
  <c r="T57" i="25"/>
  <c r="T59" i="25" s="1"/>
  <c r="T50" i="25"/>
  <c r="T52" i="25" s="1"/>
  <c r="T27" i="25"/>
  <c r="T28" i="25" s="1"/>
  <c r="T29" i="25" s="1"/>
  <c r="U25" i="25" s="1"/>
  <c r="U44" i="6"/>
  <c r="U45" i="6"/>
  <c r="V24" i="6" s="1"/>
  <c r="U50" i="6"/>
  <c r="V16" i="25"/>
  <c r="T29" i="8" l="1"/>
  <c r="T30" i="8" s="1"/>
  <c r="U26" i="25"/>
  <c r="V27" i="6"/>
  <c r="U57" i="6"/>
  <c r="T33" i="8" l="1"/>
  <c r="V28" i="6"/>
  <c r="V38" i="4"/>
  <c r="V40" i="4" s="1"/>
  <c r="U58" i="6"/>
  <c r="V42" i="4" l="1"/>
  <c r="V43" i="4"/>
  <c r="V45" i="4" s="1"/>
  <c r="W42" i="19" s="1"/>
  <c r="W43" i="19" s="1"/>
  <c r="U10" i="8"/>
  <c r="U13" i="8" s="1"/>
  <c r="T38" i="8"/>
  <c r="T36" i="8"/>
  <c r="T39" i="8" s="1"/>
  <c r="U35" i="8" s="1"/>
  <c r="V33" i="6"/>
  <c r="V30" i="6"/>
  <c r="V26" i="6"/>
  <c r="U37" i="8" l="1"/>
  <c r="T41" i="8"/>
  <c r="U15" i="25" s="1"/>
  <c r="V36" i="6"/>
  <c r="V37" i="6" s="1"/>
  <c r="V52" i="6"/>
  <c r="U28" i="8"/>
  <c r="U16" i="8"/>
  <c r="V42" i="6" l="1"/>
  <c r="V39" i="6"/>
  <c r="V35" i="6"/>
  <c r="U18" i="25"/>
  <c r="U21" i="25" s="1"/>
  <c r="V32" i="19"/>
  <c r="V49" i="6"/>
  <c r="W12" i="25"/>
  <c r="W13" i="25" s="1"/>
  <c r="U19" i="8"/>
  <c r="U21" i="8"/>
  <c r="V48" i="6" l="1"/>
  <c r="V56" i="6"/>
  <c r="U37" i="25"/>
  <c r="U38" i="25" s="1"/>
  <c r="U43" i="25"/>
  <c r="U45" i="25" s="1"/>
  <c r="U57" i="25"/>
  <c r="U59" i="25" s="1"/>
  <c r="U50" i="25"/>
  <c r="U52" i="25" s="1"/>
  <c r="U27" i="25"/>
  <c r="U28" i="25" s="1"/>
  <c r="U29" i="25" s="1"/>
  <c r="V25" i="25" s="1"/>
  <c r="V37" i="19"/>
  <c r="V45" i="19" s="1"/>
  <c r="V47" i="19" s="1"/>
  <c r="V20" i="8"/>
  <c r="U24" i="8"/>
  <c r="U22" i="8"/>
  <c r="V18" i="8" s="1"/>
  <c r="V44" i="6"/>
  <c r="V45" i="6"/>
  <c r="W24" i="6" s="1"/>
  <c r="U29" i="8" l="1"/>
  <c r="U30" i="8" s="1"/>
  <c r="V26" i="25"/>
  <c r="V58" i="6"/>
  <c r="W27" i="6"/>
  <c r="W28" i="6" s="1"/>
  <c r="V57" i="6"/>
  <c r="W38" i="4" s="1"/>
  <c r="W40" i="4" s="1"/>
  <c r="V50" i="6"/>
  <c r="W16" i="25"/>
  <c r="W33" i="6" l="1"/>
  <c r="W26" i="6"/>
  <c r="W30" i="6" s="1"/>
  <c r="U33" i="8"/>
  <c r="W42" i="4"/>
  <c r="V10" i="8"/>
  <c r="V13" i="8" s="1"/>
  <c r="U36" i="8" l="1"/>
  <c r="U38" i="8"/>
  <c r="V28" i="8"/>
  <c r="V16" i="8"/>
  <c r="W43" i="4"/>
  <c r="W45" i="4" s="1"/>
  <c r="X42" i="19" s="1"/>
  <c r="X43" i="19" s="1"/>
  <c r="W37" i="6"/>
  <c r="W36" i="6"/>
  <c r="V21" i="8" l="1"/>
  <c r="V19" i="8"/>
  <c r="V37" i="8"/>
  <c r="U41" i="8"/>
  <c r="V15" i="25" s="1"/>
  <c r="W42" i="6"/>
  <c r="W39" i="6"/>
  <c r="W35" i="6"/>
  <c r="U39" i="8"/>
  <c r="V35" i="8" s="1"/>
  <c r="W49" i="6"/>
  <c r="X12" i="25"/>
  <c r="X13" i="25" s="1"/>
  <c r="V18" i="25" l="1"/>
  <c r="V21" i="25" s="1"/>
  <c r="W32" i="19"/>
  <c r="V22" i="8"/>
  <c r="W18" i="8" s="1"/>
  <c r="W20" i="8"/>
  <c r="V24" i="8"/>
  <c r="W45" i="6"/>
  <c r="X24" i="6" s="1"/>
  <c r="W44" i="6"/>
  <c r="W48" i="6"/>
  <c r="W56" i="6"/>
  <c r="W57" i="6" l="1"/>
  <c r="X38" i="4" s="1"/>
  <c r="X40" i="4" s="1"/>
  <c r="X27" i="6"/>
  <c r="X28" i="6"/>
  <c r="W58" i="6"/>
  <c r="V29" i="8"/>
  <c r="V30" i="8" s="1"/>
  <c r="W50" i="6"/>
  <c r="W52" i="6" s="1"/>
  <c r="X16" i="25"/>
  <c r="W37" i="19"/>
  <c r="W45" i="19" s="1"/>
  <c r="W47" i="19" s="1"/>
  <c r="V50" i="25"/>
  <c r="V52" i="25" s="1"/>
  <c r="V37" i="25"/>
  <c r="V38" i="25" s="1"/>
  <c r="V43" i="25"/>
  <c r="V45" i="25" s="1"/>
  <c r="V57" i="25"/>
  <c r="V59" i="25" s="1"/>
  <c r="V27" i="25"/>
  <c r="V28" i="25" s="1"/>
  <c r="V29" i="25" s="1"/>
  <c r="W25" i="25" s="1"/>
  <c r="X33" i="6" l="1"/>
  <c r="W26" i="25"/>
  <c r="X42" i="4"/>
  <c r="X43" i="4" s="1"/>
  <c r="X45" i="4" s="1"/>
  <c r="Y42" i="19" s="1"/>
  <c r="Y43" i="19" s="1"/>
  <c r="W10" i="8"/>
  <c r="W13" i="8" s="1"/>
  <c r="V33" i="8"/>
  <c r="X26" i="6"/>
  <c r="X30" i="6" s="1"/>
  <c r="W16" i="8" l="1"/>
  <c r="W28" i="8"/>
  <c r="W24" i="8"/>
  <c r="X36" i="6"/>
  <c r="V36" i="8"/>
  <c r="V38" i="8"/>
  <c r="Y12" i="25" l="1"/>
  <c r="Y13" i="25" s="1"/>
  <c r="X49" i="6"/>
  <c r="W37" i="8"/>
  <c r="V41" i="8"/>
  <c r="W15" i="25" s="1"/>
  <c r="W21" i="8"/>
  <c r="W19" i="8"/>
  <c r="X37" i="6"/>
  <c r="W29" i="8"/>
  <c r="W30" i="8" s="1"/>
  <c r="V39" i="8"/>
  <c r="W35" i="8" s="1"/>
  <c r="W33" i="8" l="1"/>
  <c r="W41" i="8"/>
  <c r="X15" i="25" s="1"/>
  <c r="X18" i="25" s="1"/>
  <c r="X21" i="25" s="1"/>
  <c r="W22" i="8"/>
  <c r="X18" i="8" s="1"/>
  <c r="X20" i="8"/>
  <c r="W18" i="25"/>
  <c r="W21" i="25" s="1"/>
  <c r="X32" i="19"/>
  <c r="X42" i="6"/>
  <c r="X35" i="6"/>
  <c r="X48" i="6" l="1"/>
  <c r="X56" i="6"/>
  <c r="Y32" i="19"/>
  <c r="X37" i="19"/>
  <c r="X45" i="19" s="1"/>
  <c r="X47" i="19" s="1"/>
  <c r="X39" i="6"/>
  <c r="X44" i="6"/>
  <c r="X45" i="6"/>
  <c r="Y24" i="6" s="1"/>
  <c r="X27" i="25"/>
  <c r="X50" i="25"/>
  <c r="X52" i="25" s="1"/>
  <c r="X37" i="25"/>
  <c r="X38" i="25" s="1"/>
  <c r="X57" i="25"/>
  <c r="X59" i="25" s="1"/>
  <c r="X43" i="25"/>
  <c r="X45" i="25" s="1"/>
  <c r="W27" i="25"/>
  <c r="W28" i="25" s="1"/>
  <c r="W29" i="25" s="1"/>
  <c r="X25" i="25" s="1"/>
  <c r="W50" i="25"/>
  <c r="W52" i="25" s="1"/>
  <c r="W37" i="25"/>
  <c r="W38" i="25" s="1"/>
  <c r="W57" i="25"/>
  <c r="W59" i="25" s="1"/>
  <c r="W43" i="25"/>
  <c r="W45" i="25" s="1"/>
  <c r="W36" i="8"/>
  <c r="W38" i="8"/>
  <c r="X37" i="8" s="1"/>
  <c r="Y27" i="6" l="1"/>
  <c r="Y28" i="6"/>
  <c r="X57" i="6"/>
  <c r="Y38" i="4" s="1"/>
  <c r="Y40" i="4" s="1"/>
  <c r="X26" i="25"/>
  <c r="X28" i="25" s="1"/>
  <c r="X29" i="25" s="1"/>
  <c r="Y25" i="25" s="1"/>
  <c r="Y37" i="19"/>
  <c r="Y45" i="19" s="1"/>
  <c r="Y47" i="19" s="1"/>
  <c r="W39" i="8"/>
  <c r="X35" i="8" s="1"/>
  <c r="X50" i="6"/>
  <c r="X52" i="6" s="1"/>
  <c r="Y16" i="25"/>
  <c r="Y26" i="25" l="1"/>
  <c r="Y42" i="4"/>
  <c r="Y43" i="4"/>
  <c r="Y45" i="4" s="1"/>
  <c r="Z42" i="19" s="1"/>
  <c r="Z43" i="19" s="1"/>
  <c r="X10" i="8"/>
  <c r="X13" i="8" s="1"/>
  <c r="Y30" i="6"/>
  <c r="Y33" i="6"/>
  <c r="X58" i="6"/>
  <c r="Y26" i="6"/>
  <c r="Y36" i="6" l="1"/>
  <c r="X16" i="8"/>
  <c r="X24" i="8"/>
  <c r="X28" i="8"/>
  <c r="X21" i="8" l="1"/>
  <c r="X19" i="8"/>
  <c r="X29" i="8"/>
  <c r="X30" i="8" s="1"/>
  <c r="Z12" i="25"/>
  <c r="Z13" i="25" s="1"/>
  <c r="Y49" i="6"/>
  <c r="Y37" i="6"/>
  <c r="X33" i="8" l="1"/>
  <c r="X41" i="8"/>
  <c r="Y15" i="25" s="1"/>
  <c r="X22" i="8"/>
  <c r="Y18" i="8" s="1"/>
  <c r="Y42" i="6"/>
  <c r="Y35" i="6"/>
  <c r="Y39" i="6" s="1"/>
  <c r="Y20" i="8"/>
  <c r="Y45" i="6" l="1"/>
  <c r="Z24" i="6" s="1"/>
  <c r="Y44" i="6"/>
  <c r="Z32" i="19"/>
  <c r="Y18" i="25"/>
  <c r="Y21" i="25" s="1"/>
  <c r="Y56" i="6"/>
  <c r="Y48" i="6"/>
  <c r="X36" i="8"/>
  <c r="X39" i="8" s="1"/>
  <c r="Y35" i="8" s="1"/>
  <c r="X38" i="8"/>
  <c r="Y37" i="8" s="1"/>
  <c r="Y27" i="25" l="1"/>
  <c r="Y28" i="25" s="1"/>
  <c r="Y29" i="25" s="1"/>
  <c r="Z25" i="25" s="1"/>
  <c r="Y50" i="25"/>
  <c r="Y52" i="25" s="1"/>
  <c r="Y43" i="25"/>
  <c r="Y45" i="25" s="1"/>
  <c r="Y37" i="25"/>
  <c r="Y38" i="25" s="1"/>
  <c r="Y57" i="25"/>
  <c r="Y59" i="25" s="1"/>
  <c r="Z37" i="19"/>
  <c r="Z45" i="19" s="1"/>
  <c r="Z47" i="19" s="1"/>
  <c r="Y57" i="6"/>
  <c r="Z38" i="4" s="1"/>
  <c r="Z40" i="4" s="1"/>
  <c r="Y50" i="6"/>
  <c r="Y52" i="6" s="1"/>
  <c r="Z16" i="25"/>
  <c r="Z27" i="6"/>
  <c r="Z28" i="6" l="1"/>
  <c r="Z26" i="25"/>
  <c r="Z42" i="4"/>
  <c r="Z43" i="4"/>
  <c r="Z45" i="4" s="1"/>
  <c r="AA42" i="19" s="1"/>
  <c r="AA43" i="19" s="1"/>
  <c r="Y10" i="8"/>
  <c r="Y13" i="8" s="1"/>
  <c r="Y58" i="6"/>
  <c r="Z33" i="6" l="1"/>
  <c r="Z26" i="6"/>
  <c r="Z30" i="6" s="1"/>
  <c r="Y28" i="8"/>
  <c r="Y16" i="8"/>
  <c r="Y24" i="8"/>
  <c r="Y29" i="8" l="1"/>
  <c r="Y21" i="8"/>
  <c r="Y19" i="8"/>
  <c r="Z36" i="6"/>
  <c r="Z37" i="6" s="1"/>
  <c r="Y30" i="8"/>
  <c r="Z42" i="6" l="1"/>
  <c r="Z35" i="6"/>
  <c r="Y41" i="8"/>
  <c r="Z15" i="25" s="1"/>
  <c r="Y33" i="8"/>
  <c r="Z49" i="6"/>
  <c r="AA12" i="25"/>
  <c r="AA13" i="25" s="1"/>
  <c r="Z20" i="8"/>
  <c r="Y22" i="8"/>
  <c r="Z18" i="8" s="1"/>
  <c r="Y38" i="8" l="1"/>
  <c r="Z37" i="8" s="1"/>
  <c r="Y36" i="8"/>
  <c r="Y39" i="8" s="1"/>
  <c r="Z35" i="8" s="1"/>
  <c r="Z56" i="6"/>
  <c r="Z48" i="6"/>
  <c r="AA32" i="19"/>
  <c r="Z18" i="25"/>
  <c r="Z21" i="25" s="1"/>
  <c r="Z45" i="6"/>
  <c r="AA24" i="6" s="1"/>
  <c r="Z44" i="6"/>
  <c r="Z39" i="6"/>
  <c r="Z50" i="6" l="1"/>
  <c r="Z52" i="6" s="1"/>
  <c r="AA16" i="25"/>
  <c r="Z43" i="25"/>
  <c r="Z45" i="25" s="1"/>
  <c r="Z57" i="25"/>
  <c r="Z59" i="25" s="1"/>
  <c r="Z27" i="25"/>
  <c r="Z28" i="25" s="1"/>
  <c r="Z29" i="25" s="1"/>
  <c r="AA25" i="25" s="1"/>
  <c r="Z50" i="25"/>
  <c r="Z52" i="25" s="1"/>
  <c r="Z37" i="25"/>
  <c r="Z38" i="25" s="1"/>
  <c r="Z58" i="6"/>
  <c r="Z57" i="6"/>
  <c r="AA38" i="4" s="1"/>
  <c r="AA40" i="4" s="1"/>
  <c r="AA37" i="19"/>
  <c r="AA45" i="19" s="1"/>
  <c r="AA47" i="19" s="1"/>
  <c r="AA27" i="6"/>
  <c r="AA28" i="6"/>
  <c r="AA26" i="6" s="1"/>
  <c r="AA26" i="25" l="1"/>
  <c r="AA33" i="6"/>
  <c r="AA30" i="6"/>
  <c r="Z10" i="8"/>
  <c r="Z13" i="8" s="1"/>
  <c r="AA42" i="4"/>
  <c r="AA43" i="4" l="1"/>
  <c r="AA45" i="4" s="1"/>
  <c r="AB42" i="19" s="1"/>
  <c r="AB43" i="19" s="1"/>
  <c r="AA36" i="6"/>
  <c r="Z28" i="8"/>
  <c r="Z16" i="8"/>
  <c r="Z24" i="8"/>
  <c r="Z30" i="8" l="1"/>
  <c r="AB12" i="25"/>
  <c r="AB13" i="25" s="1"/>
  <c r="AA49" i="6"/>
  <c r="AA37" i="6"/>
  <c r="Z19" i="8"/>
  <c r="Z22" i="8" s="1"/>
  <c r="AA18" i="8" s="1"/>
  <c r="Z21" i="8"/>
  <c r="Z29" i="8"/>
  <c r="AA42" i="6" l="1"/>
  <c r="AA35" i="6"/>
  <c r="AA20" i="8"/>
  <c r="Z41" i="8"/>
  <c r="AA15" i="25" s="1"/>
  <c r="Z33" i="8"/>
  <c r="AA56" i="6" l="1"/>
  <c r="AA48" i="6"/>
  <c r="Z36" i="8"/>
  <c r="Z38" i="8"/>
  <c r="AA37" i="8" s="1"/>
  <c r="AA45" i="6"/>
  <c r="AB24" i="6" s="1"/>
  <c r="AA44" i="6"/>
  <c r="AB32" i="19"/>
  <c r="AA18" i="25"/>
  <c r="AA21" i="25" s="1"/>
  <c r="AA39" i="6"/>
  <c r="AA27" i="25" l="1"/>
  <c r="AA28" i="25" s="1"/>
  <c r="AA29" i="25" s="1"/>
  <c r="AB25" i="25" s="1"/>
  <c r="AA37" i="25"/>
  <c r="AA38" i="25" s="1"/>
  <c r="AA43" i="25"/>
  <c r="AA45" i="25" s="1"/>
  <c r="AA57" i="25"/>
  <c r="AA59" i="25" s="1"/>
  <c r="AA50" i="25"/>
  <c r="AA52" i="25" s="1"/>
  <c r="AB37" i="19"/>
  <c r="AB45" i="19" s="1"/>
  <c r="AB47" i="19" s="1"/>
  <c r="Z39" i="8"/>
  <c r="AA35" i="8" s="1"/>
  <c r="AA57" i="6"/>
  <c r="AB38" i="4" s="1"/>
  <c r="AB40" i="4" s="1"/>
  <c r="AB27" i="6"/>
  <c r="AB28" i="6"/>
  <c r="AA50" i="6"/>
  <c r="AA52" i="6" s="1"/>
  <c r="AB16" i="25"/>
  <c r="AA58" i="6"/>
  <c r="AB33" i="6" l="1"/>
  <c r="AB26" i="6"/>
  <c r="AB30" i="6" s="1"/>
  <c r="AB42" i="4"/>
  <c r="AB43" i="4" s="1"/>
  <c r="AA10" i="8"/>
  <c r="AA13" i="8" s="1"/>
  <c r="AB26" i="25"/>
  <c r="AA28" i="8" l="1"/>
  <c r="AA16" i="8"/>
  <c r="AA24" i="8"/>
  <c r="AB36" i="6"/>
  <c r="AB37" i="6" s="1"/>
  <c r="AB45" i="4"/>
  <c r="AC42" i="19" s="1"/>
  <c r="AC43" i="19" s="1"/>
  <c r="AB42" i="6" l="1"/>
  <c r="AB35" i="6"/>
  <c r="AA19" i="8"/>
  <c r="AA21" i="8"/>
  <c r="AC12" i="25"/>
  <c r="AC13" i="25" s="1"/>
  <c r="AB49" i="6"/>
  <c r="AA29" i="8"/>
  <c r="AA30" i="8"/>
  <c r="AB20" i="8" l="1"/>
  <c r="AB56" i="6"/>
  <c r="AB48" i="6"/>
  <c r="AA22" i="8"/>
  <c r="AB18" i="8" s="1"/>
  <c r="AB39" i="6"/>
  <c r="AA33" i="8"/>
  <c r="AA41" i="8"/>
  <c r="AB15" i="25" s="1"/>
  <c r="AB44" i="6"/>
  <c r="AB45" i="6"/>
  <c r="AC24" i="6" s="1"/>
  <c r="AC27" i="6" l="1"/>
  <c r="AC28" i="6" s="1"/>
  <c r="AB50" i="6"/>
  <c r="AB52" i="6" s="1"/>
  <c r="AC16" i="25"/>
  <c r="AB57" i="6"/>
  <c r="AC38" i="4" s="1"/>
  <c r="AC40" i="4" s="1"/>
  <c r="AC32" i="19"/>
  <c r="AB18" i="25"/>
  <c r="AB21" i="25" s="1"/>
  <c r="AA38" i="8"/>
  <c r="AB37" i="8" s="1"/>
  <c r="AA36" i="8"/>
  <c r="AA39" i="8" s="1"/>
  <c r="AB35" i="8" s="1"/>
  <c r="AC33" i="6" l="1"/>
  <c r="AC26" i="6"/>
  <c r="AC30" i="6" s="1"/>
  <c r="AB43" i="25"/>
  <c r="AB45" i="25" s="1"/>
  <c r="AB57" i="25"/>
  <c r="AB59" i="25" s="1"/>
  <c r="AB27" i="25"/>
  <c r="AB28" i="25" s="1"/>
  <c r="AB29" i="25" s="1"/>
  <c r="AC25" i="25" s="1"/>
  <c r="AB50" i="25"/>
  <c r="AB52" i="25" s="1"/>
  <c r="AB37" i="25"/>
  <c r="AB38" i="25" s="1"/>
  <c r="AC37" i="19"/>
  <c r="AC45" i="19" s="1"/>
  <c r="AC47" i="19" s="1"/>
  <c r="AB58" i="6"/>
  <c r="AC42" i="4"/>
  <c r="AC45" i="4" s="1"/>
  <c r="AD42" i="19" s="1"/>
  <c r="AD43" i="19" s="1"/>
  <c r="AC43" i="4"/>
  <c r="AB10" i="8"/>
  <c r="AB13" i="8" s="1"/>
  <c r="AC26" i="25" l="1"/>
  <c r="AC36" i="6"/>
  <c r="AC37" i="6" s="1"/>
  <c r="AB28" i="8"/>
  <c r="AB16" i="8"/>
  <c r="AB24" i="8"/>
  <c r="AC42" i="6" l="1"/>
  <c r="AC35" i="6"/>
  <c r="AD12" i="25"/>
  <c r="AD13" i="25" s="1"/>
  <c r="AC49" i="6"/>
  <c r="AB29" i="8"/>
  <c r="AB30" i="8" s="1"/>
  <c r="AB19" i="8"/>
  <c r="AB22" i="8" s="1"/>
  <c r="AC18" i="8" s="1"/>
  <c r="AB21" i="8"/>
  <c r="AB41" i="8" l="1"/>
  <c r="AC15" i="25" s="1"/>
  <c r="AB33" i="8"/>
  <c r="AC56" i="6"/>
  <c r="AC48" i="6"/>
  <c r="AC20" i="8"/>
  <c r="AC39" i="6"/>
  <c r="AC44" i="6"/>
  <c r="AC45" i="6"/>
  <c r="AD24" i="6" s="1"/>
  <c r="AC50" i="6" l="1"/>
  <c r="AC52" i="6" s="1"/>
  <c r="AD16" i="25"/>
  <c r="AC57" i="6"/>
  <c r="AD38" i="4" s="1"/>
  <c r="AD40" i="4" s="1"/>
  <c r="AB38" i="8"/>
  <c r="AC37" i="8" s="1"/>
  <c r="AB36" i="8"/>
  <c r="AB39" i="8" s="1"/>
  <c r="AC35" i="8" s="1"/>
  <c r="AD28" i="6"/>
  <c r="AD27" i="6"/>
  <c r="AC18" i="25"/>
  <c r="AC21" i="25" s="1"/>
  <c r="AD32" i="19"/>
  <c r="AD42" i="4" l="1"/>
  <c r="AD43" i="4"/>
  <c r="AD45" i="4" s="1"/>
  <c r="AE42" i="19" s="1"/>
  <c r="AE43" i="19" s="1"/>
  <c r="AC10" i="8"/>
  <c r="AC13" i="8" s="1"/>
  <c r="AC58" i="6"/>
  <c r="AD33" i="6"/>
  <c r="AD30" i="6"/>
  <c r="AD37" i="19"/>
  <c r="AD45" i="19" s="1"/>
  <c r="AD47" i="19" s="1"/>
  <c r="AC37" i="25"/>
  <c r="AC38" i="25" s="1"/>
  <c r="AC43" i="25"/>
  <c r="AC45" i="25" s="1"/>
  <c r="AC57" i="25"/>
  <c r="AC59" i="25" s="1"/>
  <c r="AC27" i="25"/>
  <c r="AC28" i="25" s="1"/>
  <c r="AC29" i="25" s="1"/>
  <c r="AD25" i="25" s="1"/>
  <c r="AC50" i="25"/>
  <c r="AC52" i="25" s="1"/>
  <c r="AD26" i="6"/>
  <c r="AD36" i="6" l="1"/>
  <c r="AD37" i="6"/>
  <c r="AD35" i="6" s="1"/>
  <c r="AD26" i="25"/>
  <c r="AC16" i="8"/>
  <c r="AC24" i="8"/>
  <c r="AC28" i="8"/>
  <c r="AD48" i="6" l="1"/>
  <c r="AD56" i="6"/>
  <c r="AC19" i="8"/>
  <c r="AC21" i="8"/>
  <c r="AD20" i="8" s="1"/>
  <c r="AE12" i="25"/>
  <c r="AE13" i="25" s="1"/>
  <c r="AD49" i="6"/>
  <c r="AD42" i="6"/>
  <c r="AD39" i="6"/>
  <c r="AC29" i="8"/>
  <c r="AC30" i="8" s="1"/>
  <c r="AC41" i="8" l="1"/>
  <c r="AD15" i="25" s="1"/>
  <c r="AC33" i="8"/>
  <c r="AD44" i="6"/>
  <c r="AD45" i="6"/>
  <c r="AE24" i="6" s="1"/>
  <c r="AC22" i="8"/>
  <c r="AD18" i="8" s="1"/>
  <c r="AD50" i="6"/>
  <c r="AD52" i="6" s="1"/>
  <c r="AE16" i="25"/>
  <c r="AD57" i="6" l="1"/>
  <c r="AE27" i="6"/>
  <c r="AC38" i="8"/>
  <c r="AD37" i="8" s="1"/>
  <c r="AC36" i="8"/>
  <c r="AC39" i="8" s="1"/>
  <c r="AD35" i="8" s="1"/>
  <c r="AE32" i="19"/>
  <c r="AD18" i="25"/>
  <c r="AD21" i="25" s="1"/>
  <c r="AE28" i="6" l="1"/>
  <c r="AD50" i="25"/>
  <c r="AD52" i="25" s="1"/>
  <c r="AD37" i="25"/>
  <c r="AD38" i="25" s="1"/>
  <c r="AD43" i="25"/>
  <c r="AD45" i="25" s="1"/>
  <c r="AD57" i="25"/>
  <c r="AD59" i="25" s="1"/>
  <c r="AD27" i="25"/>
  <c r="AD28" i="25" s="1"/>
  <c r="AD29" i="25" s="1"/>
  <c r="AE25" i="25" s="1"/>
  <c r="AE38" i="4"/>
  <c r="AE40" i="4" s="1"/>
  <c r="AD58" i="6"/>
  <c r="AE37" i="19"/>
  <c r="AE45" i="19" s="1"/>
  <c r="AE47" i="19" s="1"/>
  <c r="AE33" i="6" l="1"/>
  <c r="AE26" i="6"/>
  <c r="AE30" i="6" s="1"/>
  <c r="AE26" i="25"/>
  <c r="AE42" i="4"/>
  <c r="AE43" i="4"/>
  <c r="AE45" i="4" s="1"/>
  <c r="AF42" i="19" s="1"/>
  <c r="AF43" i="19" s="1"/>
  <c r="AD10" i="8"/>
  <c r="AD13" i="8" s="1"/>
  <c r="AD28" i="8" l="1"/>
  <c r="AD24" i="8"/>
  <c r="AD16" i="8"/>
  <c r="AE36" i="6"/>
  <c r="AE37" i="6" s="1"/>
  <c r="AE42" i="6" l="1"/>
  <c r="AE35" i="6"/>
  <c r="AD30" i="8"/>
  <c r="AE49" i="6"/>
  <c r="AF12" i="25"/>
  <c r="AF13" i="25" s="1"/>
  <c r="AD21" i="8"/>
  <c r="AE20" i="8" s="1"/>
  <c r="AD19" i="8"/>
  <c r="AD29" i="8"/>
  <c r="AE48" i="6" l="1"/>
  <c r="AE56" i="6"/>
  <c r="AD33" i="8"/>
  <c r="AD41" i="8"/>
  <c r="AE15" i="25" s="1"/>
  <c r="AE39" i="6"/>
  <c r="AD22" i="8"/>
  <c r="AE18" i="8" s="1"/>
  <c r="AE45" i="6"/>
  <c r="AF24" i="6" s="1"/>
  <c r="AE44" i="6"/>
  <c r="AF27" i="6" l="1"/>
  <c r="AF28" i="6"/>
  <c r="AF26" i="6"/>
  <c r="AD36" i="8"/>
  <c r="AD38" i="8"/>
  <c r="AE37" i="8" s="1"/>
  <c r="AE58" i="6"/>
  <c r="AE18" i="25"/>
  <c r="AE21" i="25" s="1"/>
  <c r="AF32" i="19"/>
  <c r="AE57" i="6"/>
  <c r="AF38" i="4" s="1"/>
  <c r="AF40" i="4" s="1"/>
  <c r="AE50" i="6"/>
  <c r="AE52" i="6" s="1"/>
  <c r="AF16" i="25"/>
  <c r="AD39" i="8" l="1"/>
  <c r="AE35" i="8" s="1"/>
  <c r="AF33" i="6"/>
  <c r="AF30" i="6"/>
  <c r="AE50" i="25"/>
  <c r="AE52" i="25" s="1"/>
  <c r="AE37" i="25"/>
  <c r="AE38" i="25" s="1"/>
  <c r="AE27" i="25"/>
  <c r="AE28" i="25" s="1"/>
  <c r="AE29" i="25" s="1"/>
  <c r="AF25" i="25" s="1"/>
  <c r="AE57" i="25"/>
  <c r="AE59" i="25" s="1"/>
  <c r="AE43" i="25"/>
  <c r="AE45" i="25" s="1"/>
  <c r="AF42" i="4"/>
  <c r="AF43" i="4" s="1"/>
  <c r="AE10" i="8"/>
  <c r="AE13" i="8" s="1"/>
  <c r="AF37" i="19"/>
  <c r="AF45" i="19" s="1"/>
  <c r="AF47" i="19" s="1"/>
  <c r="AF26" i="25" l="1"/>
  <c r="AE16" i="8"/>
  <c r="AE28" i="8"/>
  <c r="AE24" i="8"/>
  <c r="AF45" i="4"/>
  <c r="AG42" i="19" s="1"/>
  <c r="AG43" i="19" s="1"/>
  <c r="AF36" i="6"/>
  <c r="AF37" i="6" s="1"/>
  <c r="AF42" i="6" l="1"/>
  <c r="AF35" i="6"/>
  <c r="AE21" i="8"/>
  <c r="AF20" i="8" s="1"/>
  <c r="AE19" i="8"/>
  <c r="AE22" i="8" s="1"/>
  <c r="AF18" i="8" s="1"/>
  <c r="AE29" i="8"/>
  <c r="AE30" i="8" s="1"/>
  <c r="AG12" i="25"/>
  <c r="AG13" i="25" s="1"/>
  <c r="AF49" i="6"/>
  <c r="AE33" i="8" l="1"/>
  <c r="AE41" i="8"/>
  <c r="AF15" i="25" s="1"/>
  <c r="AF48" i="6"/>
  <c r="AF56" i="6"/>
  <c r="AF58" i="6" s="1"/>
  <c r="B77" i="6"/>
  <c r="E66" i="6" s="1"/>
  <c r="G35" i="2" s="1"/>
  <c r="AF39" i="6"/>
  <c r="AF44" i="6"/>
  <c r="AF57" i="6" s="1"/>
  <c r="AG38" i="4" s="1"/>
  <c r="AG40" i="4" s="1"/>
  <c r="AF45" i="6"/>
  <c r="AF50" i="6" l="1"/>
  <c r="AF52" i="6" s="1"/>
  <c r="AG16" i="25"/>
  <c r="AF18" i="25"/>
  <c r="AF21" i="25" s="1"/>
  <c r="AG32" i="19"/>
  <c r="AG42" i="4"/>
  <c r="AG45" i="4" s="1"/>
  <c r="AH42" i="19" s="1"/>
  <c r="AH43" i="19" s="1"/>
  <c r="AG43" i="4"/>
  <c r="AF10" i="8"/>
  <c r="AF13" i="8" s="1"/>
  <c r="AE36" i="8"/>
  <c r="AE39" i="8" s="1"/>
  <c r="AF35" i="8" s="1"/>
  <c r="AE38" i="8"/>
  <c r="AF37" i="8" s="1"/>
  <c r="AF50" i="25" l="1"/>
  <c r="AF52" i="25" s="1"/>
  <c r="AF37" i="25"/>
  <c r="AF38" i="25" s="1"/>
  <c r="AF43" i="25"/>
  <c r="AF45" i="25" s="1"/>
  <c r="AF27" i="25"/>
  <c r="AF28" i="25" s="1"/>
  <c r="AF29" i="25" s="1"/>
  <c r="AG25" i="25" s="1"/>
  <c r="AF57" i="25"/>
  <c r="AF59" i="25" s="1"/>
  <c r="AF16" i="8"/>
  <c r="AF24" i="8"/>
  <c r="AF28" i="8"/>
  <c r="AG37" i="19"/>
  <c r="AG45" i="19" s="1"/>
  <c r="AG47" i="19" s="1"/>
  <c r="E68" i="6"/>
  <c r="E69" i="6"/>
  <c r="AF21" i="8" l="1"/>
  <c r="AF19" i="8"/>
  <c r="AF22" i="8" s="1"/>
  <c r="AG26" i="25"/>
  <c r="D65" i="2"/>
  <c r="C9" i="16"/>
  <c r="C12" i="16" s="1"/>
  <c r="AF29" i="8"/>
  <c r="AF30" i="8" s="1"/>
  <c r="C65" i="2"/>
  <c r="D9" i="16"/>
  <c r="D12" i="16" s="1"/>
  <c r="AF41" i="8" l="1"/>
  <c r="AG15" i="25" s="1"/>
  <c r="AF33" i="8"/>
  <c r="AF36" i="8" l="1"/>
  <c r="AF38" i="8"/>
  <c r="AG18" i="25"/>
  <c r="AG21" i="25" s="1"/>
  <c r="AH32" i="19"/>
  <c r="AH37" i="19" s="1"/>
  <c r="AH45" i="19" s="1"/>
  <c r="AH47" i="19" s="1"/>
  <c r="AG27" i="25" l="1"/>
  <c r="AG28" i="25" s="1"/>
  <c r="AG29" i="25" s="1"/>
  <c r="AG50" i="25"/>
  <c r="AG52" i="25" s="1"/>
  <c r="C53" i="25" s="1"/>
  <c r="C70" i="2" s="1"/>
  <c r="AG37" i="25"/>
  <c r="AG38" i="25" s="1"/>
  <c r="C39" i="25" s="1"/>
  <c r="AG43" i="25"/>
  <c r="AG45" i="25" s="1"/>
  <c r="C46" i="25" s="1"/>
  <c r="C69" i="2" s="1"/>
  <c r="AG57" i="25"/>
  <c r="AG59" i="25" s="1"/>
  <c r="C60" i="25" s="1"/>
  <c r="C71" i="2" s="1"/>
  <c r="AF39" i="8"/>
  <c r="C68" i="2" l="1"/>
  <c r="B9" i="16"/>
  <c r="B12" i="16" s="1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N1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Lincoln Model</t>
        </r>
      </text>
    </comment>
    <comment ref="P1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Lincoln Model
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<sst xmlns="http://schemas.openxmlformats.org/spreadsheetml/2006/main" count="576" uniqueCount="449">
  <si>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</si>
  <si>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</si>
  <si>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</si>
  <si>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</si>
  <si>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</si>
  <si>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</si>
  <si>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</si>
  <si>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</si>
  <si>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</si>
  <si>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</si>
  <si>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</si>
  <si>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</si>
  <si>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</si>
  <si>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</si>
  <si>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</si>
  <si>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</si>
  <si>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</si>
  <si>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</si>
  <si>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</si>
  <si>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</si>
  <si>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</si>
  <si>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</si>
  <si>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</si>
  <si>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</si>
  <si>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</si>
  <si>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</si>
  <si>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</si>
  <si>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</si>
  <si>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</si>
  <si>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</si>
  <si>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</si>
  <si>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</si>
  <si>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</si>
  <si>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</si>
  <si>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</si>
  <si>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</si>
  <si>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</si>
  <si>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</si>
  <si>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</si>
  <si>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</si>
  <si>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</si>
  <si>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</si>
  <si>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</si>
  <si>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</si>
  <si>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</si>
  <si>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</si>
  <si>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</si>
  <si>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</si>
  <si>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</si>
  <si>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</si>
  <si>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</si>
  <si>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</si>
  <si>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</si>
  <si>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</si>
  <si>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</si>
  <si>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</si>
  <si>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</si>
  <si>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</si>
  <si>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</si>
  <si>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</si>
  <si>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</si>
  <si>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</si>
  <si>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</si>
  <si>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</si>
  <si>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</si>
  <si>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</si>
  <si>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</si>
  <si>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</si>
  <si>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</si>
  <si>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</si>
  <si>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</si>
  <si>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</si>
  <si>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</si>
  <si>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</si>
  <si>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</si>
  <si>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</si>
  <si>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</si>
  <si>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</si>
  <si>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</si>
  <si>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</si>
  <si>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</si>
  <si>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</si>
  <si>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</si>
  <si>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</si>
  <si>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</si>
  <si>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</si>
  <si>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</si>
  <si>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</si>
  <si>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</si>
  <si>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</si>
  <si>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</si>
  <si>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</si>
  <si>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</si>
  <si>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</si>
  <si>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</si>
  <si>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</si>
  <si>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</si>
  <si>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</si>
  <si>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</si>
  <si>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</si>
  <si>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</si>
  <si>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</si>
  <si>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</si>
  <si>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</si>
  <si>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</si>
  <si>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</si>
  <si>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</si>
  <si>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</si>
  <si>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</si>
  <si>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</si>
  <si>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</si>
  <si>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</si>
  <si>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</si>
  <si>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</si>
  <si>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</si>
  <si>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</si>
  <si>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</si>
  <si>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</si>
  <si>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</si>
  <si>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</si>
  <si>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</si>
  <si>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</si>
  <si>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</si>
  <si>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</si>
  <si>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</si>
  <si>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</si>
  <si>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</si>
  <si>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</si>
  <si>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</si>
  <si>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</si>
  <si>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</si>
  <si>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</si>
  <si>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</si>
  <si>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</si>
  <si>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</si>
  <si>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</si>
  <si>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</si>
  <si>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</si>
  <si>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</si>
  <si>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</si>
  <si>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</si>
  <si>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</si>
  <si>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</si>
  <si>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</si>
  <si>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</si>
  <si>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</si>
  <si>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</si>
  <si>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</si>
  <si>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</si>
  <si>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</si>
  <si>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</si>
  <si>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</si>
  <si>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</si>
  <si>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</si>
  <si>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</si>
  <si>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</si>
  <si>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</si>
  <si>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</si>
  <si>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</si>
  <si>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</si>
  <si>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</si>
  <si>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</si>
  <si>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</si>
  <si>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</si>
  <si>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</si>
  <si>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</si>
  <si>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</si>
  <si>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</si>
  <si>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</si>
  <si>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</si>
  <si>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Insurance During Construction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</si>
  <si>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</si>
  <si>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</si>
  <si>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</si>
  <si>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</si>
  <si>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</si>
  <si>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</si>
  <si>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</si>
  <si>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</si>
  <si>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</si>
  <si>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</si>
  <si>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</si>
  <si>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</si>
  <si>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</si>
  <si>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</si>
  <si>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</si>
  <si>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</si>
  <si>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</si>
  <si>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</si>
  <si>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</si>
  <si>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</si>
  <si>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</si>
  <si>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</si>
  <si>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</si>
  <si>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</si>
  <si>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</si>
  <si>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</si>
  <si>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</si>
  <si>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</si>
  <si>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</si>
  <si>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</si>
  <si>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</si>
  <si>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</si>
  <si>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</si>
  <si>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</si>
  <si>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</si>
  <si>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</si>
  <si>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</si>
  <si>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</si>
  <si>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</si>
  <si>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</si>
  <si>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</si>
  <si>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</si>
  <si>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</si>
  <si>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</si>
  <si>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</si>
  <si>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</si>
  <si>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</si>
  <si>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</si>
  <si>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</si>
  <si>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</si>
  <si>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</si>
  <si>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</si>
  <si>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</si>
  <si>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</si>
  <si>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</si>
  <si>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</si>
  <si>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</si>
  <si>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</si>
  <si>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</si>
  <si>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</si>
  <si>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</si>
  <si>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</si>
  <si>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</si>
  <si>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</si>
  <si>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</si>
  <si>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</si>
  <si>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</si>
  <si>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</si>
  <si>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</si>
  <si>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</si>
  <si>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</si>
  <si>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</si>
  <si>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</si>
  <si>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</si>
  <si>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</si>
  <si>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</si>
  <si>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</si>
  <si>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</si>
  <si>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</si>
  <si>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</si>
  <si>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</si>
  <si>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</si>
  <si>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</si>
  <si>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</si>
  <si>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</si>
  <si>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</si>
  <si>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</si>
  <si>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</si>
  <si>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</si>
  <si>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</si>
  <si>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</si>
  <si>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</si>
  <si>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</si>
  <si>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</si>
  <si>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</si>
  <si>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</si>
  <si>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</si>
  <si>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</si>
  <si>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</si>
  <si>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</si>
  <si>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</si>
  <si>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</si>
  <si>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</si>
  <si>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</si>
  <si>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</si>
  <si>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</si>
  <si>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</si>
  <si>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</si>
  <si>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</si>
  <si>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</si>
  <si>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</si>
  <si>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</si>
  <si>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</si>
  <si>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</si>
  <si>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</si>
  <si>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</si>
  <si>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</si>
  <si>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</si>
  <si>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</si>
  <si>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</si>
  <si>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</si>
  <si>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</si>
  <si>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</si>
  <si>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</si>
  <si>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</si>
  <si>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</si>
  <si>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</si>
  <si>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</si>
  <si>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</si>
  <si>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</si>
  <si>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</si>
  <si>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</si>
  <si>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</si>
  <si>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</si>
  <si>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</si>
  <si>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</si>
  <si>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</si>
  <si>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</si>
  <si>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MO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</si>
  <si>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</si>
  <si>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</si>
  <si>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</si>
  <si>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</si>
  <si>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</si>
  <si>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</si>
  <si>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</si>
  <si>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</si>
  <si>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</si>
  <si>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</si>
  <si>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</si>
  <si>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</si>
  <si>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</si>
  <si>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</si>
  <si>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</si>
  <si>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</si>
  <si>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</si>
  <si>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</si>
  <si>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</si>
  <si>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</si>
  <si>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</si>
  <si>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</si>
  <si>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</si>
  <si>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</si>
  <si>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</si>
  <si>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</si>
  <si>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</si>
  <si>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</si>
  <si>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</si>
  <si>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</si>
  <si>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</si>
  <si>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</si>
  <si>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</si>
  <si>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</si>
  <si>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</si>
  <si>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</si>
  <si>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</si>
  <si>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</si>
  <si>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</si>
  <si>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</si>
  <si>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</si>
  <si>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</si>
  <si>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</si>
  <si>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</si>
  <si>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</si>
  <si>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</si>
  <si>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</si>
  <si>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</si>
  <si>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</si>
  <si>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</si>
  <si>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</si>
  <si>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</si>
  <si>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</si>
  <si>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</si>
  <si>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</si>
  <si>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</si>
  <si>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</si>
  <si>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</si>
  <si>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</si>
  <si>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</si>
  <si>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</si>
  <si>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</si>
  <si>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</si>
  <si>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</si>
  <si>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</si>
  <si>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</si>
  <si>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</si>
  <si>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</si>
  <si>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</si>
  <si>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</si>
  <si>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</si>
  <si>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</si>
  <si>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</si>
  <si>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</si>
  <si>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</si>
  <si>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</si>
  <si>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</si>
  <si>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</si>
  <si>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</si>
  <si>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</si>
  <si>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</si>
  <si>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</si>
  <si>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</si>
  <si>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</si>
  <si>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</si>
  <si>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</si>
  <si>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</si>
  <si>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</si>
  <si>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</si>
  <si>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</si>
  <si>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</si>
  <si>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</si>
  <si>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</si>
  <si>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</si>
  <si>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</si>
  <si>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</si>
  <si>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</si>
  <si>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</si>
  <si>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</si>
  <si>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</si>
  <si>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</si>
  <si>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</si>
  <si>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</si>
  <si>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</si>
  <si>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</si>
  <si>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</si>
  <si>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</si>
  <si>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</si>
  <si>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</si>
  <si>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</si>
  <si>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</si>
  <si>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</si>
  <si>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</si>
  <si>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</si>
  <si>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</si>
  <si>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</si>
  <si>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</si>
  <si>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</si>
  <si>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</si>
  <si>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</si>
  <si>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</si>
  <si>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</si>
  <si>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</si>
  <si>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</si>
  <si>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</si>
  <si>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</si>
  <si>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Calpine</t>
  </si>
  <si>
    <t xml:space="preserve">Total Price To </t>
  </si>
  <si>
    <t>Transco Zone 6</t>
  </si>
  <si>
    <t>Prices</t>
  </si>
  <si>
    <t>Index (Transco Zone 6)</t>
  </si>
  <si>
    <t>Months</t>
  </si>
  <si>
    <t>Rate</t>
  </si>
  <si>
    <t>Draw Schedule</t>
  </si>
  <si>
    <t>Total Project Cost (MM)</t>
  </si>
  <si>
    <t>Turbines Cost (MM)</t>
  </si>
  <si>
    <t>Total IDC for Project less Turbines</t>
  </si>
  <si>
    <t>SUM IDC Costs</t>
  </si>
  <si>
    <t>Net Generation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</si>
</sst>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u/>
      <sz val="10"/>
      <name val="Arial"/>
      <family val="2"/>
    </font>
    <font>
      <b/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51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109" fillId="0" borderId="0" xfId="0" applyFont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14" fontId="0" fillId="0" borderId="0" xfId="0" applyNumberFormat="1" applyBorder="1"/>
    <xf numFmtId="10" fontId="110" fillId="0" borderId="0" xfId="20" applyNumberFormat="1" applyFont="1"/>
    <xf numFmtId="9" fontId="0" fillId="0" borderId="0" xfId="0" applyNumberFormat="1"/>
    <xf numFmtId="9" fontId="1" fillId="0" borderId="0" xfId="20"/>
    <xf numFmtId="165" fontId="21" fillId="0" borderId="0" xfId="4" applyNumberFormat="1" applyFont="1"/>
    <xf numFmtId="165" fontId="1" fillId="0" borderId="0" xfId="4" applyNumberFormat="1"/>
    <xf numFmtId="165" fontId="0" fillId="0" borderId="0" xfId="0" applyNumberFormat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version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 Assumption"/>
      <sheetName val="Gas PX"/>
      <sheetName val="IS"/>
      <sheetName val="CF"/>
      <sheetName val="BS"/>
      <sheetName val="Debt (1)"/>
      <sheetName val="Debt (2)"/>
      <sheetName val="Debt Sum"/>
      <sheetName val="Depreciation"/>
      <sheetName val="Taxes"/>
      <sheetName val="IDC-Project"/>
      <sheetName val="IDC-ENA"/>
      <sheetName val="Operational Characteristic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topLeftCell="A20" zoomScale="75" zoomScaleNormal="75" workbookViewId="0">
      <selection activeCell="H40" sqref="H40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1" t="s">
        <v>167</v>
      </c>
      <c r="C2" s="5"/>
    </row>
    <row r="3" spans="1:18" s="46" customFormat="1" ht="15.75"/>
    <row r="4" spans="1:18" s="46" customFormat="1" ht="18.75">
      <c r="A4" s="478">
        <v>1</v>
      </c>
      <c r="B4" s="210" t="s">
        <v>406</v>
      </c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8"/>
    </row>
    <row r="5" spans="1:18" s="46" customFormat="1" ht="18.75">
      <c r="B5" s="210" t="s">
        <v>407</v>
      </c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8"/>
      <c r="O5" s="478"/>
      <c r="P5" s="478"/>
      <c r="Q5" s="478"/>
    </row>
    <row r="6" spans="1:18" s="46" customFormat="1" ht="15.75">
      <c r="A6" s="12">
        <v>2</v>
      </c>
      <c r="B6" s="53" t="s">
        <v>317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325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1" t="s">
        <v>210</v>
      </c>
    </row>
    <row r="13" spans="1:18" s="46" customFormat="1" ht="15.75">
      <c r="A13" s="479"/>
      <c r="B13" s="12"/>
      <c r="C13" s="12"/>
      <c r="D13" s="12"/>
      <c r="E13" s="12"/>
      <c r="F13" s="12"/>
      <c r="G13" s="12"/>
      <c r="H13" s="12"/>
      <c r="I13" s="480" t="s">
        <v>211</v>
      </c>
      <c r="J13" s="12"/>
      <c r="K13" s="12"/>
      <c r="L13" s="12"/>
      <c r="M13" s="12"/>
      <c r="N13" s="12"/>
      <c r="O13" s="480"/>
      <c r="P13" s="12"/>
    </row>
    <row r="14" spans="1:18" s="46" customFormat="1" ht="15.75">
      <c r="A14" s="12">
        <v>1</v>
      </c>
      <c r="B14" s="12" t="s">
        <v>378</v>
      </c>
      <c r="C14" s="12"/>
      <c r="D14" s="12"/>
      <c r="E14" s="12"/>
      <c r="F14" s="12"/>
      <c r="G14" s="12"/>
      <c r="H14" s="12"/>
      <c r="I14" s="12" t="s">
        <v>212</v>
      </c>
      <c r="J14" s="12"/>
      <c r="K14" s="12"/>
      <c r="L14" s="12"/>
      <c r="M14" s="12"/>
      <c r="N14" s="12"/>
      <c r="O14" s="481"/>
      <c r="P14" s="12"/>
    </row>
    <row r="15" spans="1:18" s="46" customFormat="1" ht="15.75">
      <c r="A15" s="12"/>
      <c r="B15" s="12" t="s">
        <v>278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81"/>
      <c r="P15" s="12"/>
    </row>
    <row r="16" spans="1:18" s="46" customFormat="1" ht="15.75">
      <c r="A16" s="12">
        <v>2</v>
      </c>
      <c r="B16" s="12" t="s">
        <v>238</v>
      </c>
      <c r="C16" s="12"/>
      <c r="D16" s="12"/>
      <c r="E16" s="12"/>
      <c r="F16" s="12"/>
      <c r="G16" s="12"/>
      <c r="H16" s="12"/>
      <c r="I16" s="12" t="s">
        <v>212</v>
      </c>
      <c r="J16" s="12"/>
      <c r="K16" s="12"/>
      <c r="L16" s="12"/>
      <c r="M16" s="12"/>
      <c r="N16" s="12"/>
      <c r="O16" s="481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373</v>
      </c>
      <c r="J17" s="12"/>
      <c r="K17" s="12"/>
      <c r="L17" s="12"/>
      <c r="M17" s="12"/>
      <c r="N17" s="12"/>
      <c r="O17" s="481"/>
      <c r="P17" s="12"/>
    </row>
    <row r="18" spans="1:16" s="46" customFormat="1" ht="15.75">
      <c r="A18" s="12">
        <v>4</v>
      </c>
      <c r="B18" s="12" t="s">
        <v>264</v>
      </c>
      <c r="C18" s="12"/>
      <c r="D18" s="12"/>
      <c r="E18" s="12"/>
      <c r="F18" s="12"/>
      <c r="G18" s="12"/>
      <c r="H18" s="12"/>
      <c r="I18" s="12" t="s">
        <v>425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319</v>
      </c>
      <c r="C19" s="12"/>
      <c r="D19" s="12"/>
      <c r="E19" s="12"/>
      <c r="F19" s="12"/>
      <c r="G19" s="12"/>
      <c r="H19" s="12"/>
      <c r="I19" s="12" t="s">
        <v>288</v>
      </c>
      <c r="J19" s="12"/>
      <c r="K19" s="12"/>
      <c r="L19" s="12"/>
      <c r="M19" s="12"/>
      <c r="N19" s="12"/>
      <c r="O19" s="481"/>
      <c r="P19" s="12"/>
    </row>
    <row r="20" spans="1:16" s="46" customFormat="1" ht="15.75">
      <c r="A20" s="12">
        <v>6</v>
      </c>
      <c r="B20" s="12" t="s">
        <v>339</v>
      </c>
      <c r="C20" s="12"/>
      <c r="D20" s="12"/>
      <c r="E20" s="12"/>
      <c r="F20" s="12"/>
      <c r="G20" s="12"/>
      <c r="H20" s="12"/>
      <c r="I20" s="12" t="s">
        <v>340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371</v>
      </c>
      <c r="C21" s="12"/>
      <c r="D21" s="12"/>
      <c r="E21" s="12"/>
      <c r="F21" s="12"/>
      <c r="G21" s="12"/>
      <c r="H21" s="12"/>
      <c r="I21" s="12" t="s">
        <v>288</v>
      </c>
      <c r="J21" s="12"/>
      <c r="K21" s="12"/>
      <c r="L21" s="12"/>
      <c r="M21" s="12"/>
      <c r="N21" s="12"/>
      <c r="O21" s="481"/>
      <c r="P21" s="12"/>
    </row>
    <row r="22" spans="1:16" s="46" customFormat="1" ht="15.75">
      <c r="A22" s="12">
        <v>8</v>
      </c>
      <c r="B22" s="12" t="s">
        <v>374</v>
      </c>
      <c r="C22" s="12"/>
      <c r="D22" s="12"/>
      <c r="E22" s="12"/>
      <c r="F22" s="12"/>
      <c r="G22" s="12"/>
      <c r="H22" s="12"/>
      <c r="I22" s="12" t="s">
        <v>375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415</v>
      </c>
      <c r="C23" s="12"/>
      <c r="D23" s="12"/>
      <c r="E23" s="12"/>
      <c r="F23" s="12"/>
      <c r="G23" s="12"/>
      <c r="H23" s="12"/>
      <c r="I23" s="12" t="s">
        <v>288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1" t="s">
        <v>281</v>
      </c>
    </row>
    <row r="28" spans="1:16" s="46" customFormat="1" ht="18.75">
      <c r="A28" s="286"/>
    </row>
    <row r="29" spans="1:16" s="46" customFormat="1" ht="15.75">
      <c r="A29" s="12"/>
      <c r="B29" s="482" t="s">
        <v>306</v>
      </c>
      <c r="C29" s="12"/>
      <c r="D29" s="12"/>
      <c r="E29" s="482" t="s">
        <v>305</v>
      </c>
      <c r="F29" s="482"/>
      <c r="G29" s="482"/>
      <c r="H29" s="482" t="s">
        <v>307</v>
      </c>
      <c r="I29" s="12"/>
      <c r="J29" s="12"/>
    </row>
    <row r="30" spans="1:16" s="46" customFormat="1" ht="15.75">
      <c r="A30" s="12"/>
      <c r="B30" s="12" t="s">
        <v>380</v>
      </c>
      <c r="C30" s="12"/>
      <c r="D30" s="12"/>
      <c r="E30" s="12" t="s">
        <v>290</v>
      </c>
      <c r="F30" s="12"/>
      <c r="G30" s="12"/>
      <c r="H30" s="12" t="s">
        <v>302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291</v>
      </c>
      <c r="F31" s="12"/>
      <c r="G31" s="12"/>
      <c r="H31" s="12" t="s">
        <v>303</v>
      </c>
      <c r="I31" s="12"/>
      <c r="J31" s="12"/>
    </row>
    <row r="32" spans="1:16" s="46" customFormat="1" ht="15.75">
      <c r="A32" s="12"/>
      <c r="B32" s="12" t="s">
        <v>381</v>
      </c>
      <c r="C32" s="12"/>
      <c r="D32" s="12"/>
      <c r="E32" s="12" t="s">
        <v>292</v>
      </c>
      <c r="F32" s="12"/>
      <c r="G32" s="12"/>
      <c r="H32" s="12" t="s">
        <v>304</v>
      </c>
      <c r="I32" s="12"/>
      <c r="J32" s="12"/>
    </row>
    <row r="33" spans="1:10" s="46" customFormat="1" ht="15.75">
      <c r="A33" s="12"/>
      <c r="B33" s="12" t="s">
        <v>286</v>
      </c>
      <c r="C33" s="12"/>
      <c r="D33" s="12"/>
      <c r="E33" s="12" t="s">
        <v>287</v>
      </c>
      <c r="F33" s="12"/>
      <c r="G33" s="12"/>
      <c r="H33" s="12" t="s">
        <v>299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288</v>
      </c>
      <c r="F34" s="12"/>
      <c r="G34" s="12"/>
      <c r="H34" s="12" t="s">
        <v>300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289</v>
      </c>
      <c r="F35" s="12"/>
      <c r="G35" s="12"/>
      <c r="H35" s="12" t="s">
        <v>301</v>
      </c>
      <c r="I35" s="12"/>
      <c r="J35" s="12"/>
    </row>
    <row r="36" spans="1:10" s="46" customFormat="1" ht="15.75">
      <c r="A36" s="12"/>
      <c r="B36" s="12" t="s">
        <v>284</v>
      </c>
      <c r="C36" s="12"/>
      <c r="D36" s="12"/>
      <c r="E36" s="12" t="s">
        <v>285</v>
      </c>
      <c r="F36" s="12"/>
      <c r="G36" s="12"/>
      <c r="H36" s="12" t="s">
        <v>298</v>
      </c>
      <c r="I36" s="12"/>
      <c r="J36" s="12"/>
    </row>
    <row r="37" spans="1:10" s="46" customFormat="1" ht="15.75">
      <c r="A37" s="12"/>
      <c r="B37" s="12" t="s">
        <v>339</v>
      </c>
      <c r="C37" s="12"/>
      <c r="D37" s="12"/>
      <c r="E37" s="12" t="s">
        <v>340</v>
      </c>
      <c r="F37" s="12"/>
      <c r="G37" s="12"/>
      <c r="H37" s="12" t="s">
        <v>337</v>
      </c>
      <c r="I37" s="12"/>
      <c r="J37" s="12"/>
    </row>
    <row r="38" spans="1:10" s="46" customFormat="1" ht="15.75">
      <c r="A38" s="12"/>
      <c r="B38" s="12" t="s">
        <v>282</v>
      </c>
      <c r="C38" s="12"/>
      <c r="D38" s="12"/>
      <c r="E38" s="12" t="s">
        <v>283</v>
      </c>
      <c r="F38" s="12"/>
      <c r="G38" s="12"/>
      <c r="H38" s="12" t="s">
        <v>338</v>
      </c>
      <c r="I38" s="12"/>
      <c r="J38" s="12"/>
    </row>
    <row r="39" spans="1:10" s="46" customFormat="1" ht="15.75">
      <c r="A39" s="12"/>
      <c r="B39" s="12" t="s">
        <v>420</v>
      </c>
      <c r="C39" s="12"/>
      <c r="D39" s="12"/>
      <c r="E39" s="12" t="s">
        <v>404</v>
      </c>
      <c r="F39" s="12"/>
      <c r="G39" s="12"/>
      <c r="H39" s="12" t="s">
        <v>405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429</v>
      </c>
      <c r="F40" s="12"/>
      <c r="G40" s="12"/>
      <c r="H40" s="12" t="s">
        <v>430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212</v>
      </c>
      <c r="F41" s="12"/>
      <c r="G41" s="12"/>
      <c r="H41" s="12" t="s">
        <v>297</v>
      </c>
      <c r="I41" s="12"/>
      <c r="J41" s="12"/>
    </row>
    <row r="42" spans="1:10" s="46" customFormat="1" ht="15.75">
      <c r="A42" s="12"/>
      <c r="B42" s="12" t="s">
        <v>376</v>
      </c>
      <c r="C42" s="12"/>
      <c r="D42" s="12"/>
      <c r="E42" s="12" t="s">
        <v>402</v>
      </c>
      <c r="F42" s="12"/>
      <c r="G42" s="12"/>
      <c r="H42" s="12" t="s">
        <v>403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375</v>
      </c>
      <c r="F43" s="12"/>
      <c r="G43" s="12"/>
      <c r="H43" s="12" t="s">
        <v>377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horizontalDpi="0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9" t="str">
        <f>Assumptions!A3</f>
        <v>PROJECT NAME: Calpine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94</v>
      </c>
      <c r="B4" s="526" t="s">
        <v>416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/>
    </row>
    <row r="7" spans="1:40" ht="13.5" thickBot="1">
      <c r="A7" s="123" t="s">
        <v>40</v>
      </c>
      <c r="B7" s="217">
        <f>IS!C7</f>
        <v>2001</v>
      </c>
      <c r="C7" s="217">
        <f>B7+1</f>
        <v>2002</v>
      </c>
      <c r="D7" s="217">
        <f t="shared" ref="D7:AF7" si="0">C7+1</f>
        <v>2003</v>
      </c>
      <c r="E7" s="217">
        <f t="shared" si="0"/>
        <v>2004</v>
      </c>
      <c r="F7" s="217">
        <f t="shared" si="0"/>
        <v>2005</v>
      </c>
      <c r="G7" s="217">
        <f t="shared" si="0"/>
        <v>2006</v>
      </c>
      <c r="H7" s="217">
        <f t="shared" si="0"/>
        <v>2007</v>
      </c>
      <c r="I7" s="217">
        <f t="shared" si="0"/>
        <v>2008</v>
      </c>
      <c r="J7" s="217">
        <f t="shared" si="0"/>
        <v>2009</v>
      </c>
      <c r="K7" s="217">
        <f t="shared" si="0"/>
        <v>2010</v>
      </c>
      <c r="L7" s="217">
        <f t="shared" si="0"/>
        <v>2011</v>
      </c>
      <c r="M7" s="217">
        <f t="shared" si="0"/>
        <v>2012</v>
      </c>
      <c r="N7" s="217">
        <f t="shared" si="0"/>
        <v>2013</v>
      </c>
      <c r="O7" s="217">
        <f t="shared" si="0"/>
        <v>2014</v>
      </c>
      <c r="P7" s="217">
        <f t="shared" si="0"/>
        <v>2015</v>
      </c>
      <c r="Q7" s="217">
        <f t="shared" si="0"/>
        <v>2016</v>
      </c>
      <c r="R7" s="217">
        <f t="shared" si="0"/>
        <v>2017</v>
      </c>
      <c r="S7" s="217">
        <f t="shared" si="0"/>
        <v>2018</v>
      </c>
      <c r="T7" s="217">
        <f t="shared" si="0"/>
        <v>2019</v>
      </c>
      <c r="U7" s="217">
        <f t="shared" si="0"/>
        <v>2020</v>
      </c>
      <c r="V7" s="217">
        <f t="shared" si="0"/>
        <v>2021</v>
      </c>
      <c r="W7" s="217">
        <f t="shared" si="0"/>
        <v>2022</v>
      </c>
      <c r="X7" s="217">
        <f t="shared" si="0"/>
        <v>2023</v>
      </c>
      <c r="Y7" s="217">
        <f t="shared" si="0"/>
        <v>2024</v>
      </c>
      <c r="Z7" s="217">
        <f t="shared" si="0"/>
        <v>2025</v>
      </c>
      <c r="AA7" s="217">
        <f t="shared" si="0"/>
        <v>2026</v>
      </c>
      <c r="AB7" s="217">
        <f t="shared" si="0"/>
        <v>2027</v>
      </c>
      <c r="AC7" s="217">
        <f t="shared" si="0"/>
        <v>2028</v>
      </c>
      <c r="AD7" s="217">
        <f t="shared" si="0"/>
        <v>2029</v>
      </c>
      <c r="AE7" s="217">
        <f t="shared" si="0"/>
        <v>2030</v>
      </c>
      <c r="AF7" s="217">
        <f t="shared" si="0"/>
        <v>2031</v>
      </c>
      <c r="AG7"/>
      <c r="AH7" s="11"/>
    </row>
    <row r="8" spans="1:40" s="50" customFormat="1">
      <c r="A8" s="401"/>
      <c r="B8" s="400">
        <f>IS!C8</f>
        <v>37256</v>
      </c>
      <c r="C8" s="400">
        <f>IS!D8</f>
        <v>37621</v>
      </c>
      <c r="D8" s="400">
        <f>IS!E8</f>
        <v>37986</v>
      </c>
      <c r="E8" s="400">
        <f>IS!F8</f>
        <v>38352</v>
      </c>
      <c r="F8" s="400">
        <f>IS!G8</f>
        <v>38717</v>
      </c>
      <c r="G8" s="400">
        <f>IS!H8</f>
        <v>39082</v>
      </c>
      <c r="H8" s="400">
        <f>IS!I8</f>
        <v>39447</v>
      </c>
      <c r="I8" s="400">
        <f>IS!J8</f>
        <v>39813</v>
      </c>
      <c r="J8" s="400">
        <f>IS!K8</f>
        <v>40178</v>
      </c>
      <c r="K8" s="400">
        <f>IS!L8</f>
        <v>40543</v>
      </c>
      <c r="L8" s="400">
        <f>IS!M8</f>
        <v>40908</v>
      </c>
      <c r="M8" s="400">
        <f>IS!N8</f>
        <v>41274</v>
      </c>
      <c r="N8" s="400">
        <f>IS!O8</f>
        <v>41639</v>
      </c>
      <c r="O8" s="400">
        <f>IS!P8</f>
        <v>42004</v>
      </c>
      <c r="P8" s="400">
        <f>IS!Q8</f>
        <v>42369</v>
      </c>
      <c r="Q8" s="400">
        <f>IS!R8</f>
        <v>42735</v>
      </c>
      <c r="R8" s="400">
        <f>IS!S8</f>
        <v>43100</v>
      </c>
      <c r="S8" s="400">
        <f>IS!T8</f>
        <v>43465</v>
      </c>
      <c r="T8" s="400">
        <f>IS!U8</f>
        <v>43830</v>
      </c>
      <c r="U8" s="400">
        <f>IS!V8</f>
        <v>44196</v>
      </c>
      <c r="V8" s="400">
        <f>IS!W8</f>
        <v>44561</v>
      </c>
      <c r="W8" s="400">
        <f>IS!X8</f>
        <v>44926</v>
      </c>
      <c r="X8" s="400">
        <f>IS!Y8</f>
        <v>45291</v>
      </c>
      <c r="Y8" s="400">
        <f>IS!Z8</f>
        <v>45657</v>
      </c>
      <c r="Z8" s="400">
        <f>IS!AA8</f>
        <v>46022</v>
      </c>
      <c r="AA8" s="400">
        <f>IS!AB8</f>
        <v>46387</v>
      </c>
      <c r="AB8" s="400">
        <f>IS!AC8</f>
        <v>46752</v>
      </c>
      <c r="AC8" s="400">
        <f>IS!AD8</f>
        <v>47118</v>
      </c>
      <c r="AD8" s="400">
        <f>IS!AE8</f>
        <v>47483</v>
      </c>
      <c r="AE8" s="400">
        <f>IS!AF8</f>
        <v>47848</v>
      </c>
      <c r="AF8" s="40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93" t="s">
        <v>398</v>
      </c>
      <c r="B11" s="394">
        <f>B29+B38</f>
        <v>3209.3249079351326</v>
      </c>
      <c r="C11" s="394">
        <f t="shared" ref="C11:AF11" si="1">C29+C38</f>
        <v>9578.7263428262868</v>
      </c>
      <c r="D11" s="394">
        <f t="shared" si="1"/>
        <v>9544.5703615777638</v>
      </c>
      <c r="E11" s="394">
        <f t="shared" si="1"/>
        <v>10485.568486870721</v>
      </c>
      <c r="F11" s="394">
        <f t="shared" si="1"/>
        <v>11411.508241120693</v>
      </c>
      <c r="G11" s="394">
        <f t="shared" si="1"/>
        <v>11720.667104776494</v>
      </c>
      <c r="H11" s="394">
        <f t="shared" si="1"/>
        <v>11842.725143091619</v>
      </c>
      <c r="I11" s="394">
        <f t="shared" si="1"/>
        <v>11969.653602734492</v>
      </c>
      <c r="J11" s="394">
        <f t="shared" si="1"/>
        <v>12254.572530068814</v>
      </c>
      <c r="K11" s="394">
        <f t="shared" si="1"/>
        <v>12441.357022464592</v>
      </c>
      <c r="L11" s="394">
        <f t="shared" si="1"/>
        <v>12753.353795138162</v>
      </c>
      <c r="M11" s="394">
        <f t="shared" si="1"/>
        <v>12943.84618139231</v>
      </c>
      <c r="N11" s="394">
        <f t="shared" si="1"/>
        <v>13249.113641919499</v>
      </c>
      <c r="O11" s="394">
        <f t="shared" si="1"/>
        <v>13442.3593459038</v>
      </c>
      <c r="P11" s="471">
        <f t="shared" si="1"/>
        <v>13554.183048959661</v>
      </c>
      <c r="Q11" s="394">
        <f t="shared" si="1"/>
        <v>13669.868772307254</v>
      </c>
      <c r="R11" s="394">
        <f t="shared" si="1"/>
        <v>13786.9782309271</v>
      </c>
      <c r="S11" s="394">
        <f t="shared" si="1"/>
        <v>13927.355990724658</v>
      </c>
      <c r="T11" s="394">
        <f t="shared" si="1"/>
        <v>14023.050992252956</v>
      </c>
      <c r="U11" s="394">
        <f t="shared" si="1"/>
        <v>14112.693417767368</v>
      </c>
      <c r="V11" s="394">
        <f t="shared" si="1"/>
        <v>7045.8585106422124</v>
      </c>
      <c r="W11" s="394">
        <f t="shared" si="1"/>
        <v>-423.7199469425608</v>
      </c>
      <c r="X11" s="394">
        <f t="shared" si="1"/>
        <v>-2176.1047019756456</v>
      </c>
      <c r="Y11" s="394">
        <f t="shared" si="1"/>
        <v>-2242.9258193067494</v>
      </c>
      <c r="Z11" s="394">
        <f t="shared" si="1"/>
        <v>-2307.0915020541297</v>
      </c>
      <c r="AA11" s="394">
        <f t="shared" si="1"/>
        <v>-2377.8883626757424</v>
      </c>
      <c r="AB11" s="394">
        <f t="shared" si="1"/>
        <v>-2449.2250135560143</v>
      </c>
      <c r="AC11" s="394">
        <f t="shared" si="1"/>
        <v>-2524.4327698062166</v>
      </c>
      <c r="AD11" s="394">
        <f t="shared" si="1"/>
        <v>-2596.6518110380553</v>
      </c>
      <c r="AE11" s="394">
        <f t="shared" si="1"/>
        <v>-2676.3343013880231</v>
      </c>
      <c r="AF11" s="471">
        <f t="shared" si="1"/>
        <v>-3448.919487417962</v>
      </c>
      <c r="AG11"/>
      <c r="AN11" s="531">
        <f>IF(MONTH(C23)=MONTH(Assumptions!G34),1,2)</f>
        <v>1</v>
      </c>
    </row>
    <row r="12" spans="1:40">
      <c r="A12" s="395" t="s">
        <v>0</v>
      </c>
      <c r="B12" s="391">
        <v>1.3</v>
      </c>
      <c r="C12" s="391">
        <v>1.3</v>
      </c>
      <c r="D12" s="391">
        <v>1.3</v>
      </c>
      <c r="E12" s="391">
        <v>1.3</v>
      </c>
      <c r="F12" s="391">
        <v>1.3</v>
      </c>
      <c r="G12" s="391">
        <v>1.3</v>
      </c>
      <c r="H12" s="391">
        <v>1.3</v>
      </c>
      <c r="I12" s="391">
        <v>1.3</v>
      </c>
      <c r="J12" s="391">
        <v>1.3</v>
      </c>
      <c r="K12" s="391">
        <v>1.3</v>
      </c>
      <c r="L12" s="391">
        <v>1.3</v>
      </c>
      <c r="M12" s="391">
        <v>1.3</v>
      </c>
      <c r="N12" s="391">
        <v>1.3</v>
      </c>
      <c r="O12" s="391">
        <v>1.3</v>
      </c>
      <c r="P12" s="396">
        <v>1.3</v>
      </c>
      <c r="Q12" s="391">
        <v>1.3</v>
      </c>
      <c r="R12" s="391">
        <v>1.3</v>
      </c>
      <c r="S12" s="391">
        <v>1.3</v>
      </c>
      <c r="T12" s="391">
        <v>1.3</v>
      </c>
      <c r="U12" s="391">
        <v>1.3</v>
      </c>
      <c r="V12" s="391">
        <v>1.3</v>
      </c>
      <c r="W12" s="391">
        <v>1.3</v>
      </c>
      <c r="X12" s="391">
        <v>1.3</v>
      </c>
      <c r="Y12" s="391">
        <v>1.3</v>
      </c>
      <c r="Z12" s="391">
        <v>1.3</v>
      </c>
      <c r="AA12" s="391">
        <v>1.3</v>
      </c>
      <c r="AB12" s="391">
        <v>1.3</v>
      </c>
      <c r="AC12" s="391">
        <v>1.3</v>
      </c>
      <c r="AD12" s="391">
        <v>1.3</v>
      </c>
      <c r="AE12" s="391">
        <v>1.3</v>
      </c>
      <c r="AF12" s="396">
        <v>1.3</v>
      </c>
      <c r="AG12"/>
      <c r="AN12" s="531">
        <f>IF(AN11=1,6,15)</f>
        <v>6</v>
      </c>
    </row>
    <row r="13" spans="1:40">
      <c r="A13" s="397" t="s">
        <v>332</v>
      </c>
      <c r="B13" s="312">
        <f>B11/B12</f>
        <v>2468.7114676424098</v>
      </c>
      <c r="C13" s="312">
        <f t="shared" ref="C13:AF13" si="2">C11/C12</f>
        <v>7368.2510329432971</v>
      </c>
      <c r="D13" s="312">
        <f t="shared" si="2"/>
        <v>7341.9772012136646</v>
      </c>
      <c r="E13" s="312">
        <f t="shared" si="2"/>
        <v>8065.821912977478</v>
      </c>
      <c r="F13" s="312">
        <f t="shared" si="2"/>
        <v>8778.0832624005325</v>
      </c>
      <c r="G13" s="312">
        <f t="shared" si="2"/>
        <v>9015.8977729049948</v>
      </c>
      <c r="H13" s="312">
        <f t="shared" si="2"/>
        <v>9109.7885716089368</v>
      </c>
      <c r="I13" s="312">
        <f t="shared" si="2"/>
        <v>9207.4258482573005</v>
      </c>
      <c r="J13" s="312">
        <f t="shared" si="2"/>
        <v>9426.5942538990876</v>
      </c>
      <c r="K13" s="312">
        <f t="shared" si="2"/>
        <v>9570.2746326650704</v>
      </c>
      <c r="L13" s="312">
        <f t="shared" si="2"/>
        <v>9810.2721501062788</v>
      </c>
      <c r="M13" s="312">
        <f t="shared" si="2"/>
        <v>9956.8047549171606</v>
      </c>
      <c r="N13" s="312">
        <f t="shared" si="2"/>
        <v>10191.625878399615</v>
      </c>
      <c r="O13" s="312">
        <f t="shared" si="2"/>
        <v>10340.276419926</v>
      </c>
      <c r="P13" s="398">
        <f t="shared" si="2"/>
        <v>10426.294653045892</v>
      </c>
      <c r="Q13" s="312">
        <f t="shared" si="2"/>
        <v>10515.28367100558</v>
      </c>
      <c r="R13" s="312">
        <f t="shared" si="2"/>
        <v>10605.367869943922</v>
      </c>
      <c r="S13" s="312">
        <f t="shared" si="2"/>
        <v>10713.35076209589</v>
      </c>
      <c r="T13" s="312">
        <f t="shared" si="2"/>
        <v>10786.962301733043</v>
      </c>
      <c r="U13" s="312">
        <f t="shared" si="2"/>
        <v>10855.918013667206</v>
      </c>
      <c r="V13" s="312">
        <f t="shared" si="2"/>
        <v>5419.8911620324707</v>
      </c>
      <c r="W13" s="312">
        <f t="shared" si="2"/>
        <v>-325.93842072504674</v>
      </c>
      <c r="X13" s="312">
        <f t="shared" si="2"/>
        <v>-1673.9266938274197</v>
      </c>
      <c r="Y13" s="312">
        <f t="shared" si="2"/>
        <v>-1725.3275533128842</v>
      </c>
      <c r="Z13" s="312">
        <f t="shared" si="2"/>
        <v>-1774.6857708108689</v>
      </c>
      <c r="AA13" s="312">
        <f t="shared" si="2"/>
        <v>-1829.1448943659557</v>
      </c>
      <c r="AB13" s="312">
        <f t="shared" si="2"/>
        <v>-1884.019241196934</v>
      </c>
      <c r="AC13" s="312">
        <f t="shared" si="2"/>
        <v>-1941.8713613893974</v>
      </c>
      <c r="AD13" s="312">
        <f t="shared" si="2"/>
        <v>-1997.4244700292732</v>
      </c>
      <c r="AE13" s="312">
        <f t="shared" si="2"/>
        <v>-2058.7186933754024</v>
      </c>
      <c r="AF13" s="398">
        <f t="shared" si="2"/>
        <v>-2653.0149903215092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8"/>
      <c r="C16" s="65"/>
      <c r="AG16"/>
    </row>
    <row r="17" spans="1:33">
      <c r="A17" s="53"/>
      <c r="B17" s="228"/>
      <c r="C17" s="533"/>
      <c r="AG17"/>
    </row>
    <row r="18" spans="1:33">
      <c r="A18" s="53"/>
      <c r="B18" s="228"/>
      <c r="AG18"/>
    </row>
    <row r="19" spans="1:33">
      <c r="A19" s="11" t="s">
        <v>356</v>
      </c>
      <c r="B19" s="404">
        <v>76645.682528245845</v>
      </c>
      <c r="S19" s="18"/>
      <c r="AF19" s="65"/>
      <c r="AG19"/>
    </row>
    <row r="20" spans="1:33">
      <c r="A20" s="11" t="s">
        <v>355</v>
      </c>
      <c r="B20" s="409">
        <f>HLOOKUP(Assumptions!G34,B23:AF39,AN12)</f>
        <v>0</v>
      </c>
      <c r="AF20" s="53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9">
        <v>36982</v>
      </c>
      <c r="C23" s="399">
        <v>37347</v>
      </c>
      <c r="D23" s="399">
        <v>37712</v>
      </c>
      <c r="E23" s="399">
        <v>38078</v>
      </c>
      <c r="F23" s="399">
        <v>38443</v>
      </c>
      <c r="G23" s="399">
        <v>38808</v>
      </c>
      <c r="H23" s="399">
        <v>39173</v>
      </c>
      <c r="I23" s="399">
        <v>39539</v>
      </c>
      <c r="J23" s="399">
        <v>39904</v>
      </c>
      <c r="K23" s="399">
        <v>40269</v>
      </c>
      <c r="L23" s="399">
        <v>40634</v>
      </c>
      <c r="M23" s="399">
        <v>41000</v>
      </c>
      <c r="N23" s="399">
        <v>41365</v>
      </c>
      <c r="O23" s="399">
        <v>41730</v>
      </c>
      <c r="P23" s="399">
        <v>42095</v>
      </c>
      <c r="Q23" s="399">
        <v>42461</v>
      </c>
      <c r="R23" s="399">
        <v>42826</v>
      </c>
      <c r="S23" s="399">
        <v>43191</v>
      </c>
      <c r="T23" s="399">
        <v>43556</v>
      </c>
      <c r="U23" s="399">
        <v>43922</v>
      </c>
      <c r="V23" s="399">
        <v>44287</v>
      </c>
      <c r="W23" s="399">
        <v>44652</v>
      </c>
      <c r="X23" s="399">
        <v>45017</v>
      </c>
      <c r="Y23" s="399">
        <v>45383</v>
      </c>
      <c r="Z23" s="399">
        <v>45748</v>
      </c>
      <c r="AA23" s="399">
        <v>46113</v>
      </c>
      <c r="AB23" s="399">
        <v>46478</v>
      </c>
      <c r="AC23" s="399">
        <v>46844</v>
      </c>
      <c r="AD23" s="399">
        <v>47209</v>
      </c>
      <c r="AE23" s="399">
        <v>47574</v>
      </c>
      <c r="AF23" s="399">
        <v>47939</v>
      </c>
      <c r="AG23" s="534">
        <v>47969</v>
      </c>
    </row>
    <row r="24" spans="1:33">
      <c r="A24" s="48" t="s">
        <v>56</v>
      </c>
      <c r="B24"/>
      <c r="C24" s="48">
        <f>B45</f>
        <v>76353.057926634676</v>
      </c>
      <c r="D24" s="48">
        <f t="shared" ref="D24:AF24" si="3">C45</f>
        <v>75454.569487639412</v>
      </c>
      <c r="E24" s="48">
        <f t="shared" si="3"/>
        <v>74506.075026603401</v>
      </c>
      <c r="F24" s="48">
        <f t="shared" si="3"/>
        <v>72740.944696639504</v>
      </c>
      <c r="G24" s="48">
        <f t="shared" si="3"/>
        <v>70085.792489185842</v>
      </c>
      <c r="H24" s="48">
        <f t="shared" si="3"/>
        <v>66961.665864497452</v>
      </c>
      <c r="I24" s="48">
        <f t="shared" si="3"/>
        <v>63470.454120929753</v>
      </c>
      <c r="J24" s="48">
        <f t="shared" si="3"/>
        <v>59580.833774493076</v>
      </c>
      <c r="K24" s="48">
        <f t="shared" si="3"/>
        <v>55121.766718046892</v>
      </c>
      <c r="L24" s="48">
        <f t="shared" si="3"/>
        <v>50132.479690748121</v>
      </c>
      <c r="M24" s="48">
        <f t="shared" si="3"/>
        <v>44464.979996935057</v>
      </c>
      <c r="N24" s="48">
        <f t="shared" si="3"/>
        <v>38159.11529860818</v>
      </c>
      <c r="O24" s="48">
        <f t="shared" si="3"/>
        <v>31060.469595767638</v>
      </c>
      <c r="P24" s="48">
        <f t="shared" si="3"/>
        <v>23196.102767257053</v>
      </c>
      <c r="Q24" s="48">
        <f t="shared" si="3"/>
        <v>14561.208723878768</v>
      </c>
      <c r="R24" s="48">
        <f t="shared" si="3"/>
        <v>5087.3581409258104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332.88358803241397</v>
      </c>
      <c r="Y24" s="48">
        <f t="shared" si="3"/>
        <v>2071.3750501903905</v>
      </c>
      <c r="Z24" s="48">
        <f t="shared" si="3"/>
        <v>4013.2991464601823</v>
      </c>
      <c r="AA24" s="48">
        <f t="shared" si="3"/>
        <v>6173.9374281112277</v>
      </c>
      <c r="AB24" s="48">
        <f t="shared" si="3"/>
        <v>8577.9944149582134</v>
      </c>
      <c r="AC24" s="48">
        <f t="shared" si="3"/>
        <v>11246.782162466252</v>
      </c>
      <c r="AD24" s="48">
        <f t="shared" si="3"/>
        <v>14206.888150781762</v>
      </c>
      <c r="AE24" s="48">
        <f t="shared" si="3"/>
        <v>17479.263021517581</v>
      </c>
      <c r="AF24" s="48">
        <f t="shared" si="3"/>
        <v>21099.15838271712</v>
      </c>
      <c r="AG24"/>
    </row>
    <row r="25" spans="1:33">
      <c r="A25" s="48" t="s">
        <v>333</v>
      </c>
      <c r="B25"/>
      <c r="C25" s="389">
        <v>0</v>
      </c>
      <c r="D25" s="389">
        <v>0</v>
      </c>
      <c r="E25" s="389">
        <v>0</v>
      </c>
      <c r="F25" s="389">
        <v>0</v>
      </c>
      <c r="G25" s="389">
        <v>0</v>
      </c>
      <c r="H25" s="389">
        <v>0</v>
      </c>
      <c r="I25" s="389">
        <v>0</v>
      </c>
      <c r="J25" s="389">
        <v>0</v>
      </c>
      <c r="K25" s="389">
        <v>0</v>
      </c>
      <c r="L25" s="389">
        <v>0</v>
      </c>
      <c r="M25" s="389">
        <v>0</v>
      </c>
      <c r="N25" s="389">
        <v>0</v>
      </c>
      <c r="O25" s="389">
        <v>0</v>
      </c>
      <c r="P25" s="389">
        <v>0</v>
      </c>
      <c r="Q25" s="389">
        <v>0</v>
      </c>
      <c r="R25" s="389">
        <v>0</v>
      </c>
      <c r="S25" s="389">
        <v>0</v>
      </c>
      <c r="T25" s="389">
        <v>0</v>
      </c>
      <c r="U25" s="389">
        <v>0</v>
      </c>
      <c r="V25" s="389">
        <v>0</v>
      </c>
      <c r="W25" s="389">
        <v>0</v>
      </c>
      <c r="X25" s="389">
        <v>0</v>
      </c>
      <c r="Y25" s="389">
        <v>0</v>
      </c>
      <c r="Z25" s="389">
        <v>0</v>
      </c>
      <c r="AA25" s="389">
        <v>0</v>
      </c>
      <c r="AB25" s="389">
        <v>0</v>
      </c>
      <c r="AC25" s="389">
        <v>0</v>
      </c>
      <c r="AD25" s="389">
        <v>0</v>
      </c>
      <c r="AE25" s="389">
        <v>0</v>
      </c>
      <c r="AF25" s="389">
        <v>0</v>
      </c>
      <c r="AG25"/>
    </row>
    <row r="26" spans="1:33">
      <c r="A26" s="48" t="s">
        <v>57</v>
      </c>
      <c r="B26"/>
      <c r="C26" s="48">
        <f t="shared" ref="C26:AF26" si="4">C24-C28</f>
        <v>449.11847898444103</v>
      </c>
      <c r="D26" s="48">
        <f t="shared" si="4"/>
        <v>472.9552034183871</v>
      </c>
      <c r="E26" s="48">
        <f t="shared" si="4"/>
        <v>862.08878859069955</v>
      </c>
      <c r="F26" s="48">
        <f t="shared" si="4"/>
        <v>1310.2330940040702</v>
      </c>
      <c r="G26" s="48">
        <f t="shared" si="4"/>
        <v>1537.463380130037</v>
      </c>
      <c r="H26" s="48">
        <f t="shared" si="4"/>
        <v>1716.8203928626244</v>
      </c>
      <c r="I26" s="48">
        <f t="shared" si="4"/>
        <v>1902.5436186547158</v>
      </c>
      <c r="J26" s="48">
        <f t="shared" si="4"/>
        <v>2191.4989781464246</v>
      </c>
      <c r="K26" s="48">
        <f t="shared" si="4"/>
        <v>2448.8805187210673</v>
      </c>
      <c r="L26" s="48">
        <f t="shared" si="4"/>
        <v>2780.3430317219827</v>
      </c>
      <c r="M26" s="48">
        <f t="shared" si="4"/>
        <v>3086.0661589813317</v>
      </c>
      <c r="N26" s="48">
        <f t="shared" si="4"/>
        <v>3480.7031761472535</v>
      </c>
      <c r="O26" s="48">
        <f t="shared" si="4"/>
        <v>3853.6848821642998</v>
      </c>
      <c r="P26" s="48">
        <f t="shared" si="4"/>
        <v>4230.0138749901635</v>
      </c>
      <c r="Q26" s="48">
        <f t="shared" si="4"/>
        <v>4637.9473556019329</v>
      </c>
      <c r="R26" s="48">
        <f t="shared" si="4"/>
        <v>5087.3581409258104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-162.96921036252337</v>
      </c>
      <c r="X26" s="48">
        <f t="shared" si="4"/>
        <v>-851.07213898730299</v>
      </c>
      <c r="Y26" s="48">
        <f t="shared" si="4"/>
        <v>-950.81715106019965</v>
      </c>
      <c r="Z26" s="48">
        <f t="shared" si="4"/>
        <v>-1057.2084229781763</v>
      </c>
      <c r="AA26" s="48">
        <f t="shared" si="4"/>
        <v>-1176.2459047525135</v>
      </c>
      <c r="AB26" s="48">
        <f t="shared" si="4"/>
        <v>-1305.5755756653271</v>
      </c>
      <c r="AC26" s="48">
        <f t="shared" si="4"/>
        <v>-1449.5751229889647</v>
      </c>
      <c r="AD26" s="48">
        <f t="shared" si="4"/>
        <v>-1600.0281611142163</v>
      </c>
      <c r="AE26" s="48">
        <f t="shared" si="4"/>
        <v>-1770.1927684490111</v>
      </c>
      <c r="AF26" s="48">
        <f t="shared" si="4"/>
        <v>-2220.764975107697</v>
      </c>
      <c r="AG26"/>
    </row>
    <row r="27" spans="1:33">
      <c r="A27" s="48" t="s">
        <v>58</v>
      </c>
      <c r="B27"/>
      <c r="C27" s="392">
        <f t="shared" ref="C27:AF27" si="5">C24*(C23-B41)/(C41-B41)*$E$64</f>
        <v>1618.0572686644362</v>
      </c>
      <c r="D27" s="392">
        <f t="shared" si="5"/>
        <v>1599.0166985942217</v>
      </c>
      <c r="E27" s="392">
        <f t="shared" si="5"/>
        <v>1591.9057560328924</v>
      </c>
      <c r="F27" s="392">
        <f t="shared" si="5"/>
        <v>1541.5101567904292</v>
      </c>
      <c r="G27" s="392">
        <f t="shared" si="5"/>
        <v>1485.2427531612398</v>
      </c>
      <c r="H27" s="392">
        <f t="shared" si="5"/>
        <v>1419.0369464709256</v>
      </c>
      <c r="I27" s="392">
        <f t="shared" si="5"/>
        <v>1356.1173530756032</v>
      </c>
      <c r="J27" s="392">
        <f t="shared" si="5"/>
        <v>1262.6239705361752</v>
      </c>
      <c r="K27" s="392">
        <f t="shared" si="5"/>
        <v>1168.1283988057335</v>
      </c>
      <c r="L27" s="392">
        <f t="shared" si="5"/>
        <v>1062.3965216655802</v>
      </c>
      <c r="M27" s="392">
        <f t="shared" si="5"/>
        <v>950.04410813123548</v>
      </c>
      <c r="N27" s="392">
        <f t="shared" si="5"/>
        <v>808.65960776639542</v>
      </c>
      <c r="O27" s="392">
        <f t="shared" si="5"/>
        <v>658.22666389934989</v>
      </c>
      <c r="P27" s="392">
        <f t="shared" si="5"/>
        <v>491.56672576639261</v>
      </c>
      <c r="Q27" s="392">
        <f t="shared" si="5"/>
        <v>311.11653612221852</v>
      </c>
      <c r="R27" s="392">
        <f t="shared" si="5"/>
        <v>107.81017868509903</v>
      </c>
      <c r="S27" s="392">
        <f t="shared" si="5"/>
        <v>0</v>
      </c>
      <c r="T27" s="392">
        <f t="shared" si="5"/>
        <v>0</v>
      </c>
      <c r="U27" s="392">
        <f t="shared" si="5"/>
        <v>0</v>
      </c>
      <c r="V27" s="392">
        <f t="shared" si="5"/>
        <v>0</v>
      </c>
      <c r="W27" s="392">
        <f t="shared" si="5"/>
        <v>0</v>
      </c>
      <c r="X27" s="392">
        <f t="shared" si="5"/>
        <v>7.0543960367964988</v>
      </c>
      <c r="Y27" s="392">
        <f t="shared" si="5"/>
        <v>44.257248340133486</v>
      </c>
      <c r="Z27" s="392">
        <f t="shared" si="5"/>
        <v>85.048955884573999</v>
      </c>
      <c r="AA27" s="392">
        <f t="shared" si="5"/>
        <v>130.8367287847681</v>
      </c>
      <c r="AB27" s="392">
        <f t="shared" si="5"/>
        <v>181.78297753342954</v>
      </c>
      <c r="AC27" s="392">
        <f t="shared" si="5"/>
        <v>240.30009975542649</v>
      </c>
      <c r="AD27" s="392">
        <f t="shared" si="5"/>
        <v>301.0692598528683</v>
      </c>
      <c r="AE27" s="392">
        <f t="shared" si="5"/>
        <v>370.41671088065345</v>
      </c>
      <c r="AF27" s="392">
        <f t="shared" si="5"/>
        <v>447.12873997347106</v>
      </c>
      <c r="AG27"/>
    </row>
    <row r="28" spans="1:33">
      <c r="A28" s="48" t="s">
        <v>59</v>
      </c>
      <c r="B28"/>
      <c r="C28" s="163">
        <f t="shared" ref="C28:AF28" si="6">MAX(C24+C25+B44+C27-0.5*C13,0)</f>
        <v>75903.939447650235</v>
      </c>
      <c r="D28" s="163">
        <f t="shared" si="6"/>
        <v>74981.614284221025</v>
      </c>
      <c r="E28" s="163">
        <f t="shared" si="6"/>
        <v>73643.986238012702</v>
      </c>
      <c r="F28" s="163">
        <f t="shared" si="6"/>
        <v>71430.711602635434</v>
      </c>
      <c r="G28" s="163">
        <f t="shared" si="6"/>
        <v>68548.329109055805</v>
      </c>
      <c r="H28" s="163">
        <f t="shared" si="6"/>
        <v>65244.845471634828</v>
      </c>
      <c r="I28" s="163">
        <f t="shared" si="6"/>
        <v>61567.910502275037</v>
      </c>
      <c r="J28" s="163">
        <f t="shared" si="6"/>
        <v>57389.334796346651</v>
      </c>
      <c r="K28" s="163">
        <f t="shared" si="6"/>
        <v>52672.886199325825</v>
      </c>
      <c r="L28" s="163">
        <f t="shared" si="6"/>
        <v>47352.136659026139</v>
      </c>
      <c r="M28" s="163">
        <f t="shared" si="6"/>
        <v>41378.913837953725</v>
      </c>
      <c r="N28" s="163">
        <f t="shared" si="6"/>
        <v>34678.412122460926</v>
      </c>
      <c r="O28" s="163">
        <f t="shared" si="6"/>
        <v>27206.784713603338</v>
      </c>
      <c r="P28" s="163">
        <f t="shared" si="6"/>
        <v>18966.088892266889</v>
      </c>
      <c r="Q28" s="163">
        <f t="shared" si="6"/>
        <v>9923.2613682768351</v>
      </c>
      <c r="R28" s="163">
        <f t="shared" si="6"/>
        <v>0</v>
      </c>
      <c r="S28" s="163">
        <f t="shared" si="6"/>
        <v>0</v>
      </c>
      <c r="T28" s="163">
        <f t="shared" si="6"/>
        <v>0</v>
      </c>
      <c r="U28" s="163">
        <f t="shared" si="6"/>
        <v>0</v>
      </c>
      <c r="V28" s="163">
        <f t="shared" si="6"/>
        <v>0</v>
      </c>
      <c r="W28" s="163">
        <f t="shared" si="6"/>
        <v>162.96921036252337</v>
      </c>
      <c r="X28" s="163">
        <f t="shared" si="6"/>
        <v>1183.955727019717</v>
      </c>
      <c r="Y28" s="163">
        <f t="shared" si="6"/>
        <v>3022.1922012505902</v>
      </c>
      <c r="Z28" s="163">
        <f t="shared" si="6"/>
        <v>5070.5075694383586</v>
      </c>
      <c r="AA28" s="163">
        <f t="shared" si="6"/>
        <v>7350.1833328637413</v>
      </c>
      <c r="AB28" s="163">
        <f t="shared" si="6"/>
        <v>9883.5699906235404</v>
      </c>
      <c r="AC28" s="163">
        <f t="shared" si="6"/>
        <v>12696.357285455217</v>
      </c>
      <c r="AD28" s="163">
        <f t="shared" si="6"/>
        <v>15806.916311895979</v>
      </c>
      <c r="AE28" s="163">
        <f t="shared" si="6"/>
        <v>19249.455789966592</v>
      </c>
      <c r="AF28" s="163">
        <f t="shared" si="6"/>
        <v>23319.923357824817</v>
      </c>
      <c r="AG28"/>
    </row>
    <row r="29" spans="1:33">
      <c r="A29" s="48" t="s">
        <v>335</v>
      </c>
      <c r="B29"/>
      <c r="C29" s="163">
        <f>(C23-B41)/(C41-B41)*IS!D32+(B41-B32)/(B41-Assumptions!H17)*IS!C32</f>
        <v>4780.0618508406478</v>
      </c>
      <c r="D29" s="163">
        <f>(D23-C41)/(D41-C41)*IS!E32+(C41-C32)/(C41-B41)*IS!D32</f>
        <v>4763.6290937017129</v>
      </c>
      <c r="E29" s="163">
        <f>(E23-D41)/(E41-D41)*IS!F32+(D41-D32)/(D41-C41)*IS!E32</f>
        <v>5089.9562042502794</v>
      </c>
      <c r="F29" s="163">
        <f>(F23-E41)/(F41-E41)*IS!G32+(E41-E32)/(E41-D41)*IS!F32</f>
        <v>5581.9268892716909</v>
      </c>
      <c r="G29" s="163">
        <f>(G23-F41)/(G41-F41)*IS!H32+(F41-F32)/(F41-E41)*IS!G32</f>
        <v>5828.7321516529928</v>
      </c>
      <c r="H29" s="163">
        <f>(H23-G41)/(H41-G41)*IS!I32+(G41-G32)/(G41-F41)*IS!H32</f>
        <v>5889.9783531225385</v>
      </c>
      <c r="I29" s="163">
        <f>(I23-H41)/(I41-H41)*IS!J32+(H41-H32)/(H41-G41)*IS!I32</f>
        <v>5974.2112339591258</v>
      </c>
      <c r="J29" s="163">
        <f>(J23-I41)/(J41-I41)*IS!K32+(I41-I32)/(I41-H41)*IS!J32</f>
        <v>6061.1363350175925</v>
      </c>
      <c r="K29" s="163">
        <f>(K23-J41)/(K41-J41)*IS!L32+(J41-J32)/(J41-I41)*IS!K32</f>
        <v>6188.9276744304343</v>
      </c>
      <c r="L29" s="163">
        <f>(L23-K41)/(L41-K41)*IS!M32+(K41-K32)/(K41-J41)*IS!L32</f>
        <v>6312.1396570389816</v>
      </c>
      <c r="M29" s="163">
        <f>(M23-L41)/(M41-L41)*IS!N32+(L41-L32)/(L41-K41)*IS!M32</f>
        <v>6461.7612191095195</v>
      </c>
      <c r="N29" s="163">
        <f>(N23-M41)/(N41-M41)*IS!O32+(M41-M32)/(M41-L41)*IS!N32</f>
        <v>6553.0623101547744</v>
      </c>
      <c r="O29" s="163">
        <f>(O23-N41)/(O41-N41)*IS!P32+(N41-N32)/(N41-M41)*IS!O32</f>
        <v>6688.3042761599845</v>
      </c>
      <c r="P29" s="163">
        <f>(P23-O41)/(P41-O41)*IS!Q32+(O41-O32)/(O41-N41)*IS!P32</f>
        <v>6744.7068204453153</v>
      </c>
      <c r="Q29" s="163">
        <f>(Q23-P41)/(Q41-P41)*IS!R32+(P41-P32)/(P41-O41)*IS!Q32</f>
        <v>6826.510050352992</v>
      </c>
      <c r="R29" s="163">
        <f>(R23-Q41)/(R41-Q41)*IS!S32+(Q41-Q32)/(Q41-P41)*IS!R32</f>
        <v>6851.6812507744671</v>
      </c>
      <c r="S29" s="163">
        <f>(S23-R41)/(S41-R41)*IS!T32+(R41-R32)/(R41-Q41)*IS!S32</f>
        <v>6928.8373005468375</v>
      </c>
      <c r="T29" s="163">
        <f>(T23-S41)/(T41-S41)*IS!U32+(S41-S32)/(S41-R41)*IS!T32</f>
        <v>6981.6162083985419</v>
      </c>
      <c r="U29" s="163">
        <f>(U23-T41)/(U41-T41)*IS!V32+(T41-T32)/(T41-S41)*IS!U32</f>
        <v>7051.4122173285441</v>
      </c>
      <c r="V29" s="163">
        <f>(V23-U41)/(V41-U41)*IS!W32+(U41-U32)/(U41-T41)*IS!V32</f>
        <v>4685.217933242242</v>
      </c>
      <c r="W29" s="163">
        <f>(W23-V41)/(W41-V41)*IS!X32+(V41-V32)/(V41-U41)*IS!W32</f>
        <v>643.28385902052662</v>
      </c>
      <c r="X29" s="163">
        <f>(X23-W41)/(X41-W41)*IS!Y32+(W41-W32)/(W41-V41)*IS!X32</f>
        <v>-1077.0907818336668</v>
      </c>
      <c r="Y29" s="163">
        <f>(Y23-X41)/(Y41-X41)*IS!Z32+(X41-X32)/(X41-W41)*IS!Y32</f>
        <v>-1114.034334942331</v>
      </c>
      <c r="Z29" s="163">
        <f>(Z23-Y41)/(Z41-Y41)*IS!AA32+(Y41-Y32)/(Y41-X41)*IS!Z32</f>
        <v>-1141.1476341755031</v>
      </c>
      <c r="AA29" s="163">
        <f>(AA23-Z41)/(AA41-Z41)*IS!AB32+(Z41-Z32)/(Z41-Y41)*IS!AA32</f>
        <v>-1176.9661787607574</v>
      </c>
      <c r="AB29" s="163">
        <f>(AB23-AA41)/(AB41-AA41)*IS!AC32+(AA41-AA32)/(AA41-Z41)*IS!AB32</f>
        <v>-1212.27516412358</v>
      </c>
      <c r="AC29" s="163">
        <f>(AC23-AB41)/(AC41-AB41)*IS!AD32+(AB41-AB32)/(AB41-AA41)*IS!AC32</f>
        <v>-1253.8554586200853</v>
      </c>
      <c r="AD29" s="163">
        <f>(AD23-AC41)/(AD41-AC41)*IS!AE32+(AC41-AC32)/(AC41-AB41)*IS!AD32</f>
        <v>-1284.371715775186</v>
      </c>
      <c r="AE29" s="163">
        <f>(AE23-AD41)/(AE41-AD41)*IS!AF32+(AD41-AD32)/(AD41-AC41)*IS!AE32</f>
        <v>-1324.6858032672671</v>
      </c>
      <c r="AF29" s="163">
        <f>(AF23-AE41)/(AG23-AE41)*IS!AG32+(AE41-AE32)/(AE41-AD41)*IS!AF32</f>
        <v>-2760.4595864987123</v>
      </c>
      <c r="AG29"/>
    </row>
    <row r="30" spans="1:33">
      <c r="A30" s="412" t="s">
        <v>0</v>
      </c>
      <c r="B30" s="414"/>
      <c r="C30" s="413">
        <f>IF(C28&gt;0.1,C29/(C27+C26+B44)," ")</f>
        <v>1.2974752975893693</v>
      </c>
      <c r="D30" s="413">
        <f t="shared" ref="D30:AF30" si="7">IF(D28&gt;0.1,D29/(D27+D26+C44)," ")</f>
        <v>1.2976420283392502</v>
      </c>
      <c r="E30" s="413">
        <f t="shared" si="7"/>
        <v>1.2621047821700142</v>
      </c>
      <c r="F30" s="413">
        <f t="shared" si="7"/>
        <v>1.2717871823296472</v>
      </c>
      <c r="G30" s="413">
        <f t="shared" si="7"/>
        <v>1.2929898493680245</v>
      </c>
      <c r="H30" s="413">
        <f t="shared" si="7"/>
        <v>1.2931097811597758</v>
      </c>
      <c r="I30" s="413">
        <f t="shared" si="7"/>
        <v>1.2976941291555162</v>
      </c>
      <c r="J30" s="413">
        <f t="shared" si="7"/>
        <v>1.2859652535719439</v>
      </c>
      <c r="K30" s="413">
        <f t="shared" si="7"/>
        <v>1.293364696830436</v>
      </c>
      <c r="L30" s="413">
        <f t="shared" si="7"/>
        <v>1.2868429255493377</v>
      </c>
      <c r="M30" s="413">
        <f t="shared" si="7"/>
        <v>1.2979588087068576</v>
      </c>
      <c r="N30" s="413">
        <f t="shared" si="7"/>
        <v>1.285969949906324</v>
      </c>
      <c r="O30" s="413">
        <f t="shared" si="7"/>
        <v>1.2936412924651488</v>
      </c>
      <c r="P30" s="413">
        <f t="shared" si="7"/>
        <v>1.2937878786065082</v>
      </c>
      <c r="Q30" s="413">
        <f t="shared" si="7"/>
        <v>1.2983976969021083</v>
      </c>
      <c r="R30" s="413" t="str">
        <f t="shared" si="7"/>
        <v xml:space="preserve"> </v>
      </c>
      <c r="S30" s="413" t="str">
        <f t="shared" si="7"/>
        <v xml:space="preserve"> </v>
      </c>
      <c r="T30" s="413" t="str">
        <f t="shared" si="7"/>
        <v xml:space="preserve"> </v>
      </c>
      <c r="U30" s="413" t="str">
        <f t="shared" si="7"/>
        <v xml:space="preserve"> </v>
      </c>
      <c r="V30" s="413" t="str">
        <f t="shared" si="7"/>
        <v xml:space="preserve"> </v>
      </c>
      <c r="W30" s="413">
        <f t="shared" si="7"/>
        <v>-3.9472723564748713</v>
      </c>
      <c r="X30" s="413">
        <f t="shared" si="7"/>
        <v>1.2869031670328492</v>
      </c>
      <c r="Y30" s="413">
        <f t="shared" si="7"/>
        <v>1.2913887949024172</v>
      </c>
      <c r="Z30" s="413">
        <f t="shared" si="7"/>
        <v>1.2860278173685964</v>
      </c>
      <c r="AA30" s="413">
        <f t="shared" si="7"/>
        <v>1.2869031670328501</v>
      </c>
      <c r="AB30" s="413">
        <f t="shared" si="7"/>
        <v>1.2869031670328481</v>
      </c>
      <c r="AC30" s="413">
        <f t="shared" si="7"/>
        <v>1.2913887949024176</v>
      </c>
      <c r="AD30" s="413">
        <f t="shared" si="7"/>
        <v>1.2860278173685986</v>
      </c>
      <c r="AE30" s="413">
        <f t="shared" si="7"/>
        <v>1.2869031670328455</v>
      </c>
      <c r="AF30" s="413">
        <f t="shared" si="7"/>
        <v>2.0809981071114731</v>
      </c>
      <c r="AG30"/>
    </row>
    <row r="31" spans="1:33">
      <c r="A31" s="11"/>
      <c r="B31" s="388"/>
      <c r="C31" s="53"/>
      <c r="AG31"/>
    </row>
    <row r="32" spans="1:33">
      <c r="A32" s="411" t="s">
        <v>421</v>
      </c>
      <c r="B32" s="399">
        <v>37165</v>
      </c>
      <c r="C32" s="399">
        <v>37530</v>
      </c>
      <c r="D32" s="399">
        <v>37895</v>
      </c>
      <c r="E32" s="399">
        <v>38261</v>
      </c>
      <c r="F32" s="399">
        <v>38626</v>
      </c>
      <c r="G32" s="399">
        <v>38991</v>
      </c>
      <c r="H32" s="399">
        <v>39356</v>
      </c>
      <c r="I32" s="399">
        <v>39722</v>
      </c>
      <c r="J32" s="399">
        <v>40087</v>
      </c>
      <c r="K32" s="399">
        <v>40452</v>
      </c>
      <c r="L32" s="399">
        <v>40817</v>
      </c>
      <c r="M32" s="399">
        <v>41183</v>
      </c>
      <c r="N32" s="399">
        <v>41548</v>
      </c>
      <c r="O32" s="399">
        <v>41913</v>
      </c>
      <c r="P32" s="399">
        <v>42278</v>
      </c>
      <c r="Q32" s="399">
        <v>42644</v>
      </c>
      <c r="R32" s="399">
        <v>43009</v>
      </c>
      <c r="S32" s="399">
        <v>43374</v>
      </c>
      <c r="T32" s="399">
        <v>43739</v>
      </c>
      <c r="U32" s="399">
        <v>44105</v>
      </c>
      <c r="V32" s="399">
        <v>44470</v>
      </c>
      <c r="W32" s="399">
        <v>44835</v>
      </c>
      <c r="X32" s="399">
        <v>45200</v>
      </c>
      <c r="Y32" s="399">
        <v>45566</v>
      </c>
      <c r="Z32" s="399">
        <v>45931</v>
      </c>
      <c r="AA32" s="399">
        <v>46296</v>
      </c>
      <c r="AB32" s="399">
        <v>46661</v>
      </c>
      <c r="AC32" s="399">
        <v>47027</v>
      </c>
      <c r="AD32" s="399">
        <v>47392</v>
      </c>
      <c r="AE32" s="399">
        <v>47757</v>
      </c>
      <c r="AF32" s="399">
        <v>47969</v>
      </c>
      <c r="AG32"/>
    </row>
    <row r="33" spans="1:39">
      <c r="A33" s="48" t="s">
        <v>56</v>
      </c>
      <c r="B33" s="389">
        <f>B19</f>
        <v>76645.682528245845</v>
      </c>
      <c r="C33" s="48">
        <f>C28</f>
        <v>75903.939447650235</v>
      </c>
      <c r="D33" s="48">
        <f t="shared" ref="D33:AF33" si="8">D28</f>
        <v>74981.614284221025</v>
      </c>
      <c r="E33" s="48">
        <f t="shared" si="8"/>
        <v>73643.986238012702</v>
      </c>
      <c r="F33" s="48">
        <f t="shared" si="8"/>
        <v>71430.711602635434</v>
      </c>
      <c r="G33" s="48">
        <f t="shared" si="8"/>
        <v>68548.329109055805</v>
      </c>
      <c r="H33" s="48">
        <f t="shared" si="8"/>
        <v>65244.845471634828</v>
      </c>
      <c r="I33" s="48">
        <f t="shared" si="8"/>
        <v>61567.910502275037</v>
      </c>
      <c r="J33" s="48">
        <f t="shared" si="8"/>
        <v>57389.334796346651</v>
      </c>
      <c r="K33" s="48">
        <f t="shared" si="8"/>
        <v>52672.886199325825</v>
      </c>
      <c r="L33" s="48">
        <f t="shared" si="8"/>
        <v>47352.136659026139</v>
      </c>
      <c r="M33" s="48">
        <f t="shared" si="8"/>
        <v>41378.913837953725</v>
      </c>
      <c r="N33" s="48">
        <f t="shared" si="8"/>
        <v>34678.412122460926</v>
      </c>
      <c r="O33" s="48">
        <f t="shared" si="8"/>
        <v>27206.784713603338</v>
      </c>
      <c r="P33" s="48">
        <f t="shared" si="8"/>
        <v>18966.088892266889</v>
      </c>
      <c r="Q33" s="48">
        <f t="shared" si="8"/>
        <v>9923.2613682768351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162.96921036252337</v>
      </c>
      <c r="X33" s="48">
        <f t="shared" si="8"/>
        <v>1183.955727019717</v>
      </c>
      <c r="Y33" s="48">
        <f t="shared" si="8"/>
        <v>3022.1922012505902</v>
      </c>
      <c r="Z33" s="48">
        <f t="shared" si="8"/>
        <v>5070.5075694383586</v>
      </c>
      <c r="AA33" s="48">
        <f t="shared" si="8"/>
        <v>7350.1833328637413</v>
      </c>
      <c r="AB33" s="48">
        <f t="shared" si="8"/>
        <v>9883.5699906235404</v>
      </c>
      <c r="AC33" s="48">
        <f t="shared" si="8"/>
        <v>12696.357285455217</v>
      </c>
      <c r="AD33" s="48">
        <f t="shared" si="8"/>
        <v>15806.916311895979</v>
      </c>
      <c r="AE33" s="48">
        <f t="shared" si="8"/>
        <v>19249.455789966592</v>
      </c>
      <c r="AF33" s="48">
        <f t="shared" si="8"/>
        <v>23319.923357824817</v>
      </c>
      <c r="AG33"/>
    </row>
    <row r="34" spans="1:39">
      <c r="A34" s="48" t="s">
        <v>333</v>
      </c>
      <c r="B34" s="389">
        <v>0</v>
      </c>
      <c r="C34" s="389">
        <v>0</v>
      </c>
      <c r="D34" s="389">
        <v>0</v>
      </c>
      <c r="E34" s="389">
        <v>0</v>
      </c>
      <c r="F34" s="389">
        <v>0</v>
      </c>
      <c r="G34" s="389">
        <v>0</v>
      </c>
      <c r="H34" s="389">
        <v>0</v>
      </c>
      <c r="I34" s="389">
        <v>0</v>
      </c>
      <c r="J34" s="389">
        <v>0</v>
      </c>
      <c r="K34" s="389">
        <v>0</v>
      </c>
      <c r="L34" s="389">
        <v>0</v>
      </c>
      <c r="M34" s="389">
        <v>0</v>
      </c>
      <c r="N34" s="389">
        <v>0</v>
      </c>
      <c r="O34" s="389">
        <v>0</v>
      </c>
      <c r="P34" s="389">
        <v>0</v>
      </c>
      <c r="Q34" s="389">
        <v>0</v>
      </c>
      <c r="R34" s="389">
        <v>0</v>
      </c>
      <c r="S34" s="389">
        <v>0</v>
      </c>
      <c r="T34" s="389">
        <v>0</v>
      </c>
      <c r="U34" s="389">
        <v>0</v>
      </c>
      <c r="V34" s="389">
        <v>0</v>
      </c>
      <c r="W34" s="389">
        <v>0</v>
      </c>
      <c r="X34" s="389">
        <v>0</v>
      </c>
      <c r="Y34" s="389">
        <v>0</v>
      </c>
      <c r="Z34" s="389">
        <v>0</v>
      </c>
      <c r="AA34" s="389">
        <v>0</v>
      </c>
      <c r="AB34" s="389">
        <v>0</v>
      </c>
      <c r="AC34" s="389">
        <v>0</v>
      </c>
      <c r="AD34" s="389">
        <v>0</v>
      </c>
      <c r="AE34" s="389">
        <v>0</v>
      </c>
      <c r="AF34" s="389">
        <v>0</v>
      </c>
      <c r="AG34"/>
    </row>
    <row r="35" spans="1:39">
      <c r="A35" s="48" t="s">
        <v>57</v>
      </c>
      <c r="B35" s="48">
        <f>B33-B37</f>
        <v>292.62460161116906</v>
      </c>
      <c r="C35" s="48">
        <f>C33-C37</f>
        <v>449.36996001082298</v>
      </c>
      <c r="D35" s="48">
        <f t="shared" ref="D35:AF35" si="9">D33-D37</f>
        <v>475.53925761762366</v>
      </c>
      <c r="E35" s="48">
        <f t="shared" si="9"/>
        <v>903.04154137319711</v>
      </c>
      <c r="F35" s="48">
        <f t="shared" si="9"/>
        <v>1344.9191134495923</v>
      </c>
      <c r="G35" s="48">
        <f t="shared" si="9"/>
        <v>1586.6632445583527</v>
      </c>
      <c r="H35" s="48">
        <f t="shared" si="9"/>
        <v>1774.3913507050747</v>
      </c>
      <c r="I35" s="48">
        <f t="shared" si="9"/>
        <v>1987.0767277819614</v>
      </c>
      <c r="J35" s="48">
        <f t="shared" si="9"/>
        <v>2267.5680782997588</v>
      </c>
      <c r="K35" s="48">
        <f t="shared" si="9"/>
        <v>2540.4065085777038</v>
      </c>
      <c r="L35" s="48">
        <f t="shared" si="9"/>
        <v>2887.1566620910817</v>
      </c>
      <c r="M35" s="48">
        <f t="shared" si="9"/>
        <v>3219.7985393455456</v>
      </c>
      <c r="N35" s="48">
        <f t="shared" si="9"/>
        <v>3617.9425266932885</v>
      </c>
      <c r="O35" s="48">
        <f t="shared" si="9"/>
        <v>4010.6819463462853</v>
      </c>
      <c r="P35" s="48">
        <f t="shared" si="9"/>
        <v>4404.8801683881211</v>
      </c>
      <c r="Q35" s="48">
        <f t="shared" si="9"/>
        <v>4835.9032273510247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-169.9143776698906</v>
      </c>
      <c r="X35" s="48">
        <f t="shared" si="9"/>
        <v>-887.41932317067358</v>
      </c>
      <c r="Y35" s="48">
        <f t="shared" si="9"/>
        <v>-991.10694520959214</v>
      </c>
      <c r="Z35" s="48">
        <f t="shared" si="9"/>
        <v>-1103.4298586728692</v>
      </c>
      <c r="AA35" s="48">
        <f t="shared" si="9"/>
        <v>-1227.8110820944721</v>
      </c>
      <c r="AB35" s="48">
        <f t="shared" si="9"/>
        <v>-1363.2121718427115</v>
      </c>
      <c r="AC35" s="48">
        <f t="shared" si="9"/>
        <v>-1510.5308653265456</v>
      </c>
      <c r="AD35" s="48">
        <f t="shared" si="9"/>
        <v>-1672.3467096216027</v>
      </c>
      <c r="AE35" s="48">
        <f t="shared" si="9"/>
        <v>-1849.7025927505274</v>
      </c>
      <c r="AF35" s="48">
        <f t="shared" si="9"/>
        <v>-1489.4275076606245</v>
      </c>
      <c r="AG35"/>
    </row>
    <row r="36" spans="1:39">
      <c r="A36" s="48" t="s">
        <v>58</v>
      </c>
      <c r="B36" s="392">
        <f>B33*(B32-Assumptions!H17)/365.25*$E$64</f>
        <v>2176.0868660312376</v>
      </c>
      <c r="C36" s="392">
        <f t="shared" ref="C36:AF36" si="10">C33*(C32-C23)/(C41-B41)*$E$64</f>
        <v>3234.755556460821</v>
      </c>
      <c r="D36" s="392">
        <f t="shared" si="10"/>
        <v>3195.4493429892</v>
      </c>
      <c r="E36" s="392">
        <f t="shared" si="10"/>
        <v>3129.8694151155401</v>
      </c>
      <c r="F36" s="392">
        <f t="shared" si="10"/>
        <v>3044.1225177506694</v>
      </c>
      <c r="G36" s="392">
        <f t="shared" si="10"/>
        <v>2921.285641894146</v>
      </c>
      <c r="H36" s="392">
        <f t="shared" si="10"/>
        <v>2780.5029350993968</v>
      </c>
      <c r="I36" s="392">
        <f t="shared" si="10"/>
        <v>2616.6361963466893</v>
      </c>
      <c r="J36" s="392">
        <f t="shared" si="10"/>
        <v>2445.7290486497868</v>
      </c>
      <c r="K36" s="392">
        <f t="shared" si="10"/>
        <v>2244.7308077548305</v>
      </c>
      <c r="L36" s="392">
        <f t="shared" si="10"/>
        <v>2017.9794129620593</v>
      </c>
      <c r="M36" s="392">
        <f t="shared" si="10"/>
        <v>1758.6038381130334</v>
      </c>
      <c r="N36" s="392">
        <f t="shared" si="10"/>
        <v>1477.8704125065199</v>
      </c>
      <c r="O36" s="392">
        <f t="shared" si="10"/>
        <v>1159.4562636167122</v>
      </c>
      <c r="P36" s="392">
        <f t="shared" si="10"/>
        <v>808.26715813482599</v>
      </c>
      <c r="Q36" s="392">
        <f t="shared" si="10"/>
        <v>421.7386081517655</v>
      </c>
      <c r="R36" s="392">
        <f t="shared" si="10"/>
        <v>0</v>
      </c>
      <c r="S36" s="392">
        <f t="shared" si="10"/>
        <v>0</v>
      </c>
      <c r="T36" s="392">
        <f t="shared" si="10"/>
        <v>0</v>
      </c>
      <c r="U36" s="392">
        <f t="shared" si="10"/>
        <v>0</v>
      </c>
      <c r="V36" s="392">
        <f t="shared" si="10"/>
        <v>0</v>
      </c>
      <c r="W36" s="392">
        <f t="shared" si="10"/>
        <v>6.9451673073672628</v>
      </c>
      <c r="X36" s="392">
        <f t="shared" si="10"/>
        <v>50.455976256963559</v>
      </c>
      <c r="Y36" s="392">
        <f t="shared" si="10"/>
        <v>128.44316855315009</v>
      </c>
      <c r="Z36" s="392">
        <f t="shared" si="10"/>
        <v>216.0869732674347</v>
      </c>
      <c r="AA36" s="392">
        <f t="shared" si="10"/>
        <v>313.23863491149456</v>
      </c>
      <c r="AB36" s="392">
        <f t="shared" si="10"/>
        <v>421.20255124424438</v>
      </c>
      <c r="AC36" s="392">
        <f t="shared" si="10"/>
        <v>539.59518463184679</v>
      </c>
      <c r="AD36" s="392">
        <f t="shared" si="10"/>
        <v>673.63447460696432</v>
      </c>
      <c r="AE36" s="392">
        <f t="shared" si="10"/>
        <v>820.34324606282291</v>
      </c>
      <c r="AF36" s="392">
        <f t="shared" si="10"/>
        <v>162.92001249987203</v>
      </c>
      <c r="AG36"/>
    </row>
    <row r="37" spans="1:39">
      <c r="A37" s="48" t="s">
        <v>59</v>
      </c>
      <c r="B37" s="163">
        <f>MAX(B33+B34+B36-B13,0)</f>
        <v>76353.057926634676</v>
      </c>
      <c r="C37" s="163">
        <f>MAX(C33+C34+C36-0.5*C13,0)</f>
        <v>75454.569487639412</v>
      </c>
      <c r="D37" s="163">
        <f t="shared" ref="D37:AF37" si="11">MAX(D33+D34+D36-0.5*D13,0)</f>
        <v>74506.075026603401</v>
      </c>
      <c r="E37" s="163">
        <f t="shared" si="11"/>
        <v>72740.944696639504</v>
      </c>
      <c r="F37" s="163">
        <f t="shared" si="11"/>
        <v>70085.792489185842</v>
      </c>
      <c r="G37" s="163">
        <f t="shared" si="11"/>
        <v>66961.665864497452</v>
      </c>
      <c r="H37" s="163">
        <f t="shared" si="11"/>
        <v>63470.454120929753</v>
      </c>
      <c r="I37" s="163">
        <f t="shared" si="11"/>
        <v>59580.833774493076</v>
      </c>
      <c r="J37" s="163">
        <f t="shared" si="11"/>
        <v>55121.766718046892</v>
      </c>
      <c r="K37" s="163">
        <f t="shared" si="11"/>
        <v>50132.479690748121</v>
      </c>
      <c r="L37" s="163">
        <f t="shared" si="11"/>
        <v>44464.979996935057</v>
      </c>
      <c r="M37" s="163">
        <f t="shared" si="11"/>
        <v>38159.11529860818</v>
      </c>
      <c r="N37" s="163">
        <f t="shared" si="11"/>
        <v>31060.469595767638</v>
      </c>
      <c r="O37" s="163">
        <f t="shared" si="11"/>
        <v>23196.102767257053</v>
      </c>
      <c r="P37" s="163">
        <f t="shared" si="11"/>
        <v>14561.208723878768</v>
      </c>
      <c r="Q37" s="163">
        <f t="shared" si="11"/>
        <v>5087.3581409258104</v>
      </c>
      <c r="R37" s="163">
        <f t="shared" si="11"/>
        <v>0</v>
      </c>
      <c r="S37" s="163">
        <f t="shared" si="11"/>
        <v>0</v>
      </c>
      <c r="T37" s="163">
        <f t="shared" si="11"/>
        <v>0</v>
      </c>
      <c r="U37" s="163">
        <f t="shared" si="11"/>
        <v>0</v>
      </c>
      <c r="V37" s="163">
        <f t="shared" si="11"/>
        <v>0</v>
      </c>
      <c r="W37" s="163">
        <f t="shared" si="11"/>
        <v>332.88358803241397</v>
      </c>
      <c r="X37" s="163">
        <f t="shared" si="11"/>
        <v>2071.3750501903905</v>
      </c>
      <c r="Y37" s="163">
        <f t="shared" si="11"/>
        <v>4013.2991464601823</v>
      </c>
      <c r="Z37" s="163">
        <f t="shared" si="11"/>
        <v>6173.9374281112277</v>
      </c>
      <c r="AA37" s="163">
        <f t="shared" si="11"/>
        <v>8577.9944149582134</v>
      </c>
      <c r="AB37" s="163">
        <f t="shared" si="11"/>
        <v>11246.782162466252</v>
      </c>
      <c r="AC37" s="163">
        <f t="shared" si="11"/>
        <v>14206.888150781762</v>
      </c>
      <c r="AD37" s="163">
        <f t="shared" si="11"/>
        <v>17479.263021517581</v>
      </c>
      <c r="AE37" s="163">
        <f t="shared" si="11"/>
        <v>21099.15838271712</v>
      </c>
      <c r="AF37" s="163">
        <f t="shared" si="11"/>
        <v>24809.350865485441</v>
      </c>
      <c r="AG37"/>
    </row>
    <row r="38" spans="1:39">
      <c r="A38" s="48" t="s">
        <v>335</v>
      </c>
      <c r="B38" s="163">
        <f>(B32-Assumptions!H17)/(Debt!B41-Assumptions!H17)*IS!C32</f>
        <v>3209.3249079351326</v>
      </c>
      <c r="C38" s="163">
        <f>(C32-C23)/(C41-B41)*IS!D32</f>
        <v>4798.664491985639</v>
      </c>
      <c r="D38" s="163">
        <f>(D32-D23)/(D41-C41)*IS!E32</f>
        <v>4780.94126787605</v>
      </c>
      <c r="E38" s="163">
        <f>(E32-E23)/(E41-D41)*IS!F32</f>
        <v>5395.6122826204419</v>
      </c>
      <c r="F38" s="163">
        <f>(F32-F23)/(F41-E41)*IS!G32</f>
        <v>5829.5813518490031</v>
      </c>
      <c r="G38" s="163">
        <f>(G32-G23)/(G41-F41)*IS!H32</f>
        <v>5891.9349531235002</v>
      </c>
      <c r="H38" s="163">
        <f>(H32-H23)/(H41-G41)*IS!I32</f>
        <v>5952.7467899690791</v>
      </c>
      <c r="I38" s="163">
        <f>(I32-I23)/(I41-H41)*IS!J32</f>
        <v>5995.442368775367</v>
      </c>
      <c r="J38" s="163">
        <f>(J32-J23)/(J41-I41)*IS!K32</f>
        <v>6193.4361950512221</v>
      </c>
      <c r="K38" s="163">
        <f>(K32-K23)/(K41-J41)*IS!L32</f>
        <v>6252.4293480341585</v>
      </c>
      <c r="L38" s="163">
        <f>(L32-L23)/(L41-K41)*IS!M32</f>
        <v>6441.2141380991798</v>
      </c>
      <c r="M38" s="163">
        <f>(M32-M23)/(M41-L41)*IS!N32</f>
        <v>6482.08496228279</v>
      </c>
      <c r="N38" s="163">
        <f>(N32-N23)/(N41-M41)*IS!O32</f>
        <v>6696.0513317647246</v>
      </c>
      <c r="O38" s="163">
        <f>(O32-O23)/(O41-N41)*IS!P32</f>
        <v>6754.0550697438157</v>
      </c>
      <c r="P38" s="163">
        <f>(P32-P23)/(P41-O41)*IS!Q32</f>
        <v>6809.476228514347</v>
      </c>
      <c r="Q38" s="163">
        <f>(Q32-Q23)/(Q41-P41)*IS!R32</f>
        <v>6843.3587219542615</v>
      </c>
      <c r="R38" s="163">
        <f>(R32-R23)/(R41-Q41)*IS!S32</f>
        <v>6935.2969801526333</v>
      </c>
      <c r="S38" s="163">
        <f>(S32-S23)/(S41-R41)*IS!T32</f>
        <v>6998.5186901778206</v>
      </c>
      <c r="T38" s="163">
        <f>(T32-T23)/(T41-S41)*IS!U32</f>
        <v>7041.4347838544145</v>
      </c>
      <c r="U38" s="163">
        <f>(U32-U23)/(U41-T41)*IS!V32</f>
        <v>7061.2812004388252</v>
      </c>
      <c r="V38" s="163">
        <f>(V32-V23)/(V41-U41)*IS!W32</f>
        <v>2360.6405773999709</v>
      </c>
      <c r="W38" s="163">
        <f>(W32-W23)/(W41-V41)*IS!X32</f>
        <v>-1067.0038059630874</v>
      </c>
      <c r="X38" s="163">
        <f>(X32-X23)/(X41-W41)*IS!Y32</f>
        <v>-1099.0139201419788</v>
      </c>
      <c r="Y38" s="163">
        <f>(Y32-Y23)/(Y41-X41)*IS!Z32</f>
        <v>-1128.8914843644184</v>
      </c>
      <c r="Z38" s="163">
        <f>(Z32-Z23)/(Z41-Y41)*IS!AA32</f>
        <v>-1165.9438678786264</v>
      </c>
      <c r="AA38" s="163">
        <f>(AA32-AA23)/(AA41-Z41)*IS!AB32</f>
        <v>-1200.9221839149852</v>
      </c>
      <c r="AB38" s="163">
        <f>(AB32-AB23)/(AB41-AA41)*IS!AC32</f>
        <v>-1236.9498494324343</v>
      </c>
      <c r="AC38" s="163">
        <f>(AC32-AC23)/(AC41-AB41)*IS!AD32</f>
        <v>-1270.5773111861313</v>
      </c>
      <c r="AD38" s="163">
        <f>(AD32-AD23)/(AD41-AC41)*IS!AE32</f>
        <v>-1312.2800952628693</v>
      </c>
      <c r="AE38" s="163">
        <f>(AE32-AE23)/(AE41-AD41)*IS!AF32</f>
        <v>-1351.6484981207561</v>
      </c>
      <c r="AF38" s="163">
        <f>(AF32-AF23)/(AG23-AE41)*IS!AG32</f>
        <v>-688.45990091924966</v>
      </c>
      <c r="AG38"/>
    </row>
    <row r="39" spans="1:39">
      <c r="A39" s="412" t="s">
        <v>0</v>
      </c>
      <c r="B39" s="413">
        <f t="shared" ref="B39:AF39" si="12">IF(B37&gt;0.1,B38/(B36+B35)," ")</f>
        <v>1.3000000000000016</v>
      </c>
      <c r="C39" s="413">
        <f t="shared" si="12"/>
        <v>1.3025247024106306</v>
      </c>
      <c r="D39" s="413">
        <f t="shared" si="12"/>
        <v>1.3023579716607534</v>
      </c>
      <c r="E39" s="413">
        <f t="shared" si="12"/>
        <v>1.3378952178299874</v>
      </c>
      <c r="F39" s="413">
        <f t="shared" si="12"/>
        <v>1.3282128176703578</v>
      </c>
      <c r="G39" s="413">
        <f t="shared" si="12"/>
        <v>1.3070101506319696</v>
      </c>
      <c r="H39" s="413">
        <f t="shared" si="12"/>
        <v>1.3068902188402212</v>
      </c>
      <c r="I39" s="413">
        <f t="shared" si="12"/>
        <v>1.3023058708444837</v>
      </c>
      <c r="J39" s="413">
        <f t="shared" si="12"/>
        <v>1.3140347464280542</v>
      </c>
      <c r="K39" s="413">
        <f t="shared" si="12"/>
        <v>1.3066353031695648</v>
      </c>
      <c r="L39" s="413">
        <f t="shared" si="12"/>
        <v>1.3131570744506609</v>
      </c>
      <c r="M39" s="413">
        <f t="shared" si="12"/>
        <v>1.3020411912931444</v>
      </c>
      <c r="N39" s="413">
        <f t="shared" si="12"/>
        <v>1.3140300500936757</v>
      </c>
      <c r="O39" s="413">
        <f t="shared" si="12"/>
        <v>1.3063587075348522</v>
      </c>
      <c r="P39" s="413">
        <f t="shared" si="12"/>
        <v>1.3062121213934914</v>
      </c>
      <c r="Q39" s="413">
        <f t="shared" si="12"/>
        <v>1.3016023030978923</v>
      </c>
      <c r="R39" s="413" t="str">
        <f t="shared" si="12"/>
        <v xml:space="preserve"> </v>
      </c>
      <c r="S39" s="413" t="str">
        <f t="shared" si="12"/>
        <v xml:space="preserve"> </v>
      </c>
      <c r="T39" s="413" t="str">
        <f t="shared" si="12"/>
        <v xml:space="preserve"> </v>
      </c>
      <c r="U39" s="413" t="str">
        <f t="shared" si="12"/>
        <v xml:space="preserve"> </v>
      </c>
      <c r="V39" s="413" t="str">
        <f t="shared" si="12"/>
        <v xml:space="preserve"> </v>
      </c>
      <c r="W39" s="413">
        <f t="shared" si="12"/>
        <v>6.5472723564748723</v>
      </c>
      <c r="X39" s="413">
        <f t="shared" si="12"/>
        <v>1.3130968329671502</v>
      </c>
      <c r="Y39" s="413">
        <f t="shared" si="12"/>
        <v>1.3086112050975827</v>
      </c>
      <c r="Z39" s="413">
        <f t="shared" si="12"/>
        <v>1.3139721826314039</v>
      </c>
      <c r="AA39" s="413">
        <f t="shared" si="12"/>
        <v>1.3130968329671513</v>
      </c>
      <c r="AB39" s="413">
        <f t="shared" si="12"/>
        <v>1.3130968329671506</v>
      </c>
      <c r="AC39" s="413">
        <f t="shared" si="12"/>
        <v>1.3086112050975824</v>
      </c>
      <c r="AD39" s="413">
        <f t="shared" si="12"/>
        <v>1.3139721826314013</v>
      </c>
      <c r="AE39" s="413">
        <f t="shared" si="12"/>
        <v>1.3130968329671466</v>
      </c>
      <c r="AF39" s="413">
        <f t="shared" si="12"/>
        <v>0.51900189288852738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402">
        <f>B8</f>
        <v>37256</v>
      </c>
      <c r="C41" s="402">
        <f t="shared" ref="C41:AF41" si="13">C8</f>
        <v>37621</v>
      </c>
      <c r="D41" s="402">
        <f t="shared" si="13"/>
        <v>37986</v>
      </c>
      <c r="E41" s="402">
        <f t="shared" si="13"/>
        <v>38352</v>
      </c>
      <c r="F41" s="402">
        <f t="shared" si="13"/>
        <v>38717</v>
      </c>
      <c r="G41" s="402">
        <f t="shared" si="13"/>
        <v>39082</v>
      </c>
      <c r="H41" s="402">
        <f t="shared" si="13"/>
        <v>39447</v>
      </c>
      <c r="I41" s="402">
        <f t="shared" si="13"/>
        <v>39813</v>
      </c>
      <c r="J41" s="402">
        <f t="shared" si="13"/>
        <v>40178</v>
      </c>
      <c r="K41" s="402">
        <f t="shared" si="13"/>
        <v>40543</v>
      </c>
      <c r="L41" s="402">
        <f t="shared" si="13"/>
        <v>40908</v>
      </c>
      <c r="M41" s="402">
        <f t="shared" si="13"/>
        <v>41274</v>
      </c>
      <c r="N41" s="402">
        <f t="shared" si="13"/>
        <v>41639</v>
      </c>
      <c r="O41" s="402">
        <f t="shared" si="13"/>
        <v>42004</v>
      </c>
      <c r="P41" s="402">
        <f t="shared" si="13"/>
        <v>42369</v>
      </c>
      <c r="Q41" s="402">
        <f t="shared" si="13"/>
        <v>42735</v>
      </c>
      <c r="R41" s="402">
        <f t="shared" si="13"/>
        <v>43100</v>
      </c>
      <c r="S41" s="402">
        <f t="shared" si="13"/>
        <v>43465</v>
      </c>
      <c r="T41" s="402">
        <f t="shared" si="13"/>
        <v>43830</v>
      </c>
      <c r="U41" s="402">
        <f t="shared" si="13"/>
        <v>44196</v>
      </c>
      <c r="V41" s="402">
        <f t="shared" si="13"/>
        <v>44561</v>
      </c>
      <c r="W41" s="402">
        <f t="shared" si="13"/>
        <v>44926</v>
      </c>
      <c r="X41" s="402">
        <f t="shared" si="13"/>
        <v>45291</v>
      </c>
      <c r="Y41" s="402">
        <f t="shared" si="13"/>
        <v>45657</v>
      </c>
      <c r="Z41" s="402">
        <f t="shared" si="13"/>
        <v>46022</v>
      </c>
      <c r="AA41" s="402">
        <f t="shared" si="13"/>
        <v>46387</v>
      </c>
      <c r="AB41" s="402">
        <f t="shared" si="13"/>
        <v>46752</v>
      </c>
      <c r="AC41" s="402">
        <f t="shared" si="13"/>
        <v>47118</v>
      </c>
      <c r="AD41" s="402">
        <f t="shared" si="13"/>
        <v>47483</v>
      </c>
      <c r="AE41" s="402">
        <f t="shared" si="13"/>
        <v>47848</v>
      </c>
      <c r="AF41" s="402">
        <f t="shared" si="13"/>
        <v>48213</v>
      </c>
    </row>
    <row r="42" spans="1:39">
      <c r="A42" s="48" t="s">
        <v>56</v>
      </c>
      <c r="B42" s="48">
        <f>B37</f>
        <v>76353.057926634676</v>
      </c>
      <c r="C42" s="48">
        <f>C37</f>
        <v>75454.569487639412</v>
      </c>
      <c r="D42" s="48">
        <f t="shared" ref="D42:AF42" si="14">D37</f>
        <v>74506.075026603401</v>
      </c>
      <c r="E42" s="48">
        <f t="shared" si="14"/>
        <v>72740.944696639504</v>
      </c>
      <c r="F42" s="48">
        <f t="shared" si="14"/>
        <v>70085.792489185842</v>
      </c>
      <c r="G42" s="48">
        <f t="shared" si="14"/>
        <v>66961.665864497452</v>
      </c>
      <c r="H42" s="48">
        <f t="shared" si="14"/>
        <v>63470.454120929753</v>
      </c>
      <c r="I42" s="48">
        <f t="shared" si="14"/>
        <v>59580.833774493076</v>
      </c>
      <c r="J42" s="48">
        <f t="shared" si="14"/>
        <v>55121.766718046892</v>
      </c>
      <c r="K42" s="48">
        <f t="shared" si="14"/>
        <v>50132.479690748121</v>
      </c>
      <c r="L42" s="48">
        <f t="shared" si="14"/>
        <v>44464.979996935057</v>
      </c>
      <c r="M42" s="48">
        <f t="shared" si="14"/>
        <v>38159.11529860818</v>
      </c>
      <c r="N42" s="48">
        <f t="shared" si="14"/>
        <v>31060.469595767638</v>
      </c>
      <c r="O42" s="48">
        <f t="shared" si="14"/>
        <v>23196.102767257053</v>
      </c>
      <c r="P42" s="48">
        <f t="shared" si="14"/>
        <v>14561.208723878768</v>
      </c>
      <c r="Q42" s="48">
        <f t="shared" si="14"/>
        <v>5087.3581409258104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332.88358803241397</v>
      </c>
      <c r="X42" s="48">
        <f t="shared" si="14"/>
        <v>2071.3750501903905</v>
      </c>
      <c r="Y42" s="48">
        <f t="shared" si="14"/>
        <v>4013.2991464601823</v>
      </c>
      <c r="Z42" s="48">
        <f t="shared" si="14"/>
        <v>6173.9374281112277</v>
      </c>
      <c r="AA42" s="48">
        <f t="shared" si="14"/>
        <v>8577.9944149582134</v>
      </c>
      <c r="AB42" s="48">
        <f t="shared" si="14"/>
        <v>11246.782162466252</v>
      </c>
      <c r="AC42" s="48">
        <f t="shared" si="14"/>
        <v>14206.888150781762</v>
      </c>
      <c r="AD42" s="48">
        <f t="shared" si="14"/>
        <v>17479.263021517581</v>
      </c>
      <c r="AE42" s="48">
        <f t="shared" si="14"/>
        <v>21099.15838271712</v>
      </c>
      <c r="AF42" s="48">
        <f t="shared" si="14"/>
        <v>24809.350865485441</v>
      </c>
    </row>
    <row r="43" spans="1:39">
      <c r="A43" s="48" t="s">
        <v>333</v>
      </c>
      <c r="B43" s="389">
        <v>0</v>
      </c>
      <c r="C43" s="389">
        <v>0</v>
      </c>
      <c r="D43" s="389">
        <v>0</v>
      </c>
      <c r="E43" s="389">
        <v>0</v>
      </c>
      <c r="F43" s="389">
        <v>0</v>
      </c>
      <c r="G43" s="389">
        <v>0</v>
      </c>
      <c r="H43" s="389">
        <v>0</v>
      </c>
      <c r="I43" s="389">
        <v>0</v>
      </c>
      <c r="J43" s="389">
        <v>0</v>
      </c>
      <c r="K43" s="389">
        <v>0</v>
      </c>
      <c r="L43" s="389">
        <v>0</v>
      </c>
      <c r="M43" s="389">
        <v>0</v>
      </c>
      <c r="N43" s="389">
        <v>0</v>
      </c>
      <c r="O43" s="389">
        <v>0</v>
      </c>
      <c r="P43" s="389">
        <v>0</v>
      </c>
      <c r="Q43" s="389">
        <v>0</v>
      </c>
      <c r="R43" s="389">
        <v>0</v>
      </c>
      <c r="S43" s="389">
        <v>0</v>
      </c>
      <c r="T43" s="389">
        <v>0</v>
      </c>
      <c r="U43" s="389">
        <v>0</v>
      </c>
      <c r="V43" s="389">
        <v>0</v>
      </c>
      <c r="W43" s="389">
        <v>0</v>
      </c>
      <c r="X43" s="389">
        <v>0</v>
      </c>
      <c r="Y43" s="389">
        <v>0</v>
      </c>
      <c r="Z43" s="389">
        <v>0</v>
      </c>
      <c r="AA43" s="389">
        <v>0</v>
      </c>
      <c r="AB43" s="389">
        <v>0</v>
      </c>
      <c r="AC43" s="389">
        <v>0</v>
      </c>
      <c r="AD43" s="389">
        <v>0</v>
      </c>
      <c r="AE43" s="389">
        <v>0</v>
      </c>
      <c r="AF43" s="389">
        <v>0</v>
      </c>
    </row>
    <row r="44" spans="1:39">
      <c r="A44" s="48" t="s">
        <v>58</v>
      </c>
      <c r="B44" s="392">
        <f>B42*(B41-B32)/365.25*$E$64</f>
        <v>1616.9497688227768</v>
      </c>
      <c r="C44" s="392">
        <f t="shared" ref="C44:AF44" si="15">C42*(C41-C32)/(C41-B41)*$E$64</f>
        <v>1599.0166985942217</v>
      </c>
      <c r="D44" s="392">
        <f t="shared" si="15"/>
        <v>1578.9164118651436</v>
      </c>
      <c r="E44" s="392">
        <f t="shared" si="15"/>
        <v>1537.2983804057558</v>
      </c>
      <c r="F44" s="392">
        <f t="shared" si="15"/>
        <v>1485.2427531612398</v>
      </c>
      <c r="G44" s="392">
        <f t="shared" si="15"/>
        <v>1419.0369464709256</v>
      </c>
      <c r="H44" s="392">
        <f t="shared" si="15"/>
        <v>1345.0519523983332</v>
      </c>
      <c r="I44" s="392">
        <f t="shared" si="15"/>
        <v>1259.1741782669508</v>
      </c>
      <c r="J44" s="392">
        <f t="shared" si="15"/>
        <v>1168.1283988057335</v>
      </c>
      <c r="K44" s="392">
        <f t="shared" si="15"/>
        <v>1062.3965216655802</v>
      </c>
      <c r="L44" s="392">
        <f t="shared" si="15"/>
        <v>942.29211034600735</v>
      </c>
      <c r="M44" s="392">
        <f t="shared" si="15"/>
        <v>806.4501552861592</v>
      </c>
      <c r="N44" s="392">
        <f t="shared" si="15"/>
        <v>658.22666389934989</v>
      </c>
      <c r="O44" s="392">
        <f t="shared" si="15"/>
        <v>491.56672576639261</v>
      </c>
      <c r="P44" s="392">
        <f t="shared" si="15"/>
        <v>308.57794377863632</v>
      </c>
      <c r="Q44" s="392">
        <f t="shared" si="15"/>
        <v>107.51561535535832</v>
      </c>
      <c r="R44" s="392">
        <f t="shared" si="15"/>
        <v>0</v>
      </c>
      <c r="S44" s="392">
        <f t="shared" si="15"/>
        <v>0</v>
      </c>
      <c r="T44" s="392">
        <f t="shared" si="15"/>
        <v>0</v>
      </c>
      <c r="U44" s="392">
        <f t="shared" si="15"/>
        <v>0</v>
      </c>
      <c r="V44" s="392">
        <f t="shared" si="15"/>
        <v>0</v>
      </c>
      <c r="W44" s="392">
        <f t="shared" si="15"/>
        <v>7.0543960367964988</v>
      </c>
      <c r="X44" s="392">
        <f t="shared" si="15"/>
        <v>43.896126063623768</v>
      </c>
      <c r="Y44" s="392">
        <f t="shared" si="15"/>
        <v>84.816581688168071</v>
      </c>
      <c r="Z44" s="392">
        <f t="shared" si="15"/>
        <v>130.8367287847681</v>
      </c>
      <c r="AA44" s="392">
        <f t="shared" si="15"/>
        <v>181.78297753342954</v>
      </c>
      <c r="AB44" s="392">
        <f t="shared" si="15"/>
        <v>238.33934253883962</v>
      </c>
      <c r="AC44" s="392">
        <f t="shared" si="15"/>
        <v>300.24666624671295</v>
      </c>
      <c r="AD44" s="392">
        <f t="shared" si="15"/>
        <v>370.41671088065345</v>
      </c>
      <c r="AE44" s="392">
        <f t="shared" si="15"/>
        <v>447.12873997347106</v>
      </c>
      <c r="AF44" s="392">
        <f t="shared" si="15"/>
        <v>1409.7148957538852</v>
      </c>
    </row>
    <row r="45" spans="1:39">
      <c r="A45" s="48" t="s">
        <v>59</v>
      </c>
      <c r="B45" s="48">
        <f>B42+B43</f>
        <v>76353.057926634676</v>
      </c>
      <c r="C45" s="48">
        <f t="shared" ref="C45:AF45" si="16">C42+C43</f>
        <v>75454.569487639412</v>
      </c>
      <c r="D45" s="48">
        <f t="shared" si="16"/>
        <v>74506.075026603401</v>
      </c>
      <c r="E45" s="48">
        <f t="shared" si="16"/>
        <v>72740.944696639504</v>
      </c>
      <c r="F45" s="48">
        <f t="shared" si="16"/>
        <v>70085.792489185842</v>
      </c>
      <c r="G45" s="48">
        <f t="shared" si="16"/>
        <v>66961.665864497452</v>
      </c>
      <c r="H45" s="48">
        <f t="shared" si="16"/>
        <v>63470.454120929753</v>
      </c>
      <c r="I45" s="48">
        <f t="shared" si="16"/>
        <v>59580.833774493076</v>
      </c>
      <c r="J45" s="48">
        <f t="shared" si="16"/>
        <v>55121.766718046892</v>
      </c>
      <c r="K45" s="48">
        <f t="shared" si="16"/>
        <v>50132.479690748121</v>
      </c>
      <c r="L45" s="48">
        <f t="shared" si="16"/>
        <v>44464.979996935057</v>
      </c>
      <c r="M45" s="48">
        <f t="shared" si="16"/>
        <v>38159.11529860818</v>
      </c>
      <c r="N45" s="48">
        <f t="shared" si="16"/>
        <v>31060.469595767638</v>
      </c>
      <c r="O45" s="48">
        <f t="shared" si="16"/>
        <v>23196.102767257053</v>
      </c>
      <c r="P45" s="48">
        <f t="shared" si="16"/>
        <v>14561.208723878768</v>
      </c>
      <c r="Q45" s="48">
        <f t="shared" si="16"/>
        <v>5087.3581409258104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332.88358803241397</v>
      </c>
      <c r="X45" s="48">
        <f t="shared" si="16"/>
        <v>2071.3750501903905</v>
      </c>
      <c r="Y45" s="48">
        <f t="shared" si="16"/>
        <v>4013.2991464601823</v>
      </c>
      <c r="Z45" s="48">
        <f t="shared" si="16"/>
        <v>6173.9374281112277</v>
      </c>
      <c r="AA45" s="48">
        <f t="shared" si="16"/>
        <v>8577.9944149582134</v>
      </c>
      <c r="AB45" s="48">
        <f t="shared" si="16"/>
        <v>11246.782162466252</v>
      </c>
      <c r="AC45" s="48">
        <f t="shared" si="16"/>
        <v>14206.888150781762</v>
      </c>
      <c r="AD45" s="48">
        <f t="shared" si="16"/>
        <v>17479.263021517581</v>
      </c>
      <c r="AE45" s="48">
        <f t="shared" si="16"/>
        <v>21099.15838271712</v>
      </c>
      <c r="AF45" s="48">
        <f t="shared" si="16"/>
        <v>24809.350865485441</v>
      </c>
    </row>
    <row r="46" spans="1:39">
      <c r="A46" s="48"/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388"/>
      <c r="Z46" s="388"/>
      <c r="AA46" s="388"/>
      <c r="AB46" s="388"/>
      <c r="AC46" s="388"/>
      <c r="AD46" s="388"/>
      <c r="AE46" s="388"/>
      <c r="AF46" s="388"/>
    </row>
    <row r="47" spans="1:39">
      <c r="A47" s="403" t="s">
        <v>393</v>
      </c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8"/>
      <c r="X47" s="388"/>
      <c r="Y47" s="388"/>
      <c r="Z47" s="388"/>
      <c r="AA47" s="388"/>
      <c r="AB47" s="388"/>
      <c r="AC47" s="388"/>
      <c r="AD47" s="388"/>
      <c r="AE47" s="388"/>
      <c r="AF47" s="388"/>
      <c r="AG47" s="49"/>
      <c r="AH47" s="49"/>
      <c r="AI47" s="49"/>
      <c r="AJ47" s="49"/>
      <c r="AK47" s="49"/>
      <c r="AL47" s="49"/>
      <c r="AM47" s="49"/>
    </row>
    <row r="48" spans="1:39">
      <c r="A48" s="48" t="s">
        <v>138</v>
      </c>
      <c r="B48" s="163">
        <f>SUM(B35,B26)</f>
        <v>292.62460161116906</v>
      </c>
      <c r="C48" s="163">
        <f t="shared" ref="C48:AF48" si="17">SUM(C35,C26)</f>
        <v>898.488438995264</v>
      </c>
      <c r="D48" s="163">
        <f t="shared" si="17"/>
        <v>948.49446103601076</v>
      </c>
      <c r="E48" s="163">
        <f t="shared" si="17"/>
        <v>1765.1303299638967</v>
      </c>
      <c r="F48" s="163">
        <f t="shared" si="17"/>
        <v>2655.1522074536624</v>
      </c>
      <c r="G48" s="163">
        <f t="shared" si="17"/>
        <v>3124.1266246883897</v>
      </c>
      <c r="H48" s="163">
        <f t="shared" si="17"/>
        <v>3491.2117435676992</v>
      </c>
      <c r="I48" s="163">
        <f t="shared" si="17"/>
        <v>3889.6203464366772</v>
      </c>
      <c r="J48" s="163">
        <f t="shared" si="17"/>
        <v>4459.0670564461834</v>
      </c>
      <c r="K48" s="163">
        <f t="shared" si="17"/>
        <v>4989.2870272987711</v>
      </c>
      <c r="L48" s="163">
        <f t="shared" si="17"/>
        <v>5667.4996938130644</v>
      </c>
      <c r="M48" s="163">
        <f t="shared" si="17"/>
        <v>6305.8646983268773</v>
      </c>
      <c r="N48" s="163">
        <f t="shared" si="17"/>
        <v>7098.6457028405421</v>
      </c>
      <c r="O48" s="163">
        <f t="shared" si="17"/>
        <v>7864.366828510585</v>
      </c>
      <c r="P48" s="163">
        <f t="shared" si="17"/>
        <v>8634.8940433782846</v>
      </c>
      <c r="Q48" s="163">
        <f t="shared" si="17"/>
        <v>9473.8505829529568</v>
      </c>
      <c r="R48" s="163">
        <f t="shared" si="17"/>
        <v>5087.3581409258104</v>
      </c>
      <c r="S48" s="163">
        <f t="shared" si="17"/>
        <v>0</v>
      </c>
      <c r="T48" s="163">
        <f t="shared" si="17"/>
        <v>0</v>
      </c>
      <c r="U48" s="163">
        <f t="shared" si="17"/>
        <v>0</v>
      </c>
      <c r="V48" s="163">
        <f t="shared" si="17"/>
        <v>0</v>
      </c>
      <c r="W48" s="163">
        <f t="shared" si="17"/>
        <v>-332.88358803241397</v>
      </c>
      <c r="X48" s="163">
        <f t="shared" si="17"/>
        <v>-1738.4914621579765</v>
      </c>
      <c r="Y48" s="163">
        <f t="shared" si="17"/>
        <v>-1941.9240962697918</v>
      </c>
      <c r="Z48" s="163">
        <f t="shared" si="17"/>
        <v>-2160.6382816510454</v>
      </c>
      <c r="AA48" s="163">
        <f t="shared" si="17"/>
        <v>-2404.0569868469856</v>
      </c>
      <c r="AB48" s="163">
        <f t="shared" si="17"/>
        <v>-2668.7877475080386</v>
      </c>
      <c r="AC48" s="163">
        <f t="shared" si="17"/>
        <v>-2960.1059883155103</v>
      </c>
      <c r="AD48" s="163">
        <f t="shared" si="17"/>
        <v>-3272.3748707358191</v>
      </c>
      <c r="AE48" s="163">
        <f t="shared" si="17"/>
        <v>-3619.8953611995385</v>
      </c>
      <c r="AF48" s="163">
        <f t="shared" si="17"/>
        <v>-3710.1924827683215</v>
      </c>
      <c r="AG48" s="49"/>
      <c r="AH48" s="49"/>
      <c r="AI48" s="49"/>
      <c r="AJ48" s="49"/>
      <c r="AK48" s="49"/>
      <c r="AL48" s="49"/>
      <c r="AM48" s="49"/>
    </row>
    <row r="49" spans="1:39">
      <c r="A49" s="403" t="s">
        <v>137</v>
      </c>
      <c r="B49" s="392">
        <f>B36</f>
        <v>2176.0868660312376</v>
      </c>
      <c r="C49" s="392">
        <f t="shared" ref="C49:AF49" si="18">C27+C36+B44</f>
        <v>6469.762593948034</v>
      </c>
      <c r="D49" s="392">
        <f t="shared" si="18"/>
        <v>6393.4827401776429</v>
      </c>
      <c r="E49" s="392">
        <f t="shared" si="18"/>
        <v>6300.6915830135758</v>
      </c>
      <c r="F49" s="392">
        <f t="shared" si="18"/>
        <v>6122.9310549468546</v>
      </c>
      <c r="G49" s="392">
        <f t="shared" si="18"/>
        <v>5891.7711482166251</v>
      </c>
      <c r="H49" s="392">
        <f t="shared" si="18"/>
        <v>5618.5768280412485</v>
      </c>
      <c r="I49" s="392">
        <f t="shared" si="18"/>
        <v>5317.805501820626</v>
      </c>
      <c r="J49" s="392">
        <f t="shared" si="18"/>
        <v>4967.5271974529123</v>
      </c>
      <c r="K49" s="392">
        <f t="shared" si="18"/>
        <v>4580.9876053662974</v>
      </c>
      <c r="L49" s="392">
        <f t="shared" si="18"/>
        <v>4142.7724562932199</v>
      </c>
      <c r="M49" s="392">
        <f t="shared" si="18"/>
        <v>3650.9400565902761</v>
      </c>
      <c r="N49" s="392">
        <f t="shared" si="18"/>
        <v>3092.9801755590747</v>
      </c>
      <c r="O49" s="392">
        <f t="shared" si="18"/>
        <v>2475.9095914154123</v>
      </c>
      <c r="P49" s="392">
        <f t="shared" si="18"/>
        <v>1791.4006096676112</v>
      </c>
      <c r="Q49" s="392">
        <f t="shared" si="18"/>
        <v>1041.4330880526204</v>
      </c>
      <c r="R49" s="392">
        <f t="shared" si="18"/>
        <v>215.32579404045737</v>
      </c>
      <c r="S49" s="392">
        <f t="shared" si="18"/>
        <v>0</v>
      </c>
      <c r="T49" s="392">
        <f t="shared" si="18"/>
        <v>0</v>
      </c>
      <c r="U49" s="392">
        <f t="shared" si="18"/>
        <v>0</v>
      </c>
      <c r="V49" s="392">
        <f t="shared" si="18"/>
        <v>0</v>
      </c>
      <c r="W49" s="392">
        <f t="shared" si="18"/>
        <v>6.9451673073672628</v>
      </c>
      <c r="X49" s="392">
        <f t="shared" si="18"/>
        <v>64.564768330556561</v>
      </c>
      <c r="Y49" s="392">
        <f t="shared" si="18"/>
        <v>216.59654295690734</v>
      </c>
      <c r="Z49" s="392">
        <f t="shared" si="18"/>
        <v>385.95251084017679</v>
      </c>
      <c r="AA49" s="392">
        <f t="shared" si="18"/>
        <v>574.91209248103075</v>
      </c>
      <c r="AB49" s="392">
        <f t="shared" si="18"/>
        <v>784.76850631110347</v>
      </c>
      <c r="AC49" s="392">
        <f t="shared" si="18"/>
        <v>1018.2346269261129</v>
      </c>
      <c r="AD49" s="392">
        <f t="shared" si="18"/>
        <v>1274.9504007065457</v>
      </c>
      <c r="AE49" s="392">
        <f t="shared" si="18"/>
        <v>1561.1766678241299</v>
      </c>
      <c r="AF49" s="392">
        <f t="shared" si="18"/>
        <v>1057.1774924468141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60</v>
      </c>
      <c r="B50" s="49">
        <f t="shared" ref="B50:AF50" si="19">SUM(B48:B49)</f>
        <v>2468.7114676424067</v>
      </c>
      <c r="C50" s="49">
        <f t="shared" si="19"/>
        <v>7368.251032943298</v>
      </c>
      <c r="D50" s="49">
        <f t="shared" si="19"/>
        <v>7341.9772012136536</v>
      </c>
      <c r="E50" s="49">
        <f t="shared" si="19"/>
        <v>8065.8219129774725</v>
      </c>
      <c r="F50" s="49">
        <f t="shared" si="19"/>
        <v>8778.0832624005161</v>
      </c>
      <c r="G50" s="49">
        <f t="shared" si="19"/>
        <v>9015.8977729050148</v>
      </c>
      <c r="H50" s="49">
        <f t="shared" si="19"/>
        <v>9109.7885716089477</v>
      </c>
      <c r="I50" s="49">
        <f t="shared" si="19"/>
        <v>9207.4258482573023</v>
      </c>
      <c r="J50" s="49">
        <f t="shared" si="19"/>
        <v>9426.5942538990967</v>
      </c>
      <c r="K50" s="49">
        <f t="shared" si="19"/>
        <v>9570.2746326650686</v>
      </c>
      <c r="L50" s="49">
        <f t="shared" si="19"/>
        <v>9810.2721501062842</v>
      </c>
      <c r="M50" s="49">
        <f t="shared" si="19"/>
        <v>9956.8047549171533</v>
      </c>
      <c r="N50" s="49">
        <f t="shared" si="19"/>
        <v>10191.625878399616</v>
      </c>
      <c r="O50" s="49">
        <f t="shared" si="19"/>
        <v>10340.276419925998</v>
      </c>
      <c r="P50" s="49">
        <f t="shared" si="19"/>
        <v>10426.294653045896</v>
      </c>
      <c r="Q50" s="49">
        <f t="shared" si="19"/>
        <v>10515.283671005578</v>
      </c>
      <c r="R50" s="49">
        <f t="shared" si="19"/>
        <v>5302.6839349662678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-325.93842072504668</v>
      </c>
      <c r="X50" s="49">
        <f t="shared" si="19"/>
        <v>-1673.92669382742</v>
      </c>
      <c r="Y50" s="49">
        <f t="shared" si="19"/>
        <v>-1725.3275533128844</v>
      </c>
      <c r="Z50" s="49">
        <f t="shared" si="19"/>
        <v>-1774.6857708108687</v>
      </c>
      <c r="AA50" s="49">
        <f t="shared" si="19"/>
        <v>-1829.1448943659548</v>
      </c>
      <c r="AB50" s="49">
        <f t="shared" si="19"/>
        <v>-1884.0192411969351</v>
      </c>
      <c r="AC50" s="49">
        <f t="shared" si="19"/>
        <v>-1941.8713613893974</v>
      </c>
      <c r="AD50" s="49">
        <f t="shared" si="19"/>
        <v>-1997.4244700292734</v>
      </c>
      <c r="AE50" s="49">
        <f t="shared" si="19"/>
        <v>-2058.7186933754083</v>
      </c>
      <c r="AF50" s="49">
        <f t="shared" si="19"/>
        <v>-2653.0149903215074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6" t="s">
        <v>408</v>
      </c>
      <c r="B52" s="410">
        <f>IF(B33&gt;0.1,(B38+B29)/B50," ")</f>
        <v>1.3000000000000016</v>
      </c>
      <c r="C52" s="410">
        <f t="shared" ref="C52:AF52" si="20">IF(C33&gt;0.1,(C38+C29)/C50," ")</f>
        <v>1.2999999999999998</v>
      </c>
      <c r="D52" s="410">
        <f t="shared" si="20"/>
        <v>1.3000000000000018</v>
      </c>
      <c r="E52" s="410">
        <f t="shared" si="20"/>
        <v>1.3000000000000009</v>
      </c>
      <c r="F52" s="410">
        <f t="shared" si="20"/>
        <v>1.3000000000000025</v>
      </c>
      <c r="G52" s="410">
        <f t="shared" si="20"/>
        <v>1.2999999999999972</v>
      </c>
      <c r="H52" s="410">
        <f t="shared" si="20"/>
        <v>1.2999999999999985</v>
      </c>
      <c r="I52" s="410">
        <f t="shared" si="20"/>
        <v>1.2999999999999998</v>
      </c>
      <c r="J52" s="410">
        <f t="shared" si="20"/>
        <v>1.2999999999999987</v>
      </c>
      <c r="K52" s="410">
        <f t="shared" si="20"/>
        <v>1.3000000000000003</v>
      </c>
      <c r="L52" s="410">
        <f t="shared" si="20"/>
        <v>1.2999999999999992</v>
      </c>
      <c r="M52" s="410">
        <f t="shared" si="20"/>
        <v>1.3000000000000009</v>
      </c>
      <c r="N52" s="410">
        <f t="shared" si="20"/>
        <v>1.2999999999999998</v>
      </c>
      <c r="O52" s="410">
        <f t="shared" si="20"/>
        <v>1.3000000000000003</v>
      </c>
      <c r="P52" s="472">
        <f t="shared" si="20"/>
        <v>1.2999999999999996</v>
      </c>
      <c r="Q52" s="410">
        <f t="shared" si="20"/>
        <v>1.3000000000000003</v>
      </c>
      <c r="R52" s="410" t="str">
        <f t="shared" si="20"/>
        <v xml:space="preserve"> </v>
      </c>
      <c r="S52" s="410" t="str">
        <f t="shared" si="20"/>
        <v xml:space="preserve"> </v>
      </c>
      <c r="T52" s="410" t="str">
        <f t="shared" si="20"/>
        <v xml:space="preserve"> </v>
      </c>
      <c r="U52" s="410" t="str">
        <f t="shared" si="20"/>
        <v xml:space="preserve"> </v>
      </c>
      <c r="V52" s="410" t="str">
        <f t="shared" si="20"/>
        <v xml:space="preserve"> </v>
      </c>
      <c r="W52" s="410">
        <f t="shared" si="20"/>
        <v>1.3000000000000003</v>
      </c>
      <c r="X52" s="410">
        <f t="shared" si="20"/>
        <v>1.2999999999999998</v>
      </c>
      <c r="Y52" s="410">
        <f t="shared" si="20"/>
        <v>1.2999999999999998</v>
      </c>
      <c r="Z52" s="410">
        <f t="shared" si="20"/>
        <v>1.3000000000000003</v>
      </c>
      <c r="AA52" s="410">
        <f t="shared" si="20"/>
        <v>1.3000000000000007</v>
      </c>
      <c r="AB52" s="410">
        <f t="shared" si="20"/>
        <v>1.2999999999999994</v>
      </c>
      <c r="AC52" s="410">
        <f t="shared" si="20"/>
        <v>1.3</v>
      </c>
      <c r="AD52" s="410">
        <f t="shared" si="20"/>
        <v>1.2999999999999998</v>
      </c>
      <c r="AE52" s="410">
        <f t="shared" si="20"/>
        <v>1.2999999999999963</v>
      </c>
      <c r="AF52" s="472">
        <f t="shared" si="20"/>
        <v>1.3000000000000009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5"/>
      <c r="C53" s="415"/>
      <c r="D53" s="415"/>
      <c r="E53" s="415"/>
      <c r="F53" s="415"/>
      <c r="G53" s="415"/>
      <c r="H53" s="415"/>
      <c r="I53" s="415"/>
      <c r="J53" s="415"/>
      <c r="K53" s="415"/>
      <c r="L53" s="415"/>
      <c r="M53" s="415"/>
      <c r="N53" s="415"/>
      <c r="O53" s="415"/>
      <c r="P53" s="415"/>
      <c r="Q53" s="415"/>
      <c r="R53" s="415"/>
      <c r="S53" s="415"/>
      <c r="T53" s="415"/>
      <c r="U53" s="415"/>
      <c r="V53" s="415"/>
      <c r="W53" s="415"/>
      <c r="X53" s="415"/>
      <c r="Y53" s="415"/>
      <c r="Z53" s="415"/>
      <c r="AA53" s="415"/>
      <c r="AB53" s="415"/>
      <c r="AC53" s="415"/>
      <c r="AD53" s="415"/>
      <c r="AE53" s="415"/>
      <c r="AF53" s="41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415"/>
      <c r="Z54" s="415"/>
      <c r="AA54" s="415"/>
      <c r="AB54" s="415"/>
      <c r="AC54" s="415"/>
      <c r="AD54" s="415"/>
      <c r="AE54" s="415"/>
      <c r="AF54" s="415"/>
      <c r="AG54" s="50"/>
      <c r="AH54" s="50"/>
      <c r="AI54" s="50"/>
      <c r="AJ54" s="50"/>
      <c r="AK54" s="50"/>
      <c r="AL54" s="50"/>
      <c r="AM54" s="50"/>
    </row>
    <row r="55" spans="1:39">
      <c r="A55" s="403" t="s">
        <v>392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  <c r="Z55" s="388"/>
      <c r="AA55" s="388"/>
      <c r="AB55" s="388"/>
      <c r="AC55" s="388"/>
      <c r="AD55" s="388"/>
      <c r="AE55" s="388"/>
      <c r="AF55" s="388"/>
    </row>
    <row r="56" spans="1:39">
      <c r="A56" s="48" t="s">
        <v>138</v>
      </c>
      <c r="B56" s="163">
        <f t="shared" ref="B56:AF56" si="21">B35+B26</f>
        <v>292.62460161116906</v>
      </c>
      <c r="C56" s="163">
        <f t="shared" si="21"/>
        <v>898.488438995264</v>
      </c>
      <c r="D56" s="163">
        <f t="shared" si="21"/>
        <v>948.49446103601076</v>
      </c>
      <c r="E56" s="163">
        <f t="shared" si="21"/>
        <v>1765.1303299638967</v>
      </c>
      <c r="F56" s="163">
        <f t="shared" si="21"/>
        <v>2655.1522074536624</v>
      </c>
      <c r="G56" s="163">
        <f t="shared" si="21"/>
        <v>3124.1266246883897</v>
      </c>
      <c r="H56" s="163">
        <f t="shared" si="21"/>
        <v>3491.2117435676992</v>
      </c>
      <c r="I56" s="163">
        <f t="shared" si="21"/>
        <v>3889.6203464366772</v>
      </c>
      <c r="J56" s="163">
        <f t="shared" si="21"/>
        <v>4459.0670564461834</v>
      </c>
      <c r="K56" s="163">
        <f t="shared" si="21"/>
        <v>4989.2870272987711</v>
      </c>
      <c r="L56" s="163">
        <f t="shared" si="21"/>
        <v>5667.4996938130644</v>
      </c>
      <c r="M56" s="163">
        <f t="shared" si="21"/>
        <v>6305.8646983268773</v>
      </c>
      <c r="N56" s="163">
        <f t="shared" si="21"/>
        <v>7098.6457028405421</v>
      </c>
      <c r="O56" s="163">
        <f t="shared" si="21"/>
        <v>7864.366828510585</v>
      </c>
      <c r="P56" s="163">
        <f t="shared" si="21"/>
        <v>8634.8940433782846</v>
      </c>
      <c r="Q56" s="163">
        <f t="shared" si="21"/>
        <v>9473.8505829529568</v>
      </c>
      <c r="R56" s="163">
        <f t="shared" si="21"/>
        <v>5087.3581409258104</v>
      </c>
      <c r="S56" s="163">
        <f t="shared" si="21"/>
        <v>0</v>
      </c>
      <c r="T56" s="163">
        <f t="shared" si="21"/>
        <v>0</v>
      </c>
      <c r="U56" s="163">
        <f t="shared" si="21"/>
        <v>0</v>
      </c>
      <c r="V56" s="163">
        <f t="shared" si="21"/>
        <v>0</v>
      </c>
      <c r="W56" s="163">
        <f t="shared" si="21"/>
        <v>-332.88358803241397</v>
      </c>
      <c r="X56" s="163">
        <f t="shared" si="21"/>
        <v>-1738.4914621579765</v>
      </c>
      <c r="Y56" s="163">
        <f t="shared" si="21"/>
        <v>-1941.9240962697918</v>
      </c>
      <c r="Z56" s="163">
        <f t="shared" si="21"/>
        <v>-2160.6382816510454</v>
      </c>
      <c r="AA56" s="163">
        <f t="shared" si="21"/>
        <v>-2404.0569868469856</v>
      </c>
      <c r="AB56" s="163">
        <f t="shared" si="21"/>
        <v>-2668.7877475080386</v>
      </c>
      <c r="AC56" s="163">
        <f t="shared" si="21"/>
        <v>-2960.1059883155103</v>
      </c>
      <c r="AD56" s="163">
        <f t="shared" si="21"/>
        <v>-3272.3748707358191</v>
      </c>
      <c r="AE56" s="163">
        <f t="shared" si="21"/>
        <v>-3619.8953611995385</v>
      </c>
      <c r="AF56" s="163">
        <f t="shared" si="21"/>
        <v>-3710.1924827683215</v>
      </c>
    </row>
    <row r="57" spans="1:39">
      <c r="A57" s="403" t="s">
        <v>137</v>
      </c>
      <c r="B57" s="392">
        <f t="shared" ref="B57:AF57" si="22">B36+B44+B27</f>
        <v>3793.0366348540147</v>
      </c>
      <c r="C57" s="392">
        <f t="shared" si="22"/>
        <v>6451.8295237194789</v>
      </c>
      <c r="D57" s="392">
        <f t="shared" si="22"/>
        <v>6373.3824534485648</v>
      </c>
      <c r="E57" s="392">
        <f t="shared" si="22"/>
        <v>6259.0735515541892</v>
      </c>
      <c r="F57" s="392">
        <f t="shared" si="22"/>
        <v>6070.8754277023381</v>
      </c>
      <c r="G57" s="392">
        <f t="shared" si="22"/>
        <v>5825.5653415263114</v>
      </c>
      <c r="H57" s="392">
        <f t="shared" si="22"/>
        <v>5544.5918339686559</v>
      </c>
      <c r="I57" s="392">
        <f t="shared" si="22"/>
        <v>5231.9277276892435</v>
      </c>
      <c r="J57" s="392">
        <f t="shared" si="22"/>
        <v>4876.4814179916957</v>
      </c>
      <c r="K57" s="392">
        <f t="shared" si="22"/>
        <v>4475.2557282261441</v>
      </c>
      <c r="L57" s="392">
        <f t="shared" si="22"/>
        <v>4022.6680449736468</v>
      </c>
      <c r="M57" s="392">
        <f t="shared" si="22"/>
        <v>3515.0981015304283</v>
      </c>
      <c r="N57" s="392">
        <f t="shared" si="22"/>
        <v>2944.7566841722651</v>
      </c>
      <c r="O57" s="392">
        <f t="shared" si="22"/>
        <v>2309.2496532824548</v>
      </c>
      <c r="P57" s="392">
        <f t="shared" si="22"/>
        <v>1608.4118276798549</v>
      </c>
      <c r="Q57" s="392">
        <f t="shared" si="22"/>
        <v>840.37075962934227</v>
      </c>
      <c r="R57" s="392">
        <f t="shared" si="22"/>
        <v>107.81017868509903</v>
      </c>
      <c r="S57" s="392">
        <f t="shared" si="22"/>
        <v>0</v>
      </c>
      <c r="T57" s="392">
        <f t="shared" si="22"/>
        <v>0</v>
      </c>
      <c r="U57" s="392">
        <f t="shared" si="22"/>
        <v>0</v>
      </c>
      <c r="V57" s="392">
        <f t="shared" si="22"/>
        <v>0</v>
      </c>
      <c r="W57" s="392">
        <f t="shared" si="22"/>
        <v>13.999563344163761</v>
      </c>
      <c r="X57" s="392">
        <f t="shared" si="22"/>
        <v>101.40649835738384</v>
      </c>
      <c r="Y57" s="392">
        <f t="shared" si="22"/>
        <v>257.51699858145162</v>
      </c>
      <c r="Z57" s="392">
        <f t="shared" si="22"/>
        <v>431.97265793677678</v>
      </c>
      <c r="AA57" s="392">
        <f t="shared" si="22"/>
        <v>625.8583412296922</v>
      </c>
      <c r="AB57" s="392">
        <f t="shared" si="22"/>
        <v>841.32487131651351</v>
      </c>
      <c r="AC57" s="392">
        <f t="shared" si="22"/>
        <v>1080.1419506339862</v>
      </c>
      <c r="AD57" s="392">
        <f t="shared" si="22"/>
        <v>1345.120445340486</v>
      </c>
      <c r="AE57" s="392">
        <f t="shared" si="22"/>
        <v>1637.8886969169473</v>
      </c>
      <c r="AF57" s="392">
        <f t="shared" si="22"/>
        <v>2019.7636482272283</v>
      </c>
    </row>
    <row r="58" spans="1:39">
      <c r="A58" s="49" t="s">
        <v>60</v>
      </c>
      <c r="B58" s="49">
        <f>SUM(B56:B57)</f>
        <v>4085.6612364651837</v>
      </c>
      <c r="C58" s="49">
        <f t="shared" ref="C58:AF58" si="23">SUM(C56:C57)</f>
        <v>7350.3179627147429</v>
      </c>
      <c r="D58" s="49">
        <f t="shared" si="23"/>
        <v>7321.8769144845755</v>
      </c>
      <c r="E58" s="49">
        <f t="shared" si="23"/>
        <v>8024.2038815180858</v>
      </c>
      <c r="F58" s="49">
        <f t="shared" si="23"/>
        <v>8726.0276351560005</v>
      </c>
      <c r="G58" s="49">
        <f t="shared" si="23"/>
        <v>8949.6919662147011</v>
      </c>
      <c r="H58" s="49">
        <f t="shared" si="23"/>
        <v>9035.8035775363551</v>
      </c>
      <c r="I58" s="49">
        <f t="shared" si="23"/>
        <v>9121.5480741259198</v>
      </c>
      <c r="J58" s="49">
        <f t="shared" si="23"/>
        <v>9335.5484744378791</v>
      </c>
      <c r="K58" s="49">
        <f t="shared" si="23"/>
        <v>9464.5427555249153</v>
      </c>
      <c r="L58" s="49">
        <f t="shared" si="23"/>
        <v>9690.1677387867112</v>
      </c>
      <c r="M58" s="49">
        <f t="shared" si="23"/>
        <v>9820.9627998573051</v>
      </c>
      <c r="N58" s="49">
        <f t="shared" si="23"/>
        <v>10043.402387012808</v>
      </c>
      <c r="O58" s="49">
        <f t="shared" si="23"/>
        <v>10173.61648179304</v>
      </c>
      <c r="P58" s="49">
        <f t="shared" si="23"/>
        <v>10243.305871058139</v>
      </c>
      <c r="Q58" s="49">
        <f t="shared" si="23"/>
        <v>10314.221342582299</v>
      </c>
      <c r="R58" s="49">
        <f t="shared" si="23"/>
        <v>5195.1683196109097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-318.88402468825018</v>
      </c>
      <c r="X58" s="49">
        <f t="shared" si="23"/>
        <v>-1637.0849638005925</v>
      </c>
      <c r="Y58" s="49">
        <f t="shared" si="23"/>
        <v>-1684.4070976883402</v>
      </c>
      <c r="Z58" s="49">
        <f t="shared" si="23"/>
        <v>-1728.6656237142686</v>
      </c>
      <c r="AA58" s="49">
        <f t="shared" si="23"/>
        <v>-1778.1986456172936</v>
      </c>
      <c r="AB58" s="49">
        <f t="shared" si="23"/>
        <v>-1827.4628761915251</v>
      </c>
      <c r="AC58" s="49">
        <f t="shared" si="23"/>
        <v>-1879.9640376815241</v>
      </c>
      <c r="AD58" s="49">
        <f t="shared" si="23"/>
        <v>-1927.2544253953331</v>
      </c>
      <c r="AE58" s="49">
        <f t="shared" si="23"/>
        <v>-1982.0066642825911</v>
      </c>
      <c r="AF58" s="49">
        <f t="shared" si="23"/>
        <v>-1690.4288345410932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15"/>
      <c r="P59" s="415"/>
      <c r="Q59" s="415"/>
      <c r="R59" s="415"/>
      <c r="S59" s="415"/>
      <c r="T59" s="415"/>
      <c r="U59" s="415"/>
      <c r="V59" s="415"/>
      <c r="W59" s="415"/>
      <c r="X59" s="415"/>
      <c r="Y59" s="415"/>
      <c r="Z59" s="415"/>
      <c r="AA59" s="415"/>
      <c r="AB59" s="415"/>
      <c r="AC59" s="415"/>
      <c r="AD59" s="415"/>
      <c r="AE59" s="415"/>
      <c r="AF59" s="41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6"/>
      <c r="C60" s="416"/>
      <c r="D60" s="416"/>
      <c r="E60" s="416"/>
      <c r="F60" s="416"/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  <c r="T60" s="416"/>
      <c r="U60" s="416"/>
      <c r="V60" s="416"/>
      <c r="W60" s="416"/>
      <c r="X60" s="416"/>
      <c r="Y60" s="416"/>
      <c r="Z60" s="416"/>
      <c r="AA60" s="416"/>
      <c r="AB60" s="416"/>
      <c r="AC60" s="416"/>
      <c r="AD60" s="416"/>
      <c r="AE60" s="416"/>
      <c r="AF60" s="416"/>
      <c r="AG60" s="50"/>
      <c r="AH60" s="50"/>
      <c r="AI60" s="50"/>
      <c r="AJ60" s="50"/>
      <c r="AK60" s="50"/>
      <c r="AL60" s="50"/>
      <c r="AM60" s="50"/>
    </row>
    <row r="61" spans="1:39">
      <c r="B61" s="548" t="s">
        <v>334</v>
      </c>
      <c r="C61" s="549"/>
      <c r="D61" s="549"/>
      <c r="E61" s="550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63" t="s">
        <v>396</v>
      </c>
      <c r="C62" s="57"/>
      <c r="D62" s="57"/>
      <c r="E62" s="46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7">
        <f>Assumptions!G38</f>
        <v>0.02</v>
      </c>
      <c r="AA63" s="12"/>
      <c r="AB63" s="12"/>
    </row>
    <row r="64" spans="1:39">
      <c r="A64" s="48"/>
      <c r="B64" s="339" t="s">
        <v>397</v>
      </c>
      <c r="C64" s="58"/>
      <c r="D64" s="58"/>
      <c r="E64" s="406">
        <f>E63+E62</f>
        <v>8.5000000000000006E-2</v>
      </c>
      <c r="AA64" s="12"/>
      <c r="AB64" s="12"/>
    </row>
    <row r="65" spans="1:43">
      <c r="B65" s="408" t="s">
        <v>395</v>
      </c>
      <c r="C65" s="57"/>
      <c r="D65" s="57"/>
      <c r="E65" s="407">
        <f>Assumptions!G33</f>
        <v>20</v>
      </c>
      <c r="AA65" s="12"/>
      <c r="AB65" s="12"/>
    </row>
    <row r="66" spans="1:43">
      <c r="B66" s="450" t="s">
        <v>394</v>
      </c>
      <c r="C66" s="13"/>
      <c r="D66" s="13"/>
      <c r="E66" s="465">
        <f>B77</f>
        <v>2.3254030870578859</v>
      </c>
      <c r="AA66" s="12"/>
      <c r="AB66" s="12"/>
    </row>
    <row r="67" spans="1:43">
      <c r="B67" s="339" t="s">
        <v>55</v>
      </c>
      <c r="C67" s="58"/>
      <c r="D67" s="58"/>
      <c r="E67" s="451">
        <f>B19</f>
        <v>76645.682528245845</v>
      </c>
      <c r="AA67" s="12"/>
      <c r="AB67" s="12"/>
    </row>
    <row r="68" spans="1:43">
      <c r="B68" s="336" t="s">
        <v>0</v>
      </c>
      <c r="C68" s="57"/>
      <c r="D68" s="57" t="s">
        <v>390</v>
      </c>
      <c r="E68" s="468">
        <f>AVERAGE(B52:AF52)</f>
        <v>1.3000000000000005</v>
      </c>
      <c r="AA68" s="12"/>
      <c r="AB68" s="12"/>
    </row>
    <row r="69" spans="1:43">
      <c r="B69" s="466"/>
      <c r="C69" s="58"/>
      <c r="D69" s="58" t="s">
        <v>391</v>
      </c>
      <c r="E69" s="469">
        <f>MIN(B52:AF52)</f>
        <v>1.2999999999999963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97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83</v>
      </c>
      <c r="B77" s="470">
        <f>(SUMPRODUCT(B74:AF74,B35:AF35)+SUMPRODUCT(B75:AF75,B26:AF26))/E67</f>
        <v>2.3254030870578859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90"/>
      <c r="AB79" s="39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Calpine</v>
      </c>
    </row>
    <row r="4" spans="1:34" ht="18.75">
      <c r="A4" s="60" t="s">
        <v>95</v>
      </c>
    </row>
    <row r="5" spans="1:34">
      <c r="Z5" s="166"/>
    </row>
    <row r="6" spans="1:34">
      <c r="D6" s="215">
        <f>'Price_Technical Assumption'!D7</f>
        <v>0.58333333333333337</v>
      </c>
      <c r="E6" s="215">
        <f>'Price_Technical Assumption'!E7</f>
        <v>1.5833333333333335</v>
      </c>
      <c r="F6" s="215">
        <f>'Price_Technical Assumption'!F7</f>
        <v>2.5833333333333335</v>
      </c>
      <c r="G6" s="215">
        <f>'Price_Technical Assumption'!G7</f>
        <v>3.5833333333333335</v>
      </c>
      <c r="H6" s="215">
        <f>'Price_Technical Assumption'!H7</f>
        <v>4.5833333333333339</v>
      </c>
      <c r="I6" s="215">
        <f>'Price_Technical Assumption'!I7</f>
        <v>5.5833333333333339</v>
      </c>
      <c r="J6" s="215">
        <f>'Price_Technical Assumption'!J7</f>
        <v>6.5833333333333339</v>
      </c>
      <c r="K6" s="215">
        <f>'Price_Technical Assumption'!K7</f>
        <v>7.5833333333333339</v>
      </c>
      <c r="L6" s="215">
        <f>'Price_Technical Assumption'!L7</f>
        <v>8.5833333333333339</v>
      </c>
      <c r="M6" s="215">
        <f>'Price_Technical Assumption'!M7</f>
        <v>9.5833333333333339</v>
      </c>
      <c r="N6" s="215">
        <f>'Price_Technical Assumption'!N7</f>
        <v>10.583333333333334</v>
      </c>
      <c r="O6" s="215">
        <f>'Price_Technical Assumption'!O7</f>
        <v>11.583333333333334</v>
      </c>
      <c r="P6" s="215">
        <f>'Price_Technical Assumption'!P7</f>
        <v>12.583333333333334</v>
      </c>
      <c r="Q6" s="215">
        <f>'Price_Technical Assumption'!Q7</f>
        <v>13.583333333333334</v>
      </c>
      <c r="R6" s="215">
        <f>'Price_Technical Assumption'!R7</f>
        <v>14.583333333333334</v>
      </c>
      <c r="S6" s="215">
        <f>'Price_Technical Assumption'!S7</f>
        <v>15.583333333333334</v>
      </c>
      <c r="T6" s="215">
        <f>'Price_Technical Assumption'!T7</f>
        <v>16.583333333333336</v>
      </c>
      <c r="U6" s="215">
        <f>'Price_Technical Assumption'!U7</f>
        <v>17.583333333333336</v>
      </c>
      <c r="V6" s="215">
        <f>'Price_Technical Assumption'!V7</f>
        <v>18.583333333333336</v>
      </c>
      <c r="W6" s="215">
        <f>'Price_Technical Assumption'!W7</f>
        <v>19.583333333333336</v>
      </c>
      <c r="X6" s="215">
        <f>'Price_Technical Assumption'!X7</f>
        <v>20.583333333333336</v>
      </c>
      <c r="Y6" s="215">
        <f>'Price_Technical Assumption'!Y7</f>
        <v>21.583333333333336</v>
      </c>
      <c r="Z6" s="215">
        <f>'Price_Technical Assumption'!Z7</f>
        <v>22.583333333333336</v>
      </c>
      <c r="AA6" s="215">
        <f>'Price_Technical Assumption'!AA7</f>
        <v>23.583333333333336</v>
      </c>
      <c r="AB6" s="215">
        <f>'Price_Technical Assumption'!AB7</f>
        <v>24.583333333333336</v>
      </c>
      <c r="AC6" s="215">
        <f>'Price_Technical Assumption'!AC7</f>
        <v>25.583333333333336</v>
      </c>
      <c r="AD6" s="215">
        <f>'Price_Technical Assumption'!AD7</f>
        <v>26.583333333333336</v>
      </c>
      <c r="AE6" s="215">
        <f>'Price_Technical Assumption'!AE7</f>
        <v>27.583333333333336</v>
      </c>
      <c r="AF6" s="215">
        <f>'Price_Technical Assumption'!AF7</f>
        <v>28.583333333333336</v>
      </c>
      <c r="AG6" s="215">
        <f>'Price_Technical Assumption'!AG7</f>
        <v>29.583333333333336</v>
      </c>
      <c r="AH6" s="215">
        <f>'Price_Technical Assumption'!AH7</f>
        <v>30.583333333333336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9">
        <f>IS!C8</f>
        <v>37256</v>
      </c>
      <c r="E8" s="209">
        <f>IS!D8</f>
        <v>37621</v>
      </c>
      <c r="F8" s="209">
        <f>IS!E8</f>
        <v>37986</v>
      </c>
      <c r="G8" s="209">
        <f>IS!F8</f>
        <v>38352</v>
      </c>
      <c r="H8" s="209">
        <f>IS!G8</f>
        <v>38717</v>
      </c>
      <c r="I8" s="209">
        <f>IS!H8</f>
        <v>39082</v>
      </c>
      <c r="J8" s="209">
        <f>IS!I8</f>
        <v>39447</v>
      </c>
      <c r="K8" s="209">
        <f>IS!J8</f>
        <v>39813</v>
      </c>
      <c r="L8" s="209">
        <f>IS!K8</f>
        <v>40178</v>
      </c>
      <c r="M8" s="209">
        <f>IS!L8</f>
        <v>40543</v>
      </c>
      <c r="N8" s="209">
        <f>IS!M8</f>
        <v>40908</v>
      </c>
      <c r="O8" s="209">
        <f>IS!N8</f>
        <v>41274</v>
      </c>
      <c r="P8" s="209">
        <f>IS!O8</f>
        <v>41639</v>
      </c>
      <c r="Q8" s="209">
        <f>IS!P8</f>
        <v>42004</v>
      </c>
      <c r="R8" s="209">
        <f>IS!Q8</f>
        <v>42369</v>
      </c>
      <c r="S8" s="209">
        <f>IS!R8</f>
        <v>42735</v>
      </c>
      <c r="T8" s="209">
        <f>IS!S8</f>
        <v>43100</v>
      </c>
      <c r="U8" s="209">
        <f>IS!T8</f>
        <v>43465</v>
      </c>
      <c r="V8" s="209">
        <f>IS!U8</f>
        <v>43830</v>
      </c>
      <c r="W8" s="209">
        <f>IS!V8</f>
        <v>44196</v>
      </c>
      <c r="X8" s="209">
        <f>IS!W8</f>
        <v>44561</v>
      </c>
      <c r="Y8" s="209">
        <f>IS!X8</f>
        <v>44926</v>
      </c>
      <c r="Z8" s="209">
        <f>IS!Y8</f>
        <v>45291</v>
      </c>
      <c r="AA8" s="209">
        <f>IS!Z8</f>
        <v>45657</v>
      </c>
      <c r="AB8" s="209">
        <f>IS!AA8</f>
        <v>46022</v>
      </c>
      <c r="AC8" s="209">
        <f>IS!AB8</f>
        <v>46387</v>
      </c>
      <c r="AD8" s="209">
        <f>IS!AC8</f>
        <v>46752</v>
      </c>
      <c r="AE8" s="209">
        <f>IS!AD8</f>
        <v>47118</v>
      </c>
      <c r="AF8" s="209">
        <f>IS!AE8</f>
        <v>47483</v>
      </c>
      <c r="AG8" s="209">
        <f>IS!AF8</f>
        <v>47848</v>
      </c>
      <c r="AH8" s="209">
        <f>IS!AG8</f>
        <v>48213</v>
      </c>
    </row>
    <row r="9" spans="1:34" ht="15.75">
      <c r="A9" s="26"/>
    </row>
    <row r="10" spans="1:34" s="10" customFormat="1">
      <c r="A10" s="27" t="s">
        <v>61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62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255</v>
      </c>
      <c r="B12" s="31">
        <f>Assumptions!$N$39</f>
        <v>15</v>
      </c>
      <c r="C12" s="32"/>
      <c r="D12" s="283">
        <v>0.05</v>
      </c>
      <c r="E12" s="283">
        <v>9.5000000000000001E-2</v>
      </c>
      <c r="F12" s="283">
        <v>8.5500000000000007E-2</v>
      </c>
      <c r="G12" s="283">
        <v>7.6999999999999999E-2</v>
      </c>
      <c r="H12" s="283">
        <v>6.93E-2</v>
      </c>
      <c r="I12" s="283">
        <v>6.2300000000000001E-2</v>
      </c>
      <c r="J12" s="283">
        <v>5.8999999999999997E-2</v>
      </c>
      <c r="K12" s="283">
        <v>5.91E-2</v>
      </c>
      <c r="L12" s="283">
        <v>5.8999999999999997E-2</v>
      </c>
      <c r="M12" s="283">
        <v>5.91E-2</v>
      </c>
      <c r="N12" s="283">
        <v>5.8999999999999997E-2</v>
      </c>
      <c r="O12" s="283">
        <v>5.91E-2</v>
      </c>
      <c r="P12" s="283">
        <v>5.8999999999999997E-2</v>
      </c>
      <c r="Q12" s="283">
        <v>5.91E-2</v>
      </c>
      <c r="R12" s="283">
        <v>5.8999999999999997E-2</v>
      </c>
      <c r="S12" s="283">
        <v>2.9499999999999998E-2</v>
      </c>
      <c r="T12" s="283">
        <v>0</v>
      </c>
      <c r="U12" s="283">
        <v>0</v>
      </c>
      <c r="V12" s="283">
        <v>0</v>
      </c>
      <c r="W12" s="283">
        <v>0</v>
      </c>
      <c r="X12" s="283">
        <v>0</v>
      </c>
      <c r="Y12" s="283">
        <v>0</v>
      </c>
      <c r="Z12" s="283">
        <v>0</v>
      </c>
      <c r="AA12" s="283">
        <v>0</v>
      </c>
      <c r="AB12" s="283">
        <v>0</v>
      </c>
      <c r="AC12" s="283">
        <v>0</v>
      </c>
      <c r="AD12" s="283">
        <v>0</v>
      </c>
      <c r="AE12" s="283">
        <v>0</v>
      </c>
      <c r="AF12" s="283">
        <v>0</v>
      </c>
      <c r="AG12" s="283">
        <v>0</v>
      </c>
      <c r="AH12" s="283">
        <v>0</v>
      </c>
    </row>
    <row r="13" spans="1:34" s="10" customFormat="1">
      <c r="A13" s="21" t="s">
        <v>256</v>
      </c>
      <c r="B13" s="31">
        <f>Assumptions!$N$40</f>
        <v>5</v>
      </c>
      <c r="C13" s="32"/>
      <c r="D13" s="283">
        <f>1/$B$13*D6</f>
        <v>0.11666666666666668</v>
      </c>
      <c r="E13" s="283">
        <f>1/$B$13</f>
        <v>0.2</v>
      </c>
      <c r="F13" s="283">
        <f>1/$B$13</f>
        <v>0.2</v>
      </c>
      <c r="G13" s="283">
        <f>1/$B$13</f>
        <v>0.2</v>
      </c>
      <c r="H13" s="283">
        <f>1/$B$13</f>
        <v>0.2</v>
      </c>
      <c r="I13" s="283">
        <f>1/B13-D13</f>
        <v>8.3333333333333329E-2</v>
      </c>
      <c r="J13" s="283">
        <v>0</v>
      </c>
      <c r="K13" s="283">
        <v>0</v>
      </c>
      <c r="L13" s="283">
        <v>0</v>
      </c>
      <c r="M13" s="283">
        <v>0</v>
      </c>
      <c r="N13" s="283">
        <v>0</v>
      </c>
      <c r="O13" s="283">
        <v>0</v>
      </c>
      <c r="P13" s="283">
        <v>0</v>
      </c>
      <c r="Q13" s="283">
        <v>0</v>
      </c>
      <c r="R13" s="283">
        <v>0</v>
      </c>
      <c r="S13" s="283">
        <v>0</v>
      </c>
      <c r="T13" s="283">
        <v>0</v>
      </c>
      <c r="U13" s="283">
        <v>0</v>
      </c>
      <c r="V13" s="283">
        <v>0</v>
      </c>
      <c r="W13" s="283">
        <v>0</v>
      </c>
      <c r="X13" s="283">
        <v>0</v>
      </c>
      <c r="Y13" s="283">
        <v>0</v>
      </c>
      <c r="Z13" s="283">
        <v>0</v>
      </c>
      <c r="AA13" s="283">
        <v>0</v>
      </c>
      <c r="AB13" s="283">
        <v>0</v>
      </c>
      <c r="AC13" s="283">
        <v>0</v>
      </c>
      <c r="AD13" s="283">
        <v>0</v>
      </c>
      <c r="AE13" s="283">
        <v>0</v>
      </c>
      <c r="AF13" s="283">
        <v>0</v>
      </c>
      <c r="AG13" s="283">
        <v>0</v>
      </c>
      <c r="AH13" s="283">
        <v>0</v>
      </c>
    </row>
    <row r="14" spans="1:34" s="70" customFormat="1">
      <c r="A14" s="22" t="s">
        <v>324</v>
      </c>
      <c r="B14" s="68">
        <f>Assumptions!$N$41</f>
        <v>20</v>
      </c>
      <c r="C14" s="69"/>
      <c r="D14" s="283">
        <f>1/Assumptions!$N$41*D6</f>
        <v>2.9166666666666671E-2</v>
      </c>
      <c r="E14" s="283">
        <f>IF(AND(E6&gt;=Assumptions!$N$41,D6&lt;Assumptions!$N$41),1/Assumptions!$N$41-Depreciation!$D$14,IF(E6&lt;Assumptions!$N$41,1/Assumptions!$N$41,0))</f>
        <v>0.05</v>
      </c>
      <c r="F14" s="283">
        <f>IF(AND(F6&gt;=Assumptions!$N$41,E6&lt;Assumptions!$N$41),1/Assumptions!$N$41-Depreciation!$D$14,IF(F6&lt;Assumptions!$N$41,1/Assumptions!$N$41,0))</f>
        <v>0.05</v>
      </c>
      <c r="G14" s="283">
        <f>IF(AND(G6&gt;=Assumptions!$N$41,F6&lt;Assumptions!$N$41),1/Assumptions!$N$41-Depreciation!$D$14,IF(G6&lt;Assumptions!$N$41,1/Assumptions!$N$41,0))</f>
        <v>0.05</v>
      </c>
      <c r="H14" s="283">
        <f>IF(AND(H6&gt;=Assumptions!$N$41,G6&lt;Assumptions!$N$41),1/Assumptions!$N$41-Depreciation!$D$14,IF(H6&lt;Assumptions!$N$41,1/Assumptions!$N$41,0))</f>
        <v>0.05</v>
      </c>
      <c r="I14" s="283">
        <f>IF(AND(I6&gt;=Assumptions!$N$41,H6&lt;Assumptions!$N$41),1/Assumptions!$N$41-Depreciation!$D$14,IF(I6&lt;Assumptions!$N$41,1/Assumptions!$N$41,0))</f>
        <v>0.05</v>
      </c>
      <c r="J14" s="283">
        <f>IF(AND(J6&gt;=Assumptions!$N$41,I6&lt;Assumptions!$N$41),1/Assumptions!$N$41-Depreciation!$D$14,IF(J6&lt;Assumptions!$N$41,1/Assumptions!$N$41,0))</f>
        <v>0.05</v>
      </c>
      <c r="K14" s="283">
        <f>IF(AND(K6&gt;=Assumptions!$N$41,J6&lt;Assumptions!$N$41),1/Assumptions!$N$41-Depreciation!$D$14,IF(K6&lt;Assumptions!$N$41,1/Assumptions!$N$41,0))</f>
        <v>0.05</v>
      </c>
      <c r="L14" s="283">
        <f>IF(AND(L6&gt;=Assumptions!$N$41,K6&lt;Assumptions!$N$41),1/Assumptions!$N$41-Depreciation!$D$14,IF(L6&lt;Assumptions!$N$41,1/Assumptions!$N$41,0))</f>
        <v>0.05</v>
      </c>
      <c r="M14" s="283">
        <f>IF(AND(M6&gt;=Assumptions!$N$41,L6&lt;Assumptions!$N$41),1/Assumptions!$N$41-Depreciation!$D$14,IF(M6&lt;Assumptions!$N$41,1/Assumptions!$N$41,0))</f>
        <v>0.05</v>
      </c>
      <c r="N14" s="283">
        <f>IF(AND(N6&gt;=Assumptions!$N$41,M6&lt;Assumptions!$N$41),1/Assumptions!$N$41-Depreciation!$D$14,IF(N6&lt;Assumptions!$N$41,1/Assumptions!$N$41,0))</f>
        <v>0.05</v>
      </c>
      <c r="O14" s="283">
        <f>IF(AND(O6&gt;=Assumptions!$N$41,N6&lt;Assumptions!$N$41),1/Assumptions!$N$41-Depreciation!$D$14,IF(O6&lt;Assumptions!$N$41,1/Assumptions!$N$41,0))</f>
        <v>0.05</v>
      </c>
      <c r="P14" s="283">
        <f>IF(AND(P6&gt;=Assumptions!$N$41,O6&lt;Assumptions!$N$41),1/Assumptions!$N$41-Depreciation!$D$14,IF(P6&lt;Assumptions!$N$41,1/Assumptions!$N$41,0))</f>
        <v>0.05</v>
      </c>
      <c r="Q14" s="283">
        <f>IF(AND(Q6&gt;=Assumptions!$N$41,P6&lt;Assumptions!$N$41),1/Assumptions!$N$41-Depreciation!$D$14,IF(Q6&lt;Assumptions!$N$41,1/Assumptions!$N$41,0))</f>
        <v>0.05</v>
      </c>
      <c r="R14" s="283">
        <f>IF(AND(R6&gt;=Assumptions!$N$41,Q6&lt;Assumptions!$N$41),1/Assumptions!$N$41-Depreciation!$D$14,IF(R6&lt;Assumptions!$N$41,1/Assumptions!$N$41,0))</f>
        <v>0.05</v>
      </c>
      <c r="S14" s="283">
        <f>IF(AND(S6&gt;=Assumptions!$N$41,R6&lt;Assumptions!$N$41),1/Assumptions!$N$41-Depreciation!$D$14,IF(S6&lt;Assumptions!$N$41,1/Assumptions!$N$41,0))</f>
        <v>0.05</v>
      </c>
      <c r="T14" s="283">
        <f>IF(AND(T6&gt;=Assumptions!$N$41,S6&lt;Assumptions!$N$41),1/Assumptions!$N$41-Depreciation!$D$14,IF(T6&lt;Assumptions!$N$41,1/Assumptions!$N$41,0))</f>
        <v>0.05</v>
      </c>
      <c r="U14" s="283">
        <f>IF(AND(U6&gt;=Assumptions!$N$41,T6&lt;Assumptions!$N$41),1/Assumptions!$N$41-Depreciation!$D$14,IF(U6&lt;Assumptions!$N$41,1/Assumptions!$N$41,0))</f>
        <v>0.05</v>
      </c>
      <c r="V14" s="283">
        <f>IF(AND(V6&gt;=Assumptions!$N$41,U6&lt;Assumptions!$N$41),1/Assumptions!$N$41-Depreciation!$D$14,IF(V6&lt;Assumptions!$N$41,1/Assumptions!$N$41,0))</f>
        <v>0.05</v>
      </c>
      <c r="W14" s="283">
        <f>IF(AND(W6&gt;=Assumptions!$N$41,V6&lt;Assumptions!$N$41),1/Assumptions!$N$41-Depreciation!$D$14,IF(W6&lt;Assumptions!$N$41,1/Assumptions!$N$41,0))</f>
        <v>0.05</v>
      </c>
      <c r="X14" s="283">
        <f>IF(AND(X6&gt;=Assumptions!$N$41,W6&lt;Assumptions!$N$41),1/Assumptions!$N$41-Depreciation!$D$14,IF(X6&lt;Assumptions!$N$41,1/Assumptions!$N$41,0))</f>
        <v>2.0833333333333332E-2</v>
      </c>
      <c r="Y14" s="283">
        <f>IF(AND(Y6&gt;=Assumptions!$N$41,X6&lt;Assumptions!$N$41),1/Assumptions!$N$41-Depreciation!$D$14,IF(Y6&lt;Assumptions!$N$41,1/Assumptions!$N$41,0))</f>
        <v>0</v>
      </c>
      <c r="Z14" s="283">
        <f>IF(AND(Z6&gt;=Assumptions!$N$41,Y6&lt;Assumptions!$N$41),1/Assumptions!$N$41-Depreciation!$D$14,IF(Z6&lt;Assumptions!$N$41,1/Assumptions!$N$41,0))</f>
        <v>0</v>
      </c>
      <c r="AA14" s="283">
        <f>IF(AND(AA6&gt;=Assumptions!$N$41,Z6&lt;Assumptions!$N$41),1/Assumptions!$N$41-Depreciation!$D$14,IF(AA6&lt;Assumptions!$N$41,1/Assumptions!$N$41,0))</f>
        <v>0</v>
      </c>
      <c r="AB14" s="283">
        <f>IF(AND(AB6&gt;=Assumptions!$N$41,AA6&lt;Assumptions!$N$41),1/Assumptions!$N$41-Depreciation!$D$14,IF(AB6&lt;Assumptions!$N$41,1/Assumptions!$N$41,0))</f>
        <v>0</v>
      </c>
      <c r="AC14" s="283">
        <f>IF(AND(AC6&gt;=Assumptions!$N$41,AB6&lt;Assumptions!$N$41),1/Assumptions!$N$41-Depreciation!$D$14,IF(AC6&lt;Assumptions!$N$41,1/Assumptions!$N$41,0))</f>
        <v>0</v>
      </c>
      <c r="AD14" s="283">
        <f>IF(AND(AD6&gt;=Assumptions!$N$41,AC6&lt;Assumptions!$N$41),1/Assumptions!$N$41-Depreciation!$D$14,IF(AD6&lt;Assumptions!$N$41,1/Assumptions!$N$41,0))</f>
        <v>0</v>
      </c>
      <c r="AE14" s="283">
        <f>IF(AND(AE6&gt;=Assumptions!$N$41,AD6&lt;Assumptions!$N$41),1/Assumptions!$N$41-Depreciation!$D$14,IF(AE6&lt;Assumptions!$N$41,1/Assumptions!$N$41,0))</f>
        <v>0</v>
      </c>
      <c r="AF14" s="283">
        <f>IF(AND(AF6&gt;=Assumptions!$N$41,AE6&lt;Assumptions!$N$41),1/Assumptions!$N$41-Depreciation!$D$14,IF(AF6&lt;Assumptions!$N$41,1/Assumptions!$N$41,0))</f>
        <v>0</v>
      </c>
      <c r="AG14" s="283">
        <f>IF(AND(AG6&gt;=Assumptions!$N$41,AF6&lt;Assumptions!$N$41),1/Assumptions!$N$41-Depreciation!$D$14,IF(AG6&lt;Assumptions!$N$41,1/Assumptions!$N$41,0))</f>
        <v>0</v>
      </c>
      <c r="AH14" s="283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255</v>
      </c>
      <c r="B16" s="380">
        <f>Assumptions!C34+Assumptions!C46+Assumptions!C38</f>
        <v>102104.66472957682</v>
      </c>
      <c r="C16" s="309"/>
      <c r="D16" s="18">
        <f>$B$16*D12</f>
        <v>5105.2332364788417</v>
      </c>
      <c r="E16" s="18">
        <f t="shared" ref="E16:Y16" si="0">$B$16*E12</f>
        <v>9699.9431493097982</v>
      </c>
      <c r="F16" s="18">
        <f t="shared" si="0"/>
        <v>8729.948834378818</v>
      </c>
      <c r="G16" s="18">
        <f t="shared" si="0"/>
        <v>7862.0591841774149</v>
      </c>
      <c r="H16" s="18">
        <f t="shared" si="0"/>
        <v>7075.8532657596734</v>
      </c>
      <c r="I16" s="18">
        <f t="shared" si="0"/>
        <v>6361.1206126526358</v>
      </c>
      <c r="J16" s="18">
        <f t="shared" si="0"/>
        <v>6024.1752190450325</v>
      </c>
      <c r="K16" s="18">
        <f t="shared" si="0"/>
        <v>6034.3856855179902</v>
      </c>
      <c r="L16" s="18">
        <f t="shared" si="0"/>
        <v>6024.1752190450325</v>
      </c>
      <c r="M16" s="18">
        <f t="shared" si="0"/>
        <v>6034.3856855179902</v>
      </c>
      <c r="N16" s="18">
        <f t="shared" si="0"/>
        <v>6024.1752190450325</v>
      </c>
      <c r="O16" s="18">
        <f t="shared" si="0"/>
        <v>6034.3856855179902</v>
      </c>
      <c r="P16" s="18">
        <f t="shared" si="0"/>
        <v>6024.1752190450325</v>
      </c>
      <c r="Q16" s="18">
        <f t="shared" si="0"/>
        <v>6034.3856855179902</v>
      </c>
      <c r="R16" s="18">
        <f t="shared" si="0"/>
        <v>6024.1752190450325</v>
      </c>
      <c r="S16" s="18">
        <f t="shared" si="0"/>
        <v>3012.0876095225162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256</v>
      </c>
      <c r="B17" s="308">
        <f>Assumptions!C50-Assumptions!C46-Assumptions!C47</f>
        <v>4788.0000000000009</v>
      </c>
      <c r="C17" s="309"/>
      <c r="D17" s="306">
        <f>$B$17*D13</f>
        <v>558.60000000000014</v>
      </c>
      <c r="E17" s="306">
        <f t="shared" ref="E17:AH17" si="2">$B$17*E13</f>
        <v>957.60000000000025</v>
      </c>
      <c r="F17" s="306">
        <f t="shared" si="2"/>
        <v>957.60000000000025</v>
      </c>
      <c r="G17" s="306">
        <f t="shared" si="2"/>
        <v>957.60000000000025</v>
      </c>
      <c r="H17" s="306">
        <f t="shared" si="2"/>
        <v>957.60000000000025</v>
      </c>
      <c r="I17" s="306">
        <f t="shared" si="2"/>
        <v>399.00000000000006</v>
      </c>
      <c r="J17" s="306">
        <f t="shared" si="2"/>
        <v>0</v>
      </c>
      <c r="K17" s="306">
        <f t="shared" si="2"/>
        <v>0</v>
      </c>
      <c r="L17" s="306">
        <f t="shared" si="2"/>
        <v>0</v>
      </c>
      <c r="M17" s="306">
        <f t="shared" si="2"/>
        <v>0</v>
      </c>
      <c r="N17" s="306">
        <f t="shared" si="2"/>
        <v>0</v>
      </c>
      <c r="O17" s="306">
        <f t="shared" si="2"/>
        <v>0</v>
      </c>
      <c r="P17" s="306">
        <f t="shared" si="2"/>
        <v>0</v>
      </c>
      <c r="Q17" s="306">
        <f t="shared" si="2"/>
        <v>0</v>
      </c>
      <c r="R17" s="306">
        <f t="shared" si="2"/>
        <v>0</v>
      </c>
      <c r="S17" s="306">
        <f t="shared" si="2"/>
        <v>0</v>
      </c>
      <c r="T17" s="306">
        <f t="shared" si="2"/>
        <v>0</v>
      </c>
      <c r="U17" s="306">
        <f t="shared" si="2"/>
        <v>0</v>
      </c>
      <c r="V17" s="306">
        <f t="shared" si="2"/>
        <v>0</v>
      </c>
      <c r="W17" s="306">
        <f t="shared" si="2"/>
        <v>0</v>
      </c>
      <c r="X17" s="306">
        <f t="shared" si="2"/>
        <v>0</v>
      </c>
      <c r="Y17" s="306">
        <f t="shared" si="2"/>
        <v>0</v>
      </c>
      <c r="Z17" s="306">
        <f t="shared" si="2"/>
        <v>0</v>
      </c>
      <c r="AA17" s="306">
        <f t="shared" si="2"/>
        <v>0</v>
      </c>
      <c r="AB17" s="306">
        <f t="shared" si="2"/>
        <v>0</v>
      </c>
      <c r="AC17" s="306">
        <f t="shared" si="2"/>
        <v>0</v>
      </c>
      <c r="AD17" s="306">
        <f t="shared" si="2"/>
        <v>0</v>
      </c>
      <c r="AE17" s="306">
        <f t="shared" si="2"/>
        <v>0</v>
      </c>
      <c r="AF17" s="306">
        <f t="shared" si="2"/>
        <v>0</v>
      </c>
      <c r="AG17" s="306">
        <f t="shared" si="2"/>
        <v>0</v>
      </c>
      <c r="AH17" s="306">
        <f t="shared" si="2"/>
        <v>0</v>
      </c>
    </row>
    <row r="18" spans="1:36" s="10" customFormat="1" ht="15">
      <c r="A18" s="22" t="s">
        <v>324</v>
      </c>
      <c r="B18" s="381">
        <f>Assumptions!$C$56</f>
        <v>0</v>
      </c>
      <c r="C18" s="309"/>
      <c r="D18" s="382">
        <f>$B$18*D14</f>
        <v>0</v>
      </c>
      <c r="E18" s="382">
        <f t="shared" ref="E18:Y18" si="3">$B$18*E14</f>
        <v>0</v>
      </c>
      <c r="F18" s="382">
        <f t="shared" si="3"/>
        <v>0</v>
      </c>
      <c r="G18" s="382">
        <f t="shared" si="3"/>
        <v>0</v>
      </c>
      <c r="H18" s="382">
        <f t="shared" si="3"/>
        <v>0</v>
      </c>
      <c r="I18" s="382">
        <f t="shared" si="3"/>
        <v>0</v>
      </c>
      <c r="J18" s="382">
        <f t="shared" si="3"/>
        <v>0</v>
      </c>
      <c r="K18" s="382">
        <f t="shared" si="3"/>
        <v>0</v>
      </c>
      <c r="L18" s="382">
        <f t="shared" si="3"/>
        <v>0</v>
      </c>
      <c r="M18" s="382">
        <f t="shared" si="3"/>
        <v>0</v>
      </c>
      <c r="N18" s="382">
        <f t="shared" si="3"/>
        <v>0</v>
      </c>
      <c r="O18" s="382">
        <f t="shared" si="3"/>
        <v>0</v>
      </c>
      <c r="P18" s="382">
        <f t="shared" si="3"/>
        <v>0</v>
      </c>
      <c r="Q18" s="382">
        <f t="shared" si="3"/>
        <v>0</v>
      </c>
      <c r="R18" s="382">
        <f t="shared" si="3"/>
        <v>0</v>
      </c>
      <c r="S18" s="382">
        <f t="shared" si="3"/>
        <v>0</v>
      </c>
      <c r="T18" s="382">
        <f t="shared" si="3"/>
        <v>0</v>
      </c>
      <c r="U18" s="382">
        <f t="shared" si="3"/>
        <v>0</v>
      </c>
      <c r="V18" s="382">
        <f t="shared" si="3"/>
        <v>0</v>
      </c>
      <c r="W18" s="382">
        <f t="shared" si="3"/>
        <v>0</v>
      </c>
      <c r="X18" s="382">
        <f t="shared" si="3"/>
        <v>0</v>
      </c>
      <c r="Y18" s="382">
        <f t="shared" si="3"/>
        <v>0</v>
      </c>
      <c r="Z18" s="382">
        <f t="shared" ref="Z18:AH18" si="4">$B$18*Z14</f>
        <v>0</v>
      </c>
      <c r="AA18" s="382">
        <f t="shared" si="4"/>
        <v>0</v>
      </c>
      <c r="AB18" s="382">
        <f t="shared" si="4"/>
        <v>0</v>
      </c>
      <c r="AC18" s="382">
        <f t="shared" si="4"/>
        <v>0</v>
      </c>
      <c r="AD18" s="382">
        <f t="shared" si="4"/>
        <v>0</v>
      </c>
      <c r="AE18" s="382">
        <f t="shared" si="4"/>
        <v>0</v>
      </c>
      <c r="AF18" s="382">
        <f t="shared" si="4"/>
        <v>0</v>
      </c>
      <c r="AG18" s="382">
        <f t="shared" si="4"/>
        <v>0</v>
      </c>
      <c r="AH18" s="382">
        <f t="shared" si="4"/>
        <v>0</v>
      </c>
    </row>
    <row r="19" spans="1:36" s="10" customFormat="1">
      <c r="A19" s="22" t="s">
        <v>63</v>
      </c>
      <c r="B19" s="18">
        <f>SUM(B16:B18)</f>
        <v>106892.66472957682</v>
      </c>
      <c r="C19" s="309"/>
      <c r="D19" s="18">
        <f t="shared" ref="D19:Y19" si="5">SUM(D16:D18)</f>
        <v>5663.8332364788421</v>
      </c>
      <c r="E19" s="18">
        <f t="shared" si="5"/>
        <v>10657.543149309799</v>
      </c>
      <c r="F19" s="18">
        <f t="shared" si="5"/>
        <v>9687.5488343788184</v>
      </c>
      <c r="G19" s="18">
        <f t="shared" si="5"/>
        <v>8819.6591841774152</v>
      </c>
      <c r="H19" s="18">
        <f t="shared" si="5"/>
        <v>8033.4532657596737</v>
      </c>
      <c r="I19" s="18">
        <f t="shared" si="5"/>
        <v>6760.1206126526358</v>
      </c>
      <c r="J19" s="18">
        <f t="shared" si="5"/>
        <v>6024.1752190450325</v>
      </c>
      <c r="K19" s="18">
        <f t="shared" si="5"/>
        <v>6034.3856855179902</v>
      </c>
      <c r="L19" s="18">
        <f t="shared" si="5"/>
        <v>6024.1752190450325</v>
      </c>
      <c r="M19" s="18">
        <f t="shared" si="5"/>
        <v>6034.3856855179902</v>
      </c>
      <c r="N19" s="18">
        <f t="shared" si="5"/>
        <v>6024.1752190450325</v>
      </c>
      <c r="O19" s="18">
        <f t="shared" si="5"/>
        <v>6034.3856855179902</v>
      </c>
      <c r="P19" s="18">
        <f t="shared" si="5"/>
        <v>6024.1752190450325</v>
      </c>
      <c r="Q19" s="18">
        <f t="shared" si="5"/>
        <v>6034.3856855179902</v>
      </c>
      <c r="R19" s="18">
        <f t="shared" si="5"/>
        <v>6024.1752190450325</v>
      </c>
      <c r="S19" s="18">
        <f t="shared" si="5"/>
        <v>3012.0876095225162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64</v>
      </c>
      <c r="B21" s="310">
        <f>B19</f>
        <v>106892.66472957682</v>
      </c>
      <c r="C21" s="383"/>
      <c r="D21" s="310">
        <f>B19-D19</f>
        <v>101228.83149309798</v>
      </c>
      <c r="E21" s="310">
        <f>D21-E19</f>
        <v>90571.288343788183</v>
      </c>
      <c r="F21" s="310">
        <f t="shared" ref="F21:X21" si="7">E21-F19</f>
        <v>80883.739509409366</v>
      </c>
      <c r="G21" s="310">
        <f t="shared" si="7"/>
        <v>72064.080325231946</v>
      </c>
      <c r="H21" s="310">
        <f t="shared" si="7"/>
        <v>64030.627059472274</v>
      </c>
      <c r="I21" s="310">
        <f t="shared" si="7"/>
        <v>57270.506446819636</v>
      </c>
      <c r="J21" s="310">
        <f t="shared" si="7"/>
        <v>51246.331227774601</v>
      </c>
      <c r="K21" s="310">
        <f t="shared" si="7"/>
        <v>45211.94554225661</v>
      </c>
      <c r="L21" s="310">
        <f t="shared" si="7"/>
        <v>39187.770323211575</v>
      </c>
      <c r="M21" s="310">
        <f t="shared" si="7"/>
        <v>33153.384637693583</v>
      </c>
      <c r="N21" s="310">
        <f t="shared" si="7"/>
        <v>27129.209418648552</v>
      </c>
      <c r="O21" s="310">
        <f t="shared" si="7"/>
        <v>21094.823733130561</v>
      </c>
      <c r="P21" s="310">
        <f t="shared" si="7"/>
        <v>15070.648514085529</v>
      </c>
      <c r="Q21" s="310">
        <f t="shared" si="7"/>
        <v>9036.2628285675382</v>
      </c>
      <c r="R21" s="310">
        <f t="shared" si="7"/>
        <v>3012.0876095225058</v>
      </c>
      <c r="S21" s="310">
        <f t="shared" si="7"/>
        <v>-1.0459189070388675E-11</v>
      </c>
      <c r="T21" s="310">
        <f t="shared" si="7"/>
        <v>-1.0459189070388675E-11</v>
      </c>
      <c r="U21" s="310">
        <f t="shared" si="7"/>
        <v>-1.0459189070388675E-11</v>
      </c>
      <c r="V21" s="310">
        <f t="shared" si="7"/>
        <v>-1.0459189070388675E-11</v>
      </c>
      <c r="W21" s="310">
        <f t="shared" si="7"/>
        <v>-1.0459189070388675E-11</v>
      </c>
      <c r="X21" s="310">
        <f t="shared" si="7"/>
        <v>-1.0459189070388675E-11</v>
      </c>
      <c r="Y21" s="310">
        <f>X21-Y19</f>
        <v>-1.0459189070388675E-11</v>
      </c>
      <c r="Z21" s="310">
        <f t="shared" ref="Z21:AH21" si="8">Y21-Z19</f>
        <v>-1.0459189070388675E-11</v>
      </c>
      <c r="AA21" s="310">
        <f t="shared" si="8"/>
        <v>-1.0459189070388675E-11</v>
      </c>
      <c r="AB21" s="310">
        <f t="shared" si="8"/>
        <v>-1.0459189070388675E-11</v>
      </c>
      <c r="AC21" s="310">
        <f t="shared" si="8"/>
        <v>-1.0459189070388675E-11</v>
      </c>
      <c r="AD21" s="310">
        <f t="shared" si="8"/>
        <v>-1.0459189070388675E-11</v>
      </c>
      <c r="AE21" s="310">
        <f t="shared" si="8"/>
        <v>-1.0459189070388675E-11</v>
      </c>
      <c r="AF21" s="310">
        <f t="shared" si="8"/>
        <v>-1.0459189070388675E-11</v>
      </c>
      <c r="AG21" s="310">
        <f t="shared" si="8"/>
        <v>-1.0459189070388675E-11</v>
      </c>
      <c r="AH21" s="310">
        <f t="shared" si="8"/>
        <v>-1.0459189070388675E-11</v>
      </c>
      <c r="AI21" s="307"/>
      <c r="AJ21" s="307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65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62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255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256</v>
      </c>
      <c r="B27" s="31">
        <f>Assumptions!$N$40</f>
        <v>5</v>
      </c>
      <c r="C27" s="32"/>
      <c r="D27" s="283">
        <f>D13</f>
        <v>0.11666666666666668</v>
      </c>
      <c r="E27" s="283">
        <f t="shared" ref="E27:AH27" si="11">E13</f>
        <v>0.2</v>
      </c>
      <c r="F27" s="283">
        <f t="shared" si="11"/>
        <v>0.2</v>
      </c>
      <c r="G27" s="283">
        <f t="shared" si="11"/>
        <v>0.2</v>
      </c>
      <c r="H27" s="283">
        <f t="shared" si="11"/>
        <v>0.2</v>
      </c>
      <c r="I27" s="283">
        <f t="shared" si="11"/>
        <v>8.3333333333333329E-2</v>
      </c>
      <c r="J27" s="283">
        <f t="shared" si="11"/>
        <v>0</v>
      </c>
      <c r="K27" s="283">
        <f t="shared" si="11"/>
        <v>0</v>
      </c>
      <c r="L27" s="283">
        <f t="shared" si="11"/>
        <v>0</v>
      </c>
      <c r="M27" s="283">
        <f t="shared" si="11"/>
        <v>0</v>
      </c>
      <c r="N27" s="283">
        <f t="shared" si="11"/>
        <v>0</v>
      </c>
      <c r="O27" s="283">
        <f t="shared" si="11"/>
        <v>0</v>
      </c>
      <c r="P27" s="283">
        <f t="shared" si="11"/>
        <v>0</v>
      </c>
      <c r="Q27" s="283">
        <f t="shared" si="11"/>
        <v>0</v>
      </c>
      <c r="R27" s="283">
        <f t="shared" si="11"/>
        <v>0</v>
      </c>
      <c r="S27" s="283">
        <f t="shared" si="11"/>
        <v>0</v>
      </c>
      <c r="T27" s="283">
        <f t="shared" si="11"/>
        <v>0</v>
      </c>
      <c r="U27" s="283">
        <f t="shared" si="11"/>
        <v>0</v>
      </c>
      <c r="V27" s="283">
        <f t="shared" si="11"/>
        <v>0</v>
      </c>
      <c r="W27" s="283">
        <f t="shared" si="11"/>
        <v>0</v>
      </c>
      <c r="X27" s="283">
        <f t="shared" si="11"/>
        <v>0</v>
      </c>
      <c r="Y27" s="283">
        <f t="shared" si="11"/>
        <v>0</v>
      </c>
      <c r="Z27" s="283">
        <f t="shared" si="11"/>
        <v>0</v>
      </c>
      <c r="AA27" s="283">
        <f t="shared" si="11"/>
        <v>0</v>
      </c>
      <c r="AB27" s="283">
        <f t="shared" si="11"/>
        <v>0</v>
      </c>
      <c r="AC27" s="283">
        <f t="shared" si="11"/>
        <v>0</v>
      </c>
      <c r="AD27" s="283">
        <f t="shared" si="11"/>
        <v>0</v>
      </c>
      <c r="AE27" s="283">
        <f t="shared" si="11"/>
        <v>0</v>
      </c>
      <c r="AF27" s="283">
        <f t="shared" si="11"/>
        <v>0</v>
      </c>
      <c r="AG27" s="283">
        <f t="shared" si="11"/>
        <v>0</v>
      </c>
      <c r="AH27" s="283">
        <f t="shared" si="11"/>
        <v>0</v>
      </c>
    </row>
    <row r="28" spans="1:36" s="10" customFormat="1">
      <c r="A28" s="22" t="s">
        <v>324</v>
      </c>
      <c r="B28" s="68">
        <f>Assumptions!$N$41</f>
        <v>20</v>
      </c>
      <c r="C28" s="32"/>
      <c r="D28" s="33">
        <f>D14</f>
        <v>2.9166666666666671E-2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2.0833333333333332E-2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255</v>
      </c>
      <c r="B31" s="380">
        <f>B16</f>
        <v>102104.66472957682</v>
      </c>
      <c r="C31" s="309"/>
      <c r="D31" s="18">
        <f>$B$31*D26</f>
        <v>5105.2332364788417</v>
      </c>
      <c r="E31" s="18">
        <f t="shared" ref="E31:Y31" si="14">$B$31*E26</f>
        <v>9699.9431493097982</v>
      </c>
      <c r="F31" s="18">
        <f t="shared" si="14"/>
        <v>8729.948834378818</v>
      </c>
      <c r="G31" s="18">
        <f t="shared" si="14"/>
        <v>7862.0591841774149</v>
      </c>
      <c r="H31" s="18">
        <f t="shared" si="14"/>
        <v>7075.8532657596734</v>
      </c>
      <c r="I31" s="18">
        <f t="shared" si="14"/>
        <v>6361.1206126526358</v>
      </c>
      <c r="J31" s="18">
        <f t="shared" si="14"/>
        <v>6024.1752190450325</v>
      </c>
      <c r="K31" s="18">
        <f t="shared" si="14"/>
        <v>6034.3856855179902</v>
      </c>
      <c r="L31" s="18">
        <f t="shared" si="14"/>
        <v>6024.1752190450325</v>
      </c>
      <c r="M31" s="18">
        <f t="shared" si="14"/>
        <v>6034.3856855179902</v>
      </c>
      <c r="N31" s="18">
        <f t="shared" si="14"/>
        <v>6024.1752190450325</v>
      </c>
      <c r="O31" s="18">
        <f t="shared" si="14"/>
        <v>6034.3856855179902</v>
      </c>
      <c r="P31" s="18">
        <f t="shared" si="14"/>
        <v>6024.1752190450325</v>
      </c>
      <c r="Q31" s="18">
        <f t="shared" si="14"/>
        <v>6034.3856855179902</v>
      </c>
      <c r="R31" s="18">
        <f t="shared" si="14"/>
        <v>6024.1752190450325</v>
      </c>
      <c r="S31" s="18">
        <f t="shared" si="14"/>
        <v>3012.0876095225162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256</v>
      </c>
      <c r="B32" s="308">
        <f>B17</f>
        <v>4788.0000000000009</v>
      </c>
      <c r="C32" s="309"/>
      <c r="D32" s="306">
        <f>D27*$B$32</f>
        <v>558.60000000000014</v>
      </c>
      <c r="E32" s="306">
        <f t="shared" ref="E32:AH32" si="16">E27*$B$32</f>
        <v>957.60000000000025</v>
      </c>
      <c r="F32" s="306">
        <f t="shared" si="16"/>
        <v>957.60000000000025</v>
      </c>
      <c r="G32" s="306">
        <f t="shared" si="16"/>
        <v>957.60000000000025</v>
      </c>
      <c r="H32" s="306">
        <f t="shared" si="16"/>
        <v>957.60000000000025</v>
      </c>
      <c r="I32" s="306">
        <f t="shared" si="16"/>
        <v>399.00000000000006</v>
      </c>
      <c r="J32" s="306">
        <f t="shared" si="16"/>
        <v>0</v>
      </c>
      <c r="K32" s="306">
        <f t="shared" si="16"/>
        <v>0</v>
      </c>
      <c r="L32" s="306">
        <f t="shared" si="16"/>
        <v>0</v>
      </c>
      <c r="M32" s="306">
        <f t="shared" si="16"/>
        <v>0</v>
      </c>
      <c r="N32" s="306">
        <f t="shared" si="16"/>
        <v>0</v>
      </c>
      <c r="O32" s="306">
        <f t="shared" si="16"/>
        <v>0</v>
      </c>
      <c r="P32" s="306">
        <f t="shared" si="16"/>
        <v>0</v>
      </c>
      <c r="Q32" s="306">
        <f t="shared" si="16"/>
        <v>0</v>
      </c>
      <c r="R32" s="306">
        <f t="shared" si="16"/>
        <v>0</v>
      </c>
      <c r="S32" s="306">
        <f t="shared" si="16"/>
        <v>0</v>
      </c>
      <c r="T32" s="306">
        <f t="shared" si="16"/>
        <v>0</v>
      </c>
      <c r="U32" s="306">
        <f t="shared" si="16"/>
        <v>0</v>
      </c>
      <c r="V32" s="306">
        <f t="shared" si="16"/>
        <v>0</v>
      </c>
      <c r="W32" s="306">
        <f t="shared" si="16"/>
        <v>0</v>
      </c>
      <c r="X32" s="306">
        <f t="shared" si="16"/>
        <v>0</v>
      </c>
      <c r="Y32" s="306">
        <f t="shared" si="16"/>
        <v>0</v>
      </c>
      <c r="Z32" s="306">
        <f t="shared" si="16"/>
        <v>0</v>
      </c>
      <c r="AA32" s="306">
        <f t="shared" si="16"/>
        <v>0</v>
      </c>
      <c r="AB32" s="306">
        <f t="shared" si="16"/>
        <v>0</v>
      </c>
      <c r="AC32" s="306">
        <f t="shared" si="16"/>
        <v>0</v>
      </c>
      <c r="AD32" s="306">
        <f t="shared" si="16"/>
        <v>0</v>
      </c>
      <c r="AE32" s="306">
        <f t="shared" si="16"/>
        <v>0</v>
      </c>
      <c r="AF32" s="306">
        <f t="shared" si="16"/>
        <v>0</v>
      </c>
      <c r="AG32" s="306">
        <f t="shared" si="16"/>
        <v>0</v>
      </c>
      <c r="AH32" s="306">
        <f t="shared" si="16"/>
        <v>0</v>
      </c>
    </row>
    <row r="33" spans="1:38" s="10" customFormat="1" ht="15">
      <c r="A33" s="22" t="s">
        <v>324</v>
      </c>
      <c r="B33" s="381">
        <f>B18</f>
        <v>0</v>
      </c>
      <c r="C33" s="309"/>
      <c r="D33" s="382">
        <f t="shared" ref="D33:Y33" si="17">$B33*D28</f>
        <v>0</v>
      </c>
      <c r="E33" s="382">
        <f t="shared" si="17"/>
        <v>0</v>
      </c>
      <c r="F33" s="382">
        <f t="shared" si="17"/>
        <v>0</v>
      </c>
      <c r="G33" s="382">
        <f t="shared" si="17"/>
        <v>0</v>
      </c>
      <c r="H33" s="382">
        <f t="shared" si="17"/>
        <v>0</v>
      </c>
      <c r="I33" s="382">
        <f t="shared" si="17"/>
        <v>0</v>
      </c>
      <c r="J33" s="382">
        <f t="shared" si="17"/>
        <v>0</v>
      </c>
      <c r="K33" s="382">
        <f t="shared" si="17"/>
        <v>0</v>
      </c>
      <c r="L33" s="382">
        <f t="shared" si="17"/>
        <v>0</v>
      </c>
      <c r="M33" s="382">
        <f t="shared" si="17"/>
        <v>0</v>
      </c>
      <c r="N33" s="382">
        <f t="shared" si="17"/>
        <v>0</v>
      </c>
      <c r="O33" s="382">
        <f t="shared" si="17"/>
        <v>0</v>
      </c>
      <c r="P33" s="382">
        <f t="shared" si="17"/>
        <v>0</v>
      </c>
      <c r="Q33" s="382">
        <f t="shared" si="17"/>
        <v>0</v>
      </c>
      <c r="R33" s="382">
        <f t="shared" si="17"/>
        <v>0</v>
      </c>
      <c r="S33" s="382">
        <f t="shared" si="17"/>
        <v>0</v>
      </c>
      <c r="T33" s="382">
        <f t="shared" si="17"/>
        <v>0</v>
      </c>
      <c r="U33" s="382">
        <f t="shared" si="17"/>
        <v>0</v>
      </c>
      <c r="V33" s="382">
        <f t="shared" si="17"/>
        <v>0</v>
      </c>
      <c r="W33" s="382">
        <f t="shared" si="17"/>
        <v>0</v>
      </c>
      <c r="X33" s="382">
        <f t="shared" si="17"/>
        <v>0</v>
      </c>
      <c r="Y33" s="382">
        <f t="shared" si="17"/>
        <v>0</v>
      </c>
      <c r="Z33" s="382">
        <f t="shared" ref="Z33:AH33" si="18">$B33*Z28</f>
        <v>0</v>
      </c>
      <c r="AA33" s="382">
        <f t="shared" si="18"/>
        <v>0</v>
      </c>
      <c r="AB33" s="382">
        <f t="shared" si="18"/>
        <v>0</v>
      </c>
      <c r="AC33" s="382">
        <f t="shared" si="18"/>
        <v>0</v>
      </c>
      <c r="AD33" s="382">
        <f t="shared" si="18"/>
        <v>0</v>
      </c>
      <c r="AE33" s="382">
        <f t="shared" si="18"/>
        <v>0</v>
      </c>
      <c r="AF33" s="382">
        <f t="shared" si="18"/>
        <v>0</v>
      </c>
      <c r="AG33" s="382">
        <f t="shared" si="18"/>
        <v>0</v>
      </c>
      <c r="AH33" s="382">
        <f t="shared" si="18"/>
        <v>0</v>
      </c>
    </row>
    <row r="34" spans="1:38" s="10" customFormat="1">
      <c r="A34" s="16" t="s">
        <v>63</v>
      </c>
      <c r="B34" s="18">
        <f>SUM(B31:B33)</f>
        <v>106892.66472957682</v>
      </c>
      <c r="C34" s="309"/>
      <c r="D34" s="18">
        <f t="shared" ref="D34:Y34" si="19">SUM(D31:D33)</f>
        <v>5663.8332364788421</v>
      </c>
      <c r="E34" s="18">
        <f t="shared" si="19"/>
        <v>10657.543149309799</v>
      </c>
      <c r="F34" s="18">
        <f t="shared" si="19"/>
        <v>9687.5488343788184</v>
      </c>
      <c r="G34" s="18">
        <f t="shared" si="19"/>
        <v>8819.6591841774152</v>
      </c>
      <c r="H34" s="18">
        <f t="shared" si="19"/>
        <v>8033.4532657596737</v>
      </c>
      <c r="I34" s="18">
        <f t="shared" si="19"/>
        <v>6760.1206126526358</v>
      </c>
      <c r="J34" s="18">
        <f t="shared" si="19"/>
        <v>6024.1752190450325</v>
      </c>
      <c r="K34" s="18">
        <f t="shared" si="19"/>
        <v>6034.3856855179902</v>
      </c>
      <c r="L34" s="18">
        <f t="shared" si="19"/>
        <v>6024.1752190450325</v>
      </c>
      <c r="M34" s="18">
        <f t="shared" si="19"/>
        <v>6034.3856855179902</v>
      </c>
      <c r="N34" s="18">
        <f t="shared" si="19"/>
        <v>6024.1752190450325</v>
      </c>
      <c r="O34" s="18">
        <f t="shared" si="19"/>
        <v>6034.3856855179902</v>
      </c>
      <c r="P34" s="18">
        <f t="shared" si="19"/>
        <v>6024.1752190450325</v>
      </c>
      <c r="Q34" s="18">
        <f t="shared" si="19"/>
        <v>6034.3856855179902</v>
      </c>
      <c r="R34" s="18">
        <f t="shared" si="19"/>
        <v>6024.1752190450325</v>
      </c>
      <c r="S34" s="18">
        <f t="shared" si="19"/>
        <v>3012.0876095225162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8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64</v>
      </c>
      <c r="B36" s="310">
        <f>B34</f>
        <v>106892.66472957682</v>
      </c>
      <c r="C36" s="385"/>
      <c r="D36" s="310">
        <f>B34-D34</f>
        <v>101228.83149309798</v>
      </c>
      <c r="E36" s="310">
        <f>D36-E34</f>
        <v>90571.288343788183</v>
      </c>
      <c r="F36" s="310">
        <f t="shared" ref="F36:W36" si="21">E36-F34</f>
        <v>80883.739509409366</v>
      </c>
      <c r="G36" s="310">
        <f t="shared" si="21"/>
        <v>72064.080325231946</v>
      </c>
      <c r="H36" s="310">
        <f t="shared" si="21"/>
        <v>64030.627059472274</v>
      </c>
      <c r="I36" s="310">
        <f t="shared" si="21"/>
        <v>57270.506446819636</v>
      </c>
      <c r="J36" s="310">
        <f t="shared" si="21"/>
        <v>51246.331227774601</v>
      </c>
      <c r="K36" s="310">
        <f t="shared" si="21"/>
        <v>45211.94554225661</v>
      </c>
      <c r="L36" s="310">
        <f t="shared" si="21"/>
        <v>39187.770323211575</v>
      </c>
      <c r="M36" s="310">
        <f t="shared" si="21"/>
        <v>33153.384637693583</v>
      </c>
      <c r="N36" s="310">
        <f t="shared" si="21"/>
        <v>27129.209418648552</v>
      </c>
      <c r="O36" s="310">
        <f t="shared" si="21"/>
        <v>21094.823733130561</v>
      </c>
      <c r="P36" s="310">
        <f t="shared" si="21"/>
        <v>15070.648514085529</v>
      </c>
      <c r="Q36" s="310">
        <f t="shared" si="21"/>
        <v>9036.2628285675382</v>
      </c>
      <c r="R36" s="310">
        <f t="shared" si="21"/>
        <v>3012.0876095225058</v>
      </c>
      <c r="S36" s="310">
        <f t="shared" si="21"/>
        <v>-1.0459189070388675E-11</v>
      </c>
      <c r="T36" s="310">
        <f t="shared" si="21"/>
        <v>-1.0459189070388675E-11</v>
      </c>
      <c r="U36" s="310">
        <f t="shared" si="21"/>
        <v>-1.0459189070388675E-11</v>
      </c>
      <c r="V36" s="310">
        <f t="shared" si="21"/>
        <v>-1.0459189070388675E-11</v>
      </c>
      <c r="W36" s="310">
        <f t="shared" si="21"/>
        <v>-1.0459189070388675E-11</v>
      </c>
      <c r="X36" s="310">
        <f>W36-X34</f>
        <v>-1.0459189070388675E-11</v>
      </c>
      <c r="Y36" s="310">
        <f>X36-Y34</f>
        <v>-1.0459189070388675E-11</v>
      </c>
      <c r="Z36" s="310">
        <f t="shared" ref="Z36:AH36" si="22">Y36-Z34</f>
        <v>-1.0459189070388675E-11</v>
      </c>
      <c r="AA36" s="310">
        <f t="shared" si="22"/>
        <v>-1.0459189070388675E-11</v>
      </c>
      <c r="AB36" s="310">
        <f t="shared" si="22"/>
        <v>-1.0459189070388675E-11</v>
      </c>
      <c r="AC36" s="310">
        <f t="shared" si="22"/>
        <v>-1.0459189070388675E-11</v>
      </c>
      <c r="AD36" s="310">
        <f t="shared" si="22"/>
        <v>-1.0459189070388675E-11</v>
      </c>
      <c r="AE36" s="310">
        <f t="shared" si="22"/>
        <v>-1.0459189070388675E-11</v>
      </c>
      <c r="AF36" s="310">
        <f t="shared" si="22"/>
        <v>-1.0459189070388675E-11</v>
      </c>
      <c r="AG36" s="310">
        <f t="shared" si="22"/>
        <v>-1.0459189070388675E-11</v>
      </c>
      <c r="AH36" s="310">
        <f t="shared" si="22"/>
        <v>-1.0459189070388675E-11</v>
      </c>
      <c r="AI36" s="307"/>
      <c r="AJ36" s="307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66</v>
      </c>
    </row>
    <row r="40" spans="1:38" s="10" customFormat="1">
      <c r="A40" s="27"/>
      <c r="B40" s="29" t="s">
        <v>62</v>
      </c>
      <c r="C40" s="378" t="s">
        <v>67</v>
      </c>
    </row>
    <row r="41" spans="1:38" s="10" customFormat="1">
      <c r="A41" s="21" t="s">
        <v>379</v>
      </c>
      <c r="B41" s="31">
        <f>Assumptions!$N$44</f>
        <v>30</v>
      </c>
      <c r="C41" s="379">
        <f>Assumptions!P44</f>
        <v>0.1</v>
      </c>
      <c r="D41" s="283">
        <f>1/Assumptions!$N$44*D6*(1-$C$41)</f>
        <v>1.7500000000000002E-2</v>
      </c>
      <c r="E41" s="283">
        <f>IF(AND(E6&gt;=Assumptions!$N$44,D6&lt;Assumptions!$N$44),1/Assumptions!$N$44*(1-$C$41)-Depreciation!$D$41,IF(AND(D6&gt;Assumptions!$N$44,E6&lt;Assumptions!$N$44),0,1/Assumptions!$N$44*(1-$C$41)))</f>
        <v>0.03</v>
      </c>
      <c r="F41" s="283">
        <f>IF(AND(F6&gt;=Assumptions!$N$44,E6&lt;Assumptions!$N$44),1/Assumptions!$N$44*(1-$C$41)-Depreciation!$D$41,IF(AND(E6&gt;Assumptions!$N$44,F6&lt;Assumptions!$N$44),0,1/Assumptions!$N$44*(1-$C$41)))</f>
        <v>0.03</v>
      </c>
      <c r="G41" s="283">
        <f>IF(AND(G6&gt;=Assumptions!$N$44,F6&lt;Assumptions!$N$44),1/Assumptions!$N$44*(1-$C$41)-Depreciation!$D$41,IF(AND(F6&gt;Assumptions!$N$44,G6&lt;Assumptions!$N$44),0,1/Assumptions!$N$44*(1-$C$41)))</f>
        <v>0.03</v>
      </c>
      <c r="H41" s="283">
        <f>IF(AND(H6&gt;=Assumptions!$N$44,G6&lt;Assumptions!$N$44),1/Assumptions!$N$44*(1-$C$41)-Depreciation!$D$41,IF(AND(G6&gt;Assumptions!$N$44,H6&lt;Assumptions!$N$44),0,1/Assumptions!$N$44*(1-$C$41)))</f>
        <v>0.03</v>
      </c>
      <c r="I41" s="283">
        <f>IF(AND(I6&gt;=Assumptions!$N$44,H6&lt;Assumptions!$N$44),1/Assumptions!$N$44*(1-$C$41)-Depreciation!$D$41,IF(AND(H6&gt;Assumptions!$N$44,I6&lt;Assumptions!$N$44),0,1/Assumptions!$N$44*(1-$C$41)))</f>
        <v>0.03</v>
      </c>
      <c r="J41" s="283">
        <f>IF(AND(J6&gt;=Assumptions!$N$44,I6&lt;Assumptions!$N$44),1/Assumptions!$N$44*(1-$C$41)-Depreciation!$D$41,IF(AND(I6&gt;Assumptions!$N$44,J6&lt;Assumptions!$N$44),0,1/Assumptions!$N$44*(1-$C$41)))</f>
        <v>0.03</v>
      </c>
      <c r="K41" s="283">
        <f>IF(AND(K6&gt;=Assumptions!$N$44,J6&lt;Assumptions!$N$44),1/Assumptions!$N$44*(1-$C$41)-Depreciation!$D$41,IF(AND(J6&gt;Assumptions!$N$44,K6&lt;Assumptions!$N$44),0,1/Assumptions!$N$44*(1-$C$41)))</f>
        <v>0.03</v>
      </c>
      <c r="L41" s="283">
        <f>IF(AND(L6&gt;=Assumptions!$N$44,K6&lt;Assumptions!$N$44),1/Assumptions!$N$44*(1-$C$41)-Depreciation!$D$41,IF(AND(K6&gt;Assumptions!$N$44,L6&lt;Assumptions!$N$44),0,1/Assumptions!$N$44*(1-$C$41)))</f>
        <v>0.03</v>
      </c>
      <c r="M41" s="283">
        <f>IF(AND(M6&gt;=Assumptions!$N$44,L6&lt;Assumptions!$N$44),1/Assumptions!$N$44*(1-$C$41)-Depreciation!$D$41,IF(AND(L6&gt;Assumptions!$N$44,M6&lt;Assumptions!$N$44),0,1/Assumptions!$N$44*(1-$C$41)))</f>
        <v>0.03</v>
      </c>
      <c r="N41" s="283">
        <f>IF(AND(N6&gt;=Assumptions!$N$44,M6&lt;Assumptions!$N$44),1/Assumptions!$N$44*(1-$C$41)-Depreciation!$D$41,IF(AND(M6&gt;Assumptions!$N$44,N6&lt;Assumptions!$N$44),0,1/Assumptions!$N$44*(1-$C$41)))</f>
        <v>0.03</v>
      </c>
      <c r="O41" s="283">
        <f>IF(AND(O6&gt;=Assumptions!$N$44,N6&lt;Assumptions!$N$44),1/Assumptions!$N$44*(1-$C$41)-Depreciation!$D$41,IF(AND(N6&gt;Assumptions!$N$44,O6&lt;Assumptions!$N$44),0,1/Assumptions!$N$44*(1-$C$41)))</f>
        <v>0.03</v>
      </c>
      <c r="P41" s="283">
        <f>IF(AND(P6&gt;=Assumptions!$N$44,O6&lt;Assumptions!$N$44),1/Assumptions!$N$44*(1-$C$41)-Depreciation!$D$41,IF(AND(O6&gt;Assumptions!$N$44,P6&lt;Assumptions!$N$44),0,1/Assumptions!$N$44*(1-$C$41)))</f>
        <v>0.03</v>
      </c>
      <c r="Q41" s="283">
        <f>IF(AND(Q6&gt;=Assumptions!$N$44,P6&lt;Assumptions!$N$44),1/Assumptions!$N$44*(1-$C$41)-Depreciation!$D$41,IF(AND(P6&gt;Assumptions!$N$44,Q6&lt;Assumptions!$N$44),0,1/Assumptions!$N$44*(1-$C$41)))</f>
        <v>0.03</v>
      </c>
      <c r="R41" s="283">
        <f>IF(AND(R6&gt;=Assumptions!$N$44,Q6&lt;Assumptions!$N$44),1/Assumptions!$N$44*(1-$C$41)-Depreciation!$D$41,IF(AND(Q6&gt;Assumptions!$N$44,R6&lt;Assumptions!$N$44),0,1/Assumptions!$N$44*(1-$C$41)))</f>
        <v>0.03</v>
      </c>
      <c r="S41" s="283">
        <f>IF(AND(S6&gt;=Assumptions!$N$44,R6&lt;Assumptions!$N$44),1/Assumptions!$N$44*(1-$C$41)-Depreciation!$D$41,IF(AND(R6&gt;Assumptions!$N$44,S6&lt;Assumptions!$N$44),0,1/Assumptions!$N$44*(1-$C$41)))</f>
        <v>0.03</v>
      </c>
      <c r="T41" s="283">
        <f>IF(AND(T6&gt;=Assumptions!$N$44,S6&lt;Assumptions!$N$44),1/Assumptions!$N$44*(1-$C$41)-Depreciation!$D$41,IF(AND(S6&gt;Assumptions!$N$44,T6&lt;Assumptions!$N$44),0,1/Assumptions!$N$44*(1-$C$41)))</f>
        <v>0.03</v>
      </c>
      <c r="U41" s="283">
        <f>IF(AND(U6&gt;=Assumptions!$N$44,T6&lt;Assumptions!$N$44),1/Assumptions!$N$44*(1-$C$41)-Depreciation!$D$41,IF(AND(T6&gt;Assumptions!$N$44,U6&lt;Assumptions!$N$44),0,1/Assumptions!$N$44*(1-$C$41)))</f>
        <v>0.03</v>
      </c>
      <c r="V41" s="283">
        <f>IF(AND(V6&gt;=Assumptions!$N$44,U6&lt;Assumptions!$N$44),1/Assumptions!$N$44*(1-$C$41)-Depreciation!$D$41,IF(AND(U6&gt;Assumptions!$N$44,V6&lt;Assumptions!$N$44),0,1/Assumptions!$N$44*(1-$C$41)))</f>
        <v>0.03</v>
      </c>
      <c r="W41" s="283">
        <f>IF(AND(W6&gt;=Assumptions!$N$44,V6&lt;Assumptions!$N$44),1/Assumptions!$N$44*(1-$C$41)-Depreciation!$D$41,IF(AND(V6&gt;Assumptions!$N$44,W6&lt;Assumptions!$N$44),0,1/Assumptions!$N$44*(1-$C$41)))</f>
        <v>0.03</v>
      </c>
      <c r="X41" s="283">
        <f>IF(AND(X6&gt;=Assumptions!$N$44,W6&lt;Assumptions!$N$44),1/Assumptions!$N$44*(1-$C$41)-Depreciation!$D$41,IF(AND(W6&gt;Assumptions!$N$44,X6&lt;Assumptions!$N$44),0,1/Assumptions!$N$44*(1-$C$41)))</f>
        <v>0.03</v>
      </c>
      <c r="Y41" s="283">
        <f>IF(AND(Y6&gt;=Assumptions!$N$44,X6&lt;Assumptions!$N$44),1/Assumptions!$N$44*(1-$C$41)-Depreciation!$D$41,IF(AND(X6&gt;Assumptions!$N$44,Y6&lt;Assumptions!$N$44),0,1/Assumptions!$N$44*(1-$C$41)))</f>
        <v>0.03</v>
      </c>
      <c r="Z41" s="283">
        <f>IF(AND(Z6&gt;=Assumptions!$N$44,Y6&lt;Assumptions!$N$44),1/Assumptions!$N$44*(1-$C$41)-Depreciation!$D$41,IF(AND(Y6&gt;Assumptions!$N$44,Z6&lt;Assumptions!$N$44),0,1/Assumptions!$N$44*(1-$C$41)))</f>
        <v>0.03</v>
      </c>
      <c r="AA41" s="283">
        <f>IF(AND(AA6&gt;=Assumptions!$N$44,Z6&lt;Assumptions!$N$44),1/Assumptions!$N$44*(1-$C$41)-Depreciation!$D$41,IF(AND(Z6&gt;Assumptions!$N$44,AA6&lt;Assumptions!$N$44),0,1/Assumptions!$N$44*(1-$C$41)))</f>
        <v>0.03</v>
      </c>
      <c r="AB41" s="283">
        <f>IF(AND(AB6&gt;=Assumptions!$N$44,AA6&lt;Assumptions!$N$44),1/Assumptions!$N$44*(1-$C$41)-Depreciation!$D$41,IF(AND(AA6&gt;Assumptions!$N$44,AB6&lt;Assumptions!$N$44),0,1/Assumptions!$N$44*(1-$C$41)))</f>
        <v>0.03</v>
      </c>
      <c r="AC41" s="283">
        <f>IF(AND(AC6&gt;=Assumptions!$N$44,AB6&lt;Assumptions!$N$44),1/Assumptions!$N$44*(1-$C$41)-Depreciation!$D$41,IF(AND(AB6&gt;Assumptions!$N$44,AC6&lt;Assumptions!$N$44),0,1/Assumptions!$N$44*(1-$C$41)))</f>
        <v>0.03</v>
      </c>
      <c r="AD41" s="283">
        <f>IF(AND(AD6&gt;=Assumptions!$N$44,AC6&lt;Assumptions!$N$44),1/Assumptions!$N$44*(1-$C$41)-Depreciation!$D$41,IF(AND(AC6&gt;Assumptions!$N$44,AD6&lt;Assumptions!$N$44),0,1/Assumptions!$N$44*(1-$C$41)))</f>
        <v>0.03</v>
      </c>
      <c r="AE41" s="283">
        <f>IF(AND(AE6&gt;=Assumptions!$N$44,AD6&lt;Assumptions!$N$44),1/Assumptions!$N$44*(1-$C$41)-Depreciation!$D$41,IF(AND(AD6&gt;Assumptions!$N$44,AE6&lt;Assumptions!$N$44),0,1/Assumptions!$N$44*(1-$C$41)))</f>
        <v>0.03</v>
      </c>
      <c r="AF41" s="283">
        <f>IF(AND(AF6&gt;=Assumptions!$N$44,AE6&lt;Assumptions!$N$44),1/Assumptions!$N$44*(1-$C$41)-Depreciation!$D$41,IF(AND(AE6&gt;Assumptions!$N$44,AF6&lt;Assumptions!$N$44),0,1/Assumptions!$N$44*(1-$C$41)))</f>
        <v>0.03</v>
      </c>
      <c r="AG41" s="283">
        <f>IF(AND(AG6&gt;=Assumptions!$N$44,AF6&lt;Assumptions!$N$44),1/Assumptions!$N$44*(1-$C$41)-Depreciation!$D$41,IF(AND(AF6&gt;Assumptions!$N$44,AG6&lt;Assumptions!$N$44),0,1/Assumptions!$N$44*(1-$C$41)))</f>
        <v>0.03</v>
      </c>
      <c r="AH41" s="283">
        <f>IF(AND(AH6&gt;=Assumptions!$N$44,AG6&lt;Assumptions!$N$44),1/Assumptions!$N$44*(1-$C$41)-Depreciation!$D$41,IF(AND(AG6&gt;Assumptions!$N$44,AH6&lt;Assumptions!$N$44),0,1/Assumptions!$N$44*(1-$C$41)))</f>
        <v>1.2499999999999997E-2</v>
      </c>
    </row>
    <row r="42" spans="1:38" s="10" customFormat="1">
      <c r="A42" s="21" t="s">
        <v>256</v>
      </c>
      <c r="B42" s="31">
        <f>Assumptions!$N$40</f>
        <v>5</v>
      </c>
      <c r="C42" s="32"/>
      <c r="D42" s="283">
        <f>D13</f>
        <v>0.11666666666666668</v>
      </c>
      <c r="E42" s="283">
        <f t="shared" ref="E42:AH42" si="23">E13</f>
        <v>0.2</v>
      </c>
      <c r="F42" s="283">
        <f t="shared" si="23"/>
        <v>0.2</v>
      </c>
      <c r="G42" s="283">
        <f t="shared" si="23"/>
        <v>0.2</v>
      </c>
      <c r="H42" s="283">
        <f t="shared" si="23"/>
        <v>0.2</v>
      </c>
      <c r="I42" s="283">
        <f t="shared" si="23"/>
        <v>8.3333333333333329E-2</v>
      </c>
      <c r="J42" s="283">
        <f t="shared" si="23"/>
        <v>0</v>
      </c>
      <c r="K42" s="283">
        <f t="shared" si="23"/>
        <v>0</v>
      </c>
      <c r="L42" s="283">
        <f t="shared" si="23"/>
        <v>0</v>
      </c>
      <c r="M42" s="283">
        <f t="shared" si="23"/>
        <v>0</v>
      </c>
      <c r="N42" s="283">
        <f t="shared" si="23"/>
        <v>0</v>
      </c>
      <c r="O42" s="283">
        <f t="shared" si="23"/>
        <v>0</v>
      </c>
      <c r="P42" s="283">
        <f t="shared" si="23"/>
        <v>0</v>
      </c>
      <c r="Q42" s="283">
        <f t="shared" si="23"/>
        <v>0</v>
      </c>
      <c r="R42" s="283">
        <f t="shared" si="23"/>
        <v>0</v>
      </c>
      <c r="S42" s="283">
        <f t="shared" si="23"/>
        <v>0</v>
      </c>
      <c r="T42" s="283">
        <f t="shared" si="23"/>
        <v>0</v>
      </c>
      <c r="U42" s="283">
        <f t="shared" si="23"/>
        <v>0</v>
      </c>
      <c r="V42" s="283">
        <f t="shared" si="23"/>
        <v>0</v>
      </c>
      <c r="W42" s="283">
        <f t="shared" si="23"/>
        <v>0</v>
      </c>
      <c r="X42" s="283">
        <f t="shared" si="23"/>
        <v>0</v>
      </c>
      <c r="Y42" s="283">
        <f t="shared" si="23"/>
        <v>0</v>
      </c>
      <c r="Z42" s="283">
        <f t="shared" si="23"/>
        <v>0</v>
      </c>
      <c r="AA42" s="283">
        <f t="shared" si="23"/>
        <v>0</v>
      </c>
      <c r="AB42" s="283">
        <f t="shared" si="23"/>
        <v>0</v>
      </c>
      <c r="AC42" s="283">
        <f t="shared" si="23"/>
        <v>0</v>
      </c>
      <c r="AD42" s="283">
        <f t="shared" si="23"/>
        <v>0</v>
      </c>
      <c r="AE42" s="283">
        <f t="shared" si="23"/>
        <v>0</v>
      </c>
      <c r="AF42" s="283">
        <f t="shared" si="23"/>
        <v>0</v>
      </c>
      <c r="AG42" s="283">
        <f t="shared" si="23"/>
        <v>0</v>
      </c>
      <c r="AH42" s="283">
        <f t="shared" si="23"/>
        <v>0</v>
      </c>
    </row>
    <row r="43" spans="1:38" s="10" customFormat="1">
      <c r="A43" s="22" t="s">
        <v>324</v>
      </c>
      <c r="B43" s="34">
        <f>Assumptions!$N$46</f>
        <v>20</v>
      </c>
      <c r="C43" s="24"/>
      <c r="D43" s="283">
        <f>1/Assumptions!$N$46*D6</f>
        <v>2.9166666666666671E-2</v>
      </c>
      <c r="E43" s="283">
        <f>IF(AND(E6&gt;=Assumptions!$N$46, D6&lt;Assumptions!$N$46),1/Assumptions!$N$46-Depreciation!$D$43,IF(E6&lt;Assumptions!$N$46,1/Assumptions!$N$46,0))</f>
        <v>0.05</v>
      </c>
      <c r="F43" s="283">
        <f>IF(AND(F6&gt;=Assumptions!$N$46, E6&lt;Assumptions!$N$46),1/Assumptions!$N$46-Depreciation!$D$43,IF(F6&lt;Assumptions!$N$46,1/Assumptions!$N$46,0))</f>
        <v>0.05</v>
      </c>
      <c r="G43" s="283">
        <f>IF(AND(G6&gt;=Assumptions!$N$46, F6&lt;Assumptions!$N$46),1/Assumptions!$N$46-Depreciation!$D$43,IF(G6&lt;Assumptions!$N$46,1/Assumptions!$N$46,0))</f>
        <v>0.05</v>
      </c>
      <c r="H43" s="283">
        <f>IF(AND(H6&gt;=Assumptions!$N$46, G6&lt;Assumptions!$N$46),1/Assumptions!$N$46-Depreciation!$D$43,IF(H6&lt;Assumptions!$N$46,1/Assumptions!$N$46,0))</f>
        <v>0.05</v>
      </c>
      <c r="I43" s="283">
        <f>IF(AND(I6&gt;=Assumptions!$N$46, H6&lt;Assumptions!$N$46),1/Assumptions!$N$46-Depreciation!$D$43,IF(I6&lt;Assumptions!$N$46,1/Assumptions!$N$46,0))</f>
        <v>0.05</v>
      </c>
      <c r="J43" s="283">
        <f>IF(AND(J6&gt;=Assumptions!$N$46, I6&lt;Assumptions!$N$46),1/Assumptions!$N$46-Depreciation!$D$43,IF(J6&lt;Assumptions!$N$46,1/Assumptions!$N$46,0))</f>
        <v>0.05</v>
      </c>
      <c r="K43" s="283">
        <f>IF(AND(K6&gt;=Assumptions!$N$46, J6&lt;Assumptions!$N$46),1/Assumptions!$N$46-Depreciation!$D$43,IF(K6&lt;Assumptions!$N$46,1/Assumptions!$N$46,0))</f>
        <v>0.05</v>
      </c>
      <c r="L43" s="283">
        <f>IF(AND(L6&gt;=Assumptions!$N$46, K6&lt;Assumptions!$N$46),1/Assumptions!$N$46-Depreciation!$D$43,IF(L6&lt;Assumptions!$N$46,1/Assumptions!$N$46,0))</f>
        <v>0.05</v>
      </c>
      <c r="M43" s="283">
        <f>IF(AND(M6&gt;=Assumptions!$N$46, L6&lt;Assumptions!$N$46),1/Assumptions!$N$46-Depreciation!$D$43,IF(M6&lt;Assumptions!$N$46,1/Assumptions!$N$46,0))</f>
        <v>0.05</v>
      </c>
      <c r="N43" s="283">
        <f>IF(AND(N6&gt;=Assumptions!$N$46, M6&lt;Assumptions!$N$46),1/Assumptions!$N$46-Depreciation!$D$43,IF(N6&lt;Assumptions!$N$46,1/Assumptions!$N$46,0))</f>
        <v>0.05</v>
      </c>
      <c r="O43" s="283">
        <f>IF(AND(O6&gt;=Assumptions!$N$46, N6&lt;Assumptions!$N$46),1/Assumptions!$N$46-Depreciation!$D$43,IF(O6&lt;Assumptions!$N$46,1/Assumptions!$N$46,0))</f>
        <v>0.05</v>
      </c>
      <c r="P43" s="283">
        <f>IF(AND(P6&gt;=Assumptions!$N$46, O6&lt;Assumptions!$N$46),1/Assumptions!$N$46-Depreciation!$D$43,IF(P6&lt;Assumptions!$N$46,1/Assumptions!$N$46,0))</f>
        <v>0.05</v>
      </c>
      <c r="Q43" s="283">
        <f>IF(AND(Q6&gt;=Assumptions!$N$46, P6&lt;Assumptions!$N$46),1/Assumptions!$N$46-Depreciation!$D$43,IF(Q6&lt;Assumptions!$N$46,1/Assumptions!$N$46,0))</f>
        <v>0.05</v>
      </c>
      <c r="R43" s="283">
        <f>IF(AND(R6&gt;=Assumptions!$N$46, Q6&lt;Assumptions!$N$46),1/Assumptions!$N$46-Depreciation!$D$43,IF(R6&lt;Assumptions!$N$46,1/Assumptions!$N$46,0))</f>
        <v>0.05</v>
      </c>
      <c r="S43" s="283">
        <f>IF(AND(S6&gt;=Assumptions!$N$46, R6&lt;Assumptions!$N$46),1/Assumptions!$N$46-Depreciation!$D$43,IF(S6&lt;Assumptions!$N$46,1/Assumptions!$N$46,0))</f>
        <v>0.05</v>
      </c>
      <c r="T43" s="283">
        <f>IF(AND(T6&gt;=Assumptions!$N$46, S6&lt;Assumptions!$N$46),1/Assumptions!$N$46-Depreciation!$D$43,IF(T6&lt;Assumptions!$N$46,1/Assumptions!$N$46,0))</f>
        <v>0.05</v>
      </c>
      <c r="U43" s="283">
        <f>IF(AND(U6&gt;=Assumptions!$N$46, T6&lt;Assumptions!$N$46),1/Assumptions!$N$46-Depreciation!$D$43,IF(U6&lt;Assumptions!$N$46,1/Assumptions!$N$46,0))</f>
        <v>0.05</v>
      </c>
      <c r="V43" s="283">
        <f>IF(AND(V6&gt;=Assumptions!$N$46, U6&lt;Assumptions!$N$46),1/Assumptions!$N$46-Depreciation!$D$43,IF(V6&lt;Assumptions!$N$46,1/Assumptions!$N$46,0))</f>
        <v>0.05</v>
      </c>
      <c r="W43" s="283">
        <f>IF(AND(W6&gt;=Assumptions!$N$46, V6&lt;Assumptions!$N$46),1/Assumptions!$N$46-Depreciation!$D$43,IF(W6&lt;Assumptions!$N$46,1/Assumptions!$N$46,0))</f>
        <v>0.05</v>
      </c>
      <c r="X43" s="283">
        <f>IF(AND(X6&gt;=Assumptions!$N$46, W6&lt;Assumptions!$N$46),1/Assumptions!$N$46-Depreciation!$D$43,IF(X6&lt;Assumptions!$N$46,1/Assumptions!$N$46,0))</f>
        <v>2.0833333333333332E-2</v>
      </c>
      <c r="Y43" s="283">
        <f>IF(AND(Y6&gt;=Assumptions!$N$46, X6&lt;Assumptions!$N$46),1/Assumptions!$N$46-Depreciation!$D$43,IF(Y6&lt;Assumptions!$N$46,1/Assumptions!$N$46,0))</f>
        <v>0</v>
      </c>
      <c r="Z43" s="283">
        <f>IF(AND(Z6&gt;=Assumptions!$N$46, Y6&lt;Assumptions!$N$46),1/Assumptions!$N$46-Depreciation!$D$43,IF(Z6&lt;Assumptions!$N$46,1/Assumptions!$N$46,0))</f>
        <v>0</v>
      </c>
      <c r="AA43" s="283">
        <f>IF(AND(AA6&gt;=Assumptions!$N$46, Z6&lt;Assumptions!$N$46),1/Assumptions!$N$46-Depreciation!$D$43,IF(AA6&lt;Assumptions!$N$46,1/Assumptions!$N$46,0))</f>
        <v>0</v>
      </c>
      <c r="AB43" s="283">
        <f>IF(AND(AB6&gt;=Assumptions!$N$46, AA6&lt;Assumptions!$N$46),1/Assumptions!$N$46-Depreciation!$D$43,IF(AB6&lt;Assumptions!$N$46,1/Assumptions!$N$46,0))</f>
        <v>0</v>
      </c>
      <c r="AC43" s="283">
        <f>IF(AND(AC6&gt;=Assumptions!$N$46, AB6&lt;Assumptions!$N$46),1/Assumptions!$N$46-Depreciation!$D$43,IF(AC6&lt;Assumptions!$N$46,1/Assumptions!$N$46,0))</f>
        <v>0</v>
      </c>
      <c r="AD43" s="283">
        <f>IF(AND(AD6&gt;=Assumptions!$N$46, AC6&lt;Assumptions!$N$46),1/Assumptions!$N$46-Depreciation!$D$43,IF(AD6&lt;Assumptions!$N$46,1/Assumptions!$N$46,0))</f>
        <v>0</v>
      </c>
      <c r="AE43" s="283">
        <f>IF(AND(AE6&gt;=Assumptions!$N$46, AD6&lt;Assumptions!$N$46),1/Assumptions!$N$46-Depreciation!$D$43,IF(AE6&lt;Assumptions!$N$46,1/Assumptions!$N$46,0))</f>
        <v>0</v>
      </c>
      <c r="AF43" s="283">
        <f>IF(AND(AF6&gt;=Assumptions!$N$46, AE6&lt;Assumptions!$N$46),1/Assumptions!$N$46-Depreciation!$D$43,IF(AF6&lt;Assumptions!$N$46,1/Assumptions!$N$46,0))</f>
        <v>0</v>
      </c>
      <c r="AG43" s="283">
        <f>IF(AND(AG6&gt;=Assumptions!$N$46, AF6&lt;Assumptions!$N$46),1/Assumptions!$N$46-Depreciation!$D$43,IF(AG6&lt;Assumptions!$N$46,1/Assumptions!$N$46,0))</f>
        <v>0</v>
      </c>
      <c r="AH43" s="283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255</v>
      </c>
      <c r="B45" s="380">
        <f>B16</f>
        <v>102104.66472957682</v>
      </c>
      <c r="C45" s="309"/>
      <c r="D45" s="18">
        <f t="shared" ref="D45:Y45" si="24">D41*$B$45</f>
        <v>1786.8316327675946</v>
      </c>
      <c r="E45" s="18">
        <f t="shared" si="24"/>
        <v>3063.1399418873043</v>
      </c>
      <c r="F45" s="18">
        <f t="shared" si="24"/>
        <v>3063.1399418873043</v>
      </c>
      <c r="G45" s="18">
        <f t="shared" si="24"/>
        <v>3063.1399418873043</v>
      </c>
      <c r="H45" s="18">
        <f t="shared" si="24"/>
        <v>3063.1399418873043</v>
      </c>
      <c r="I45" s="18">
        <f t="shared" si="24"/>
        <v>3063.1399418873043</v>
      </c>
      <c r="J45" s="18">
        <f t="shared" si="24"/>
        <v>3063.1399418873043</v>
      </c>
      <c r="K45" s="18">
        <f t="shared" si="24"/>
        <v>3063.1399418873043</v>
      </c>
      <c r="L45" s="18">
        <f t="shared" si="24"/>
        <v>3063.1399418873043</v>
      </c>
      <c r="M45" s="18">
        <f t="shared" si="24"/>
        <v>3063.1399418873043</v>
      </c>
      <c r="N45" s="18">
        <f t="shared" si="24"/>
        <v>3063.1399418873043</v>
      </c>
      <c r="O45" s="18">
        <f t="shared" si="24"/>
        <v>3063.1399418873043</v>
      </c>
      <c r="P45" s="18">
        <f t="shared" si="24"/>
        <v>3063.1399418873043</v>
      </c>
      <c r="Q45" s="18">
        <f t="shared" si="24"/>
        <v>3063.1399418873043</v>
      </c>
      <c r="R45" s="18">
        <f t="shared" si="24"/>
        <v>3063.1399418873043</v>
      </c>
      <c r="S45" s="18">
        <f t="shared" si="24"/>
        <v>3063.1399418873043</v>
      </c>
      <c r="T45" s="18">
        <f t="shared" si="24"/>
        <v>3063.1399418873043</v>
      </c>
      <c r="U45" s="18">
        <f t="shared" si="24"/>
        <v>3063.1399418873043</v>
      </c>
      <c r="V45" s="18">
        <f t="shared" si="24"/>
        <v>3063.1399418873043</v>
      </c>
      <c r="W45" s="18">
        <f t="shared" si="24"/>
        <v>3063.1399418873043</v>
      </c>
      <c r="X45" s="18">
        <f t="shared" si="24"/>
        <v>3063.1399418873043</v>
      </c>
      <c r="Y45" s="18">
        <f t="shared" si="24"/>
        <v>3063.1399418873043</v>
      </c>
      <c r="Z45" s="18">
        <f t="shared" ref="Z45:AH45" si="25">Z41*$B$45</f>
        <v>3063.1399418873043</v>
      </c>
      <c r="AA45" s="18">
        <f t="shared" si="25"/>
        <v>3063.1399418873043</v>
      </c>
      <c r="AB45" s="18">
        <f t="shared" si="25"/>
        <v>3063.1399418873043</v>
      </c>
      <c r="AC45" s="18">
        <f t="shared" si="25"/>
        <v>3063.1399418873043</v>
      </c>
      <c r="AD45" s="18">
        <f t="shared" si="25"/>
        <v>3063.1399418873043</v>
      </c>
      <c r="AE45" s="18">
        <f t="shared" si="25"/>
        <v>3063.1399418873043</v>
      </c>
      <c r="AF45" s="18">
        <f t="shared" si="25"/>
        <v>3063.1399418873043</v>
      </c>
      <c r="AG45" s="18">
        <f t="shared" si="25"/>
        <v>3063.1399418873043</v>
      </c>
      <c r="AH45" s="18">
        <f t="shared" si="25"/>
        <v>1276.30830911971</v>
      </c>
      <c r="AI45" s="20"/>
      <c r="AJ45" s="20"/>
      <c r="AK45" s="20"/>
      <c r="AL45" s="20"/>
    </row>
    <row r="46" spans="1:38" s="10" customFormat="1">
      <c r="A46" s="21" t="s">
        <v>256</v>
      </c>
      <c r="B46" s="308">
        <f>B17</f>
        <v>4788.0000000000009</v>
      </c>
      <c r="C46" s="309"/>
      <c r="D46" s="306">
        <f>D42*$B$46</f>
        <v>558.60000000000014</v>
      </c>
      <c r="E46" s="306">
        <f t="shared" ref="E46:AH46" si="26">E42*$B$46</f>
        <v>957.60000000000025</v>
      </c>
      <c r="F46" s="306">
        <f t="shared" si="26"/>
        <v>957.60000000000025</v>
      </c>
      <c r="G46" s="306">
        <f t="shared" si="26"/>
        <v>957.60000000000025</v>
      </c>
      <c r="H46" s="306">
        <f t="shared" si="26"/>
        <v>957.60000000000025</v>
      </c>
      <c r="I46" s="306">
        <f t="shared" si="26"/>
        <v>399.00000000000006</v>
      </c>
      <c r="J46" s="306">
        <f t="shared" si="26"/>
        <v>0</v>
      </c>
      <c r="K46" s="306">
        <f t="shared" si="26"/>
        <v>0</v>
      </c>
      <c r="L46" s="306">
        <f t="shared" si="26"/>
        <v>0</v>
      </c>
      <c r="M46" s="306">
        <f t="shared" si="26"/>
        <v>0</v>
      </c>
      <c r="N46" s="306">
        <f t="shared" si="26"/>
        <v>0</v>
      </c>
      <c r="O46" s="306">
        <f t="shared" si="26"/>
        <v>0</v>
      </c>
      <c r="P46" s="306">
        <f t="shared" si="26"/>
        <v>0</v>
      </c>
      <c r="Q46" s="306">
        <f t="shared" si="26"/>
        <v>0</v>
      </c>
      <c r="R46" s="306">
        <f t="shared" si="26"/>
        <v>0</v>
      </c>
      <c r="S46" s="306">
        <f t="shared" si="26"/>
        <v>0</v>
      </c>
      <c r="T46" s="306">
        <f t="shared" si="26"/>
        <v>0</v>
      </c>
      <c r="U46" s="306">
        <f t="shared" si="26"/>
        <v>0</v>
      </c>
      <c r="V46" s="306">
        <f t="shared" si="26"/>
        <v>0</v>
      </c>
      <c r="W46" s="306">
        <f t="shared" si="26"/>
        <v>0</v>
      </c>
      <c r="X46" s="306">
        <f t="shared" si="26"/>
        <v>0</v>
      </c>
      <c r="Y46" s="306">
        <f t="shared" si="26"/>
        <v>0</v>
      </c>
      <c r="Z46" s="306">
        <f t="shared" si="26"/>
        <v>0</v>
      </c>
      <c r="AA46" s="306">
        <f t="shared" si="26"/>
        <v>0</v>
      </c>
      <c r="AB46" s="306">
        <f t="shared" si="26"/>
        <v>0</v>
      </c>
      <c r="AC46" s="306">
        <f t="shared" si="26"/>
        <v>0</v>
      </c>
      <c r="AD46" s="306">
        <f t="shared" si="26"/>
        <v>0</v>
      </c>
      <c r="AE46" s="306">
        <f t="shared" si="26"/>
        <v>0</v>
      </c>
      <c r="AF46" s="306">
        <f t="shared" si="26"/>
        <v>0</v>
      </c>
      <c r="AG46" s="306">
        <f t="shared" si="26"/>
        <v>0</v>
      </c>
      <c r="AH46" s="306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324</v>
      </c>
      <c r="B47" s="381">
        <f>B18</f>
        <v>0</v>
      </c>
      <c r="C47" s="309"/>
      <c r="D47" s="382">
        <f t="shared" ref="D47:Y47" si="27">D43*$B$47</f>
        <v>0</v>
      </c>
      <c r="E47" s="382">
        <f t="shared" si="27"/>
        <v>0</v>
      </c>
      <c r="F47" s="382">
        <f t="shared" si="27"/>
        <v>0</v>
      </c>
      <c r="G47" s="382">
        <f t="shared" si="27"/>
        <v>0</v>
      </c>
      <c r="H47" s="382">
        <f t="shared" si="27"/>
        <v>0</v>
      </c>
      <c r="I47" s="382">
        <f t="shared" si="27"/>
        <v>0</v>
      </c>
      <c r="J47" s="382">
        <f t="shared" si="27"/>
        <v>0</v>
      </c>
      <c r="K47" s="382">
        <f t="shared" si="27"/>
        <v>0</v>
      </c>
      <c r="L47" s="382">
        <f t="shared" si="27"/>
        <v>0</v>
      </c>
      <c r="M47" s="382">
        <f t="shared" si="27"/>
        <v>0</v>
      </c>
      <c r="N47" s="382">
        <f t="shared" si="27"/>
        <v>0</v>
      </c>
      <c r="O47" s="382">
        <f t="shared" si="27"/>
        <v>0</v>
      </c>
      <c r="P47" s="382">
        <f t="shared" si="27"/>
        <v>0</v>
      </c>
      <c r="Q47" s="382">
        <f t="shared" si="27"/>
        <v>0</v>
      </c>
      <c r="R47" s="382">
        <f t="shared" si="27"/>
        <v>0</v>
      </c>
      <c r="S47" s="382">
        <f t="shared" si="27"/>
        <v>0</v>
      </c>
      <c r="T47" s="382">
        <f t="shared" si="27"/>
        <v>0</v>
      </c>
      <c r="U47" s="382">
        <f t="shared" si="27"/>
        <v>0</v>
      </c>
      <c r="V47" s="382">
        <f t="shared" si="27"/>
        <v>0</v>
      </c>
      <c r="W47" s="382">
        <f t="shared" si="27"/>
        <v>0</v>
      </c>
      <c r="X47" s="382">
        <f t="shared" si="27"/>
        <v>0</v>
      </c>
      <c r="Y47" s="382">
        <f t="shared" si="27"/>
        <v>0</v>
      </c>
      <c r="Z47" s="382">
        <f t="shared" ref="Z47:AH47" si="28">Z43*$B$47</f>
        <v>0</v>
      </c>
      <c r="AA47" s="382">
        <f t="shared" si="28"/>
        <v>0</v>
      </c>
      <c r="AB47" s="382">
        <f t="shared" si="28"/>
        <v>0</v>
      </c>
      <c r="AC47" s="382">
        <f t="shared" si="28"/>
        <v>0</v>
      </c>
      <c r="AD47" s="382">
        <f t="shared" si="28"/>
        <v>0</v>
      </c>
      <c r="AE47" s="382">
        <f t="shared" si="28"/>
        <v>0</v>
      </c>
      <c r="AF47" s="382">
        <f t="shared" si="28"/>
        <v>0</v>
      </c>
      <c r="AG47" s="382">
        <f t="shared" si="28"/>
        <v>0</v>
      </c>
      <c r="AH47" s="38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63</v>
      </c>
      <c r="B48" s="18">
        <f>SUM(B45:B47)</f>
        <v>106892.66472957682</v>
      </c>
      <c r="C48" s="309"/>
      <c r="D48" s="18">
        <f t="shared" ref="D48:Y48" si="29">SUM(D45:D47)</f>
        <v>2345.4316327675947</v>
      </c>
      <c r="E48" s="18">
        <f t="shared" si="29"/>
        <v>4020.7399418873047</v>
      </c>
      <c r="F48" s="18">
        <f t="shared" si="29"/>
        <v>4020.7399418873047</v>
      </c>
      <c r="G48" s="18">
        <f t="shared" si="29"/>
        <v>4020.7399418873047</v>
      </c>
      <c r="H48" s="18">
        <f t="shared" si="29"/>
        <v>4020.7399418873047</v>
      </c>
      <c r="I48" s="18">
        <f t="shared" si="29"/>
        <v>3462.1399418873043</v>
      </c>
      <c r="J48" s="18">
        <f t="shared" si="29"/>
        <v>3063.1399418873043</v>
      </c>
      <c r="K48" s="18">
        <f t="shared" si="29"/>
        <v>3063.1399418873043</v>
      </c>
      <c r="L48" s="18">
        <f t="shared" si="29"/>
        <v>3063.1399418873043</v>
      </c>
      <c r="M48" s="18">
        <f t="shared" si="29"/>
        <v>3063.1399418873043</v>
      </c>
      <c r="N48" s="18">
        <f t="shared" si="29"/>
        <v>3063.1399418873043</v>
      </c>
      <c r="O48" s="18">
        <f t="shared" si="29"/>
        <v>3063.1399418873043</v>
      </c>
      <c r="P48" s="18">
        <f t="shared" si="29"/>
        <v>3063.1399418873043</v>
      </c>
      <c r="Q48" s="18">
        <f t="shared" si="29"/>
        <v>3063.1399418873043</v>
      </c>
      <c r="R48" s="18">
        <f t="shared" si="29"/>
        <v>3063.1399418873043</v>
      </c>
      <c r="S48" s="18">
        <f t="shared" si="29"/>
        <v>3063.1399418873043</v>
      </c>
      <c r="T48" s="18">
        <f t="shared" si="29"/>
        <v>3063.1399418873043</v>
      </c>
      <c r="U48" s="18">
        <f t="shared" si="29"/>
        <v>3063.1399418873043</v>
      </c>
      <c r="V48" s="18">
        <f t="shared" si="29"/>
        <v>3063.1399418873043</v>
      </c>
      <c r="W48" s="18">
        <f t="shared" si="29"/>
        <v>3063.1399418873043</v>
      </c>
      <c r="X48" s="18">
        <f t="shared" si="29"/>
        <v>3063.1399418873043</v>
      </c>
      <c r="Y48" s="18">
        <f t="shared" si="29"/>
        <v>3063.1399418873043</v>
      </c>
      <c r="Z48" s="18">
        <f t="shared" ref="Z48:AH48" si="30">SUM(Z45:Z47)</f>
        <v>3063.1399418873043</v>
      </c>
      <c r="AA48" s="18">
        <f t="shared" si="30"/>
        <v>3063.1399418873043</v>
      </c>
      <c r="AB48" s="18">
        <f t="shared" si="30"/>
        <v>3063.1399418873043</v>
      </c>
      <c r="AC48" s="18">
        <f t="shared" si="30"/>
        <v>3063.1399418873043</v>
      </c>
      <c r="AD48" s="18">
        <f t="shared" si="30"/>
        <v>3063.1399418873043</v>
      </c>
      <c r="AE48" s="18">
        <f t="shared" si="30"/>
        <v>3063.1399418873043</v>
      </c>
      <c r="AF48" s="18">
        <f t="shared" si="30"/>
        <v>3063.1399418873043</v>
      </c>
      <c r="AG48" s="18">
        <f t="shared" si="30"/>
        <v>3063.1399418873043</v>
      </c>
      <c r="AH48" s="18">
        <f t="shared" si="30"/>
        <v>1276.30830911971</v>
      </c>
      <c r="AI48" s="20"/>
      <c r="AJ48" s="20"/>
      <c r="AK48" s="20"/>
      <c r="AL48" s="20"/>
    </row>
    <row r="49" spans="1:38">
      <c r="A49" s="22"/>
      <c r="B49" s="18"/>
      <c r="C49" s="38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11" t="s">
        <v>68</v>
      </c>
      <c r="B50" s="386">
        <f>B48</f>
        <v>106892.66472957682</v>
      </c>
      <c r="C50" s="385"/>
      <c r="D50" s="310">
        <f>B48-D48</f>
        <v>104547.23309680923</v>
      </c>
      <c r="E50" s="310">
        <f>D50-E48</f>
        <v>100526.49315492192</v>
      </c>
      <c r="F50" s="310">
        <f t="shared" ref="F50:Y50" si="31">E50-F48</f>
        <v>96505.753213034608</v>
      </c>
      <c r="G50" s="310">
        <f t="shared" si="31"/>
        <v>92485.013271147298</v>
      </c>
      <c r="H50" s="310">
        <f t="shared" si="31"/>
        <v>88464.273329259988</v>
      </c>
      <c r="I50" s="310">
        <f t="shared" si="31"/>
        <v>85002.133387372684</v>
      </c>
      <c r="J50" s="310">
        <f t="shared" si="31"/>
        <v>81938.993445485379</v>
      </c>
      <c r="K50" s="310">
        <f t="shared" si="31"/>
        <v>78875.853503598075</v>
      </c>
      <c r="L50" s="310">
        <f t="shared" si="31"/>
        <v>75812.713561710771</v>
      </c>
      <c r="M50" s="310">
        <f t="shared" si="31"/>
        <v>72749.573619823466</v>
      </c>
      <c r="N50" s="310">
        <f t="shared" si="31"/>
        <v>69686.433677936162</v>
      </c>
      <c r="O50" s="310">
        <f t="shared" si="31"/>
        <v>66623.293736048858</v>
      </c>
      <c r="P50" s="310">
        <f t="shared" si="31"/>
        <v>63560.153794161553</v>
      </c>
      <c r="Q50" s="310">
        <f t="shared" si="31"/>
        <v>60497.013852274249</v>
      </c>
      <c r="R50" s="310">
        <f t="shared" si="31"/>
        <v>57433.873910386945</v>
      </c>
      <c r="S50" s="310">
        <f t="shared" si="31"/>
        <v>54370.73396849964</v>
      </c>
      <c r="T50" s="310">
        <f t="shared" si="31"/>
        <v>51307.594026612336</v>
      </c>
      <c r="U50" s="310">
        <f t="shared" si="31"/>
        <v>48244.454084725032</v>
      </c>
      <c r="V50" s="310">
        <f t="shared" si="31"/>
        <v>45181.314142837728</v>
      </c>
      <c r="W50" s="310">
        <f t="shared" si="31"/>
        <v>42118.174200950423</v>
      </c>
      <c r="X50" s="310">
        <f t="shared" si="31"/>
        <v>39055.034259063119</v>
      </c>
      <c r="Y50" s="310">
        <f t="shared" si="31"/>
        <v>35991.894317175815</v>
      </c>
      <c r="Z50" s="310">
        <f t="shared" ref="Z50:AH50" si="32">Y50-Z48</f>
        <v>32928.75437528851</v>
      </c>
      <c r="AA50" s="310">
        <f t="shared" si="32"/>
        <v>29865.614433401206</v>
      </c>
      <c r="AB50" s="310">
        <f t="shared" si="32"/>
        <v>26802.474491513902</v>
      </c>
      <c r="AC50" s="310">
        <f t="shared" si="32"/>
        <v>23739.334549626597</v>
      </c>
      <c r="AD50" s="310">
        <f t="shared" si="32"/>
        <v>20676.194607739293</v>
      </c>
      <c r="AE50" s="310">
        <f t="shared" si="32"/>
        <v>17613.054665851989</v>
      </c>
      <c r="AF50" s="310">
        <f t="shared" si="32"/>
        <v>14549.914723964685</v>
      </c>
      <c r="AG50" s="310">
        <f t="shared" si="32"/>
        <v>11486.77478207738</v>
      </c>
      <c r="AH50" s="310">
        <f t="shared" si="32"/>
        <v>10210.466472957671</v>
      </c>
      <c r="AI50" s="243"/>
      <c r="AJ50" s="243"/>
      <c r="AK50" s="243"/>
      <c r="AL50" s="243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Calpine</v>
      </c>
    </row>
    <row r="4" spans="1:32" ht="18.75">
      <c r="A4" s="61" t="s">
        <v>96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8">
        <f>'Price_Technical Assumption'!D7</f>
        <v>0.58333333333333337</v>
      </c>
      <c r="C6" s="218">
        <f>'Price_Technical Assumption'!E7</f>
        <v>1.5833333333333335</v>
      </c>
      <c r="D6" s="218">
        <f>'Price_Technical Assumption'!F7</f>
        <v>2.5833333333333335</v>
      </c>
      <c r="E6" s="218">
        <f>'Price_Technical Assumption'!G7</f>
        <v>3.5833333333333335</v>
      </c>
      <c r="F6" s="218">
        <f>'Price_Technical Assumption'!H7</f>
        <v>4.5833333333333339</v>
      </c>
      <c r="G6" s="218">
        <f>'Price_Technical Assumption'!I7</f>
        <v>5.5833333333333339</v>
      </c>
      <c r="H6" s="218">
        <f>'Price_Technical Assumption'!J7</f>
        <v>6.5833333333333339</v>
      </c>
      <c r="I6" s="218">
        <f>'Price_Technical Assumption'!K7</f>
        <v>7.5833333333333339</v>
      </c>
      <c r="J6" s="218">
        <f>'Price_Technical Assumption'!L7</f>
        <v>8.5833333333333339</v>
      </c>
      <c r="K6" s="218">
        <f>'Price_Technical Assumption'!M7</f>
        <v>9.5833333333333339</v>
      </c>
      <c r="L6" s="218">
        <f>'Price_Technical Assumption'!N7</f>
        <v>10.583333333333334</v>
      </c>
      <c r="M6" s="218">
        <f>'Price_Technical Assumption'!O7</f>
        <v>11.583333333333334</v>
      </c>
      <c r="N6" s="218">
        <f>'Price_Technical Assumption'!P7</f>
        <v>12.583333333333334</v>
      </c>
      <c r="O6" s="218">
        <f>'Price_Technical Assumption'!Q7</f>
        <v>13.583333333333334</v>
      </c>
      <c r="P6" s="218">
        <f>'Price_Technical Assumption'!R7</f>
        <v>14.583333333333334</v>
      </c>
      <c r="Q6" s="218">
        <f>'Price_Technical Assumption'!S7</f>
        <v>15.583333333333334</v>
      </c>
      <c r="R6" s="218">
        <f>'Price_Technical Assumption'!T7</f>
        <v>16.583333333333336</v>
      </c>
      <c r="S6" s="218">
        <f>'Price_Technical Assumption'!U7</f>
        <v>17.583333333333336</v>
      </c>
      <c r="T6" s="218">
        <f>'Price_Technical Assumption'!V7</f>
        <v>18.583333333333336</v>
      </c>
      <c r="U6" s="218">
        <f>'Price_Technical Assumption'!W7</f>
        <v>19.583333333333336</v>
      </c>
      <c r="V6" s="218">
        <f>'Price_Technical Assumption'!X7</f>
        <v>20.583333333333336</v>
      </c>
      <c r="W6" s="218">
        <f>'Price_Technical Assumption'!Y7</f>
        <v>21.583333333333336</v>
      </c>
      <c r="X6" s="218">
        <f>'Price_Technical Assumption'!Z7</f>
        <v>22.583333333333336</v>
      </c>
      <c r="Y6" s="218">
        <f>'Price_Technical Assumption'!AA7</f>
        <v>23.583333333333336</v>
      </c>
      <c r="Z6" s="218">
        <f>'Price_Technical Assumption'!AB7</f>
        <v>24.583333333333336</v>
      </c>
      <c r="AA6" s="218">
        <f>'Price_Technical Assumption'!AC7</f>
        <v>25.583333333333336</v>
      </c>
      <c r="AB6" s="218">
        <f>'Price_Technical Assumption'!AD7</f>
        <v>26.583333333333336</v>
      </c>
      <c r="AC6" s="218">
        <f>'Price_Technical Assumption'!AE7</f>
        <v>27.583333333333336</v>
      </c>
      <c r="AD6" s="218">
        <f>'Price_Technical Assumption'!AF7</f>
        <v>28.583333333333336</v>
      </c>
      <c r="AE6" s="218">
        <f>'Price_Technical Assumption'!AG7</f>
        <v>29.583333333333336</v>
      </c>
      <c r="AF6" s="218">
        <f>'Price_Technical Assumption'!AH7</f>
        <v>30.583333333333336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9">
        <f>Depreciation!D8</f>
        <v>37256</v>
      </c>
      <c r="C8" s="209">
        <f>Depreciation!E8</f>
        <v>37621</v>
      </c>
      <c r="D8" s="209">
        <f>Depreciation!F8</f>
        <v>37986</v>
      </c>
      <c r="E8" s="209">
        <f>Depreciation!G8</f>
        <v>38352</v>
      </c>
      <c r="F8" s="209">
        <f>Depreciation!H8</f>
        <v>38717</v>
      </c>
      <c r="G8" s="209">
        <f>Depreciation!I8</f>
        <v>39082</v>
      </c>
      <c r="H8" s="209">
        <f>Depreciation!J8</f>
        <v>39447</v>
      </c>
      <c r="I8" s="209">
        <f>Depreciation!K8</f>
        <v>39813</v>
      </c>
      <c r="J8" s="209">
        <f>Depreciation!L8</f>
        <v>40178</v>
      </c>
      <c r="K8" s="209">
        <f>Depreciation!M8</f>
        <v>40543</v>
      </c>
      <c r="L8" s="209">
        <f>Depreciation!N8</f>
        <v>40908</v>
      </c>
      <c r="M8" s="209">
        <f>Depreciation!O8</f>
        <v>41274</v>
      </c>
      <c r="N8" s="209">
        <f>Depreciation!P8</f>
        <v>41639</v>
      </c>
      <c r="O8" s="209">
        <f>Depreciation!Q8</f>
        <v>42004</v>
      </c>
      <c r="P8" s="209">
        <f>Depreciation!R8</f>
        <v>42369</v>
      </c>
      <c r="Q8" s="209">
        <f>Depreciation!S8</f>
        <v>42735</v>
      </c>
      <c r="R8" s="209">
        <f>Depreciation!T8</f>
        <v>43100</v>
      </c>
      <c r="S8" s="209">
        <f>Depreciation!U8</f>
        <v>43465</v>
      </c>
      <c r="T8" s="209">
        <f>Depreciation!V8</f>
        <v>43830</v>
      </c>
      <c r="U8" s="209">
        <f>Depreciation!W8</f>
        <v>44196</v>
      </c>
      <c r="V8" s="209">
        <f>Depreciation!X8</f>
        <v>44561</v>
      </c>
      <c r="W8" s="209">
        <f>Depreciation!Y8</f>
        <v>44926</v>
      </c>
      <c r="X8" s="209">
        <f>Depreciation!Z8</f>
        <v>45291</v>
      </c>
      <c r="Y8" s="209">
        <f>Depreciation!AA8</f>
        <v>45657</v>
      </c>
      <c r="Z8" s="209">
        <f>Depreciation!AB8</f>
        <v>46022</v>
      </c>
      <c r="AA8" s="209">
        <f>Depreciation!AC8</f>
        <v>46387</v>
      </c>
      <c r="AB8" s="209">
        <f>Depreciation!AD8</f>
        <v>46752</v>
      </c>
      <c r="AC8" s="209">
        <f>Depreciation!AE8</f>
        <v>47118</v>
      </c>
      <c r="AD8" s="209">
        <f>Depreciation!AF8</f>
        <v>47483</v>
      </c>
      <c r="AE8" s="209">
        <f>Depreciation!AG8</f>
        <v>47848</v>
      </c>
      <c r="AF8" s="209">
        <f>Depreciation!AH8</f>
        <v>48213</v>
      </c>
    </row>
    <row r="9" spans="1:32">
      <c r="A9" s="129" t="s">
        <v>69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216</v>
      </c>
      <c r="B10" s="19">
        <f>IS!C40</f>
        <v>-535.3026496692878</v>
      </c>
      <c r="C10" s="19">
        <f>IS!D40</f>
        <v>-901.4626919742268</v>
      </c>
      <c r="D10" s="19">
        <f>IS!E40</f>
        <v>-858.36522170331227</v>
      </c>
      <c r="E10" s="19">
        <f>IS!F40</f>
        <v>511.4110717993899</v>
      </c>
      <c r="F10" s="19">
        <f>IS!G40</f>
        <v>1535.6916983059091</v>
      </c>
      <c r="G10" s="19">
        <f>IS!H40</f>
        <v>2463.9682569693214</v>
      </c>
      <c r="H10" s="19">
        <f>IS!I40</f>
        <v>3265.2331330987599</v>
      </c>
      <c r="I10" s="19">
        <f>IS!J40</f>
        <v>3695.8170679741861</v>
      </c>
      <c r="J10" s="19">
        <f>IS!K40</f>
        <v>4413.4071165892838</v>
      </c>
      <c r="K10" s="19">
        <f>IS!L40</f>
        <v>4932.296745364516</v>
      </c>
      <c r="L10" s="19">
        <f>IS!M40</f>
        <v>5761.422397872384</v>
      </c>
      <c r="M10" s="19">
        <f>IS!N40</f>
        <v>6385.9318811478479</v>
      </c>
      <c r="N10" s="19">
        <f>IS!O40</f>
        <v>7347.6155930340046</v>
      </c>
      <c r="O10" s="19">
        <f>IS!P40</f>
        <v>8098.8131395651726</v>
      </c>
      <c r="P10" s="19">
        <f>IS!Q40</f>
        <v>8910.1904348467015</v>
      </c>
      <c r="Q10" s="19">
        <f>IS!R40</f>
        <v>9783.2067423918761</v>
      </c>
      <c r="R10" s="19">
        <f>IS!S40</f>
        <v>10661.746042027111</v>
      </c>
      <c r="S10" s="19">
        <f>IS!T40</f>
        <v>10895.654166937309</v>
      </c>
      <c r="T10" s="19">
        <f>IS!U40</f>
        <v>10981.2518401174</v>
      </c>
      <c r="U10" s="19">
        <f>IS!V40</f>
        <v>11059.422458990346</v>
      </c>
      <c r="V10" s="19">
        <f>IS!W40</f>
        <v>1645.2415376262979</v>
      </c>
      <c r="W10" s="19">
        <f>IS!X40</f>
        <v>-5205.3164952671341</v>
      </c>
      <c r="X10" s="19">
        <f>IS!Y40</f>
        <v>-5356.5687399814215</v>
      </c>
      <c r="Y10" s="19">
        <f>IS!Z40</f>
        <v>-5578.4399091975929</v>
      </c>
      <c r="Z10" s="19">
        <f>IS!AA40</f>
        <v>-5820.629057614784</v>
      </c>
      <c r="AA10" s="19">
        <f>IS!AB40</f>
        <v>-6084.2802346414201</v>
      </c>
      <c r="AB10" s="19">
        <f>IS!AC40</f>
        <v>-6371.605223273973</v>
      </c>
      <c r="AC10" s="19">
        <f>IS!AD40</f>
        <v>-6684.4365148935531</v>
      </c>
      <c r="AD10" s="19">
        <f>IS!AE40</f>
        <v>-7025.6496482712182</v>
      </c>
      <c r="AE10" s="19">
        <f>IS!AF40</f>
        <v>-7396.9395776789834</v>
      </c>
      <c r="AF10" s="19">
        <f>IS!AG40</f>
        <v>-6072.8602243879122</v>
      </c>
    </row>
    <row r="11" spans="1:32">
      <c r="A11" s="21" t="s">
        <v>70</v>
      </c>
      <c r="B11" s="19">
        <f>IS!C34</f>
        <v>2345.4316327675947</v>
      </c>
      <c r="C11" s="19">
        <f>IS!D34</f>
        <v>4020.7399418873047</v>
      </c>
      <c r="D11" s="19">
        <f>IS!E34</f>
        <v>4020.7399418873047</v>
      </c>
      <c r="E11" s="19">
        <f>IS!F34</f>
        <v>4020.7399418873047</v>
      </c>
      <c r="F11" s="19">
        <f>IS!G34</f>
        <v>4020.7399418873047</v>
      </c>
      <c r="G11" s="19">
        <f>IS!H34</f>
        <v>3462.1399418873043</v>
      </c>
      <c r="H11" s="19">
        <f>IS!I34</f>
        <v>3063.1399418873043</v>
      </c>
      <c r="I11" s="19">
        <f>IS!J34</f>
        <v>3063.1399418873043</v>
      </c>
      <c r="J11" s="19">
        <f>IS!K34</f>
        <v>3063.1399418873043</v>
      </c>
      <c r="K11" s="19">
        <f>IS!L34</f>
        <v>3063.1399418873043</v>
      </c>
      <c r="L11" s="19">
        <f>IS!M34</f>
        <v>3063.1399418873043</v>
      </c>
      <c r="M11" s="19">
        <f>IS!N34</f>
        <v>3063.1399418873043</v>
      </c>
      <c r="N11" s="19">
        <f>IS!O34</f>
        <v>3063.1399418873043</v>
      </c>
      <c r="O11" s="19">
        <f>IS!P34</f>
        <v>3063.1399418873043</v>
      </c>
      <c r="P11" s="19">
        <f>IS!Q34</f>
        <v>3063.1399418873043</v>
      </c>
      <c r="Q11" s="19">
        <f>IS!R34</f>
        <v>3063.1399418873043</v>
      </c>
      <c r="R11" s="19">
        <f>IS!S34</f>
        <v>3063.1399418873043</v>
      </c>
      <c r="S11" s="19">
        <f>IS!T34</f>
        <v>3063.1399418873043</v>
      </c>
      <c r="T11" s="19">
        <f>IS!U34</f>
        <v>3063.1399418873043</v>
      </c>
      <c r="U11" s="19">
        <f>IS!V34</f>
        <v>3063.1399418873043</v>
      </c>
      <c r="V11" s="19">
        <f>IS!W34</f>
        <v>3063.1399418873043</v>
      </c>
      <c r="W11" s="19">
        <f>IS!X34</f>
        <v>3063.1399418873043</v>
      </c>
      <c r="X11" s="19">
        <f>IS!Y34</f>
        <v>3063.1399418873043</v>
      </c>
      <c r="Y11" s="19">
        <f>IS!Z34</f>
        <v>3063.1399418873043</v>
      </c>
      <c r="Z11" s="19">
        <f>IS!AA34</f>
        <v>3063.1399418873043</v>
      </c>
      <c r="AA11" s="19">
        <f>IS!AB34</f>
        <v>3063.1399418873043</v>
      </c>
      <c r="AB11" s="19">
        <f>IS!AC34</f>
        <v>3063.1399418873043</v>
      </c>
      <c r="AC11" s="19">
        <f>IS!AD34</f>
        <v>3063.1399418873043</v>
      </c>
      <c r="AD11" s="19">
        <f>IS!AE34</f>
        <v>3063.1399418873043</v>
      </c>
      <c r="AE11" s="19">
        <f>IS!AF34</f>
        <v>3063.1399418873043</v>
      </c>
      <c r="AF11" s="19">
        <f>IS!AG34</f>
        <v>1276.30830911971</v>
      </c>
    </row>
    <row r="12" spans="1:32" ht="15">
      <c r="A12" s="21" t="s">
        <v>71</v>
      </c>
      <c r="B12" s="131">
        <f>-Depreciation!D34</f>
        <v>-5663.8332364788421</v>
      </c>
      <c r="C12" s="131">
        <f>-Depreciation!E34</f>
        <v>-10657.543149309799</v>
      </c>
      <c r="D12" s="131">
        <f>-Depreciation!F34</f>
        <v>-9687.5488343788184</v>
      </c>
      <c r="E12" s="131">
        <f>-Depreciation!G34</f>
        <v>-8819.6591841774152</v>
      </c>
      <c r="F12" s="131">
        <f>-Depreciation!H34</f>
        <v>-8033.4532657596737</v>
      </c>
      <c r="G12" s="131">
        <f>-Depreciation!I34</f>
        <v>-6760.1206126526358</v>
      </c>
      <c r="H12" s="131">
        <f>-Depreciation!J34</f>
        <v>-6024.1752190450325</v>
      </c>
      <c r="I12" s="131">
        <f>-Depreciation!K34</f>
        <v>-6034.3856855179902</v>
      </c>
      <c r="J12" s="131">
        <f>-Depreciation!L34</f>
        <v>-6024.1752190450325</v>
      </c>
      <c r="K12" s="131">
        <f>-Depreciation!M34</f>
        <v>-6034.3856855179902</v>
      </c>
      <c r="L12" s="131">
        <f>-Depreciation!N34</f>
        <v>-6024.1752190450325</v>
      </c>
      <c r="M12" s="131">
        <f>-Depreciation!O34</f>
        <v>-6034.3856855179902</v>
      </c>
      <c r="N12" s="131">
        <f>-Depreciation!P34</f>
        <v>-6024.1752190450325</v>
      </c>
      <c r="O12" s="131">
        <f>-Depreciation!Q34</f>
        <v>-6034.3856855179902</v>
      </c>
      <c r="P12" s="131">
        <f>-Depreciation!R34</f>
        <v>-6024.1752190450325</v>
      </c>
      <c r="Q12" s="131">
        <f>-Depreciation!S34</f>
        <v>-3012.0876095225162</v>
      </c>
      <c r="R12" s="131">
        <f>-Depreciation!T34</f>
        <v>0</v>
      </c>
      <c r="S12" s="131">
        <f>-Depreciation!U34</f>
        <v>0</v>
      </c>
      <c r="T12" s="131">
        <f>-Depreciation!V34</f>
        <v>0</v>
      </c>
      <c r="U12" s="131">
        <f>-Depreciation!W34</f>
        <v>0</v>
      </c>
      <c r="V12" s="131">
        <f>-Depreciation!X34</f>
        <v>0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72</v>
      </c>
      <c r="B13" s="23">
        <f>SUM(B10:B12)</f>
        <v>-3853.7042533805352</v>
      </c>
      <c r="C13" s="23">
        <f t="shared" ref="C13:W13" si="0">SUM(C10:C12)</f>
        <v>-7538.2658993967207</v>
      </c>
      <c r="D13" s="23">
        <f t="shared" si="0"/>
        <v>-6525.174114194826</v>
      </c>
      <c r="E13" s="23">
        <f t="shared" si="0"/>
        <v>-4287.5081704907207</v>
      </c>
      <c r="F13" s="23">
        <f t="shared" si="0"/>
        <v>-2477.02162556646</v>
      </c>
      <c r="G13" s="23">
        <f t="shared" si="0"/>
        <v>-834.01241379601015</v>
      </c>
      <c r="H13" s="23">
        <f t="shared" si="0"/>
        <v>304.19785594103178</v>
      </c>
      <c r="I13" s="23">
        <f t="shared" si="0"/>
        <v>724.57132434350024</v>
      </c>
      <c r="J13" s="23">
        <f t="shared" si="0"/>
        <v>1452.3718394315556</v>
      </c>
      <c r="K13" s="23">
        <f t="shared" si="0"/>
        <v>1961.0510017338302</v>
      </c>
      <c r="L13" s="23">
        <f t="shared" si="0"/>
        <v>2800.3871207146558</v>
      </c>
      <c r="M13" s="23">
        <f t="shared" si="0"/>
        <v>3414.686137517162</v>
      </c>
      <c r="N13" s="23">
        <f t="shared" si="0"/>
        <v>4386.5803158762765</v>
      </c>
      <c r="O13" s="23">
        <f t="shared" si="0"/>
        <v>5127.5673959344867</v>
      </c>
      <c r="P13" s="23">
        <f t="shared" si="0"/>
        <v>5949.1551576889733</v>
      </c>
      <c r="Q13" s="23">
        <f t="shared" si="0"/>
        <v>9834.2590747566646</v>
      </c>
      <c r="R13" s="23">
        <f t="shared" si="0"/>
        <v>13724.885983914415</v>
      </c>
      <c r="S13" s="23">
        <f t="shared" si="0"/>
        <v>13958.794108824613</v>
      </c>
      <c r="T13" s="23">
        <f t="shared" si="0"/>
        <v>14044.391782004705</v>
      </c>
      <c r="U13" s="23">
        <f t="shared" si="0"/>
        <v>14122.56240087765</v>
      </c>
      <c r="V13" s="23">
        <f t="shared" si="0"/>
        <v>4708.3814795136022</v>
      </c>
      <c r="W13" s="23">
        <f t="shared" si="0"/>
        <v>-2142.1765533798298</v>
      </c>
      <c r="X13" s="23">
        <f t="shared" ref="X13:AF13" si="1">SUM(X10:X12)</f>
        <v>-2293.4287980941172</v>
      </c>
      <c r="Y13" s="23">
        <f t="shared" si="1"/>
        <v>-2515.2999673102886</v>
      </c>
      <c r="Z13" s="23">
        <f t="shared" si="1"/>
        <v>-2757.4891157274797</v>
      </c>
      <c r="AA13" s="23">
        <f t="shared" si="1"/>
        <v>-3021.1402927541158</v>
      </c>
      <c r="AB13" s="23">
        <f t="shared" si="1"/>
        <v>-3308.4652813866687</v>
      </c>
      <c r="AC13" s="23">
        <f t="shared" si="1"/>
        <v>-3621.2965730062488</v>
      </c>
      <c r="AD13" s="23">
        <f t="shared" si="1"/>
        <v>-3962.5097063839139</v>
      </c>
      <c r="AE13" s="23">
        <f t="shared" si="1"/>
        <v>-4333.7996357916791</v>
      </c>
      <c r="AF13" s="23">
        <f t="shared" si="1"/>
        <v>-4796.5519152682027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98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73</v>
      </c>
      <c r="B16" s="19">
        <f t="shared" ref="B16:AF16" si="2">B13*B15</f>
        <v>-269.75929773663751</v>
      </c>
      <c r="C16" s="19">
        <f t="shared" si="2"/>
        <v>-527.6786129577705</v>
      </c>
      <c r="D16" s="19">
        <f t="shared" si="2"/>
        <v>-456.76218799363784</v>
      </c>
      <c r="E16" s="19">
        <f t="shared" si="2"/>
        <v>-300.12557193435049</v>
      </c>
      <c r="F16" s="19">
        <f t="shared" si="2"/>
        <v>-173.39151378965221</v>
      </c>
      <c r="G16" s="19">
        <f t="shared" si="2"/>
        <v>-58.380868965720715</v>
      </c>
      <c r="H16" s="19">
        <f t="shared" si="2"/>
        <v>21.293849915872226</v>
      </c>
      <c r="I16" s="19">
        <f t="shared" si="2"/>
        <v>50.719992704045019</v>
      </c>
      <c r="J16" s="19">
        <f t="shared" si="2"/>
        <v>101.6660287602089</v>
      </c>
      <c r="K16" s="19">
        <f t="shared" si="2"/>
        <v>137.27357012136812</v>
      </c>
      <c r="L16" s="19">
        <f t="shared" si="2"/>
        <v>196.02709845002593</v>
      </c>
      <c r="M16" s="19">
        <f t="shared" si="2"/>
        <v>239.02802962620137</v>
      </c>
      <c r="N16" s="19">
        <f t="shared" si="2"/>
        <v>307.0606221113394</v>
      </c>
      <c r="O16" s="19">
        <f t="shared" si="2"/>
        <v>358.92971771541409</v>
      </c>
      <c r="P16" s="19">
        <f t="shared" si="2"/>
        <v>416.44086103822815</v>
      </c>
      <c r="Q16" s="19">
        <f t="shared" si="2"/>
        <v>688.39813523296664</v>
      </c>
      <c r="R16" s="19">
        <f t="shared" si="2"/>
        <v>960.7420188740092</v>
      </c>
      <c r="S16" s="19">
        <f t="shared" si="2"/>
        <v>977.11558761772301</v>
      </c>
      <c r="T16" s="19">
        <f t="shared" si="2"/>
        <v>983.10742474032941</v>
      </c>
      <c r="U16" s="19">
        <f t="shared" si="2"/>
        <v>988.57936806143562</v>
      </c>
      <c r="V16" s="19">
        <f t="shared" si="2"/>
        <v>329.58670356595218</v>
      </c>
      <c r="W16" s="19">
        <f t="shared" si="2"/>
        <v>-149.95235873658811</v>
      </c>
      <c r="X16" s="19">
        <f t="shared" si="2"/>
        <v>-160.54001586658822</v>
      </c>
      <c r="Y16" s="19">
        <f t="shared" si="2"/>
        <v>-176.07099771172022</v>
      </c>
      <c r="Z16" s="19">
        <f t="shared" si="2"/>
        <v>-193.02423810092358</v>
      </c>
      <c r="AA16" s="19">
        <f t="shared" si="2"/>
        <v>-211.47982049278812</v>
      </c>
      <c r="AB16" s="19">
        <f t="shared" si="2"/>
        <v>-231.59256969706684</v>
      </c>
      <c r="AC16" s="19">
        <f t="shared" si="2"/>
        <v>-253.49076011043744</v>
      </c>
      <c r="AD16" s="19">
        <f t="shared" si="2"/>
        <v>-277.37567944687402</v>
      </c>
      <c r="AE16" s="19">
        <f t="shared" si="2"/>
        <v>-303.36597450541757</v>
      </c>
      <c r="AF16" s="19">
        <f t="shared" si="2"/>
        <v>-335.7586340687742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74</v>
      </c>
      <c r="B18" s="19">
        <v>0</v>
      </c>
      <c r="C18" s="19">
        <f>B22</f>
        <v>269.75929773663751</v>
      </c>
      <c r="D18" s="19">
        <f t="shared" ref="D18:W18" si="3">C22</f>
        <v>797.43791069440795</v>
      </c>
      <c r="E18" s="19">
        <f t="shared" si="3"/>
        <v>1254.2000986880457</v>
      </c>
      <c r="F18" s="19">
        <f t="shared" si="3"/>
        <v>1554.3256706223963</v>
      </c>
      <c r="G18" s="19">
        <f t="shared" si="3"/>
        <v>1727.7171844120485</v>
      </c>
      <c r="H18" s="19">
        <f t="shared" si="3"/>
        <v>1786.0980533777692</v>
      </c>
      <c r="I18" s="19">
        <f t="shared" si="3"/>
        <v>1764.804203461897</v>
      </c>
      <c r="J18" s="19">
        <f t="shared" si="3"/>
        <v>1714.0842107578519</v>
      </c>
      <c r="K18" s="19">
        <f t="shared" si="3"/>
        <v>1414.6727268809227</v>
      </c>
      <c r="L18" s="19">
        <f t="shared" si="3"/>
        <v>1121.1458702986306</v>
      </c>
      <c r="M18" s="19">
        <f t="shared" si="3"/>
        <v>925.11877184860464</v>
      </c>
      <c r="N18" s="19">
        <f t="shared" si="3"/>
        <v>686.09074222240326</v>
      </c>
      <c r="O18" s="19">
        <f t="shared" si="3"/>
        <v>379.03012011106387</v>
      </c>
      <c r="P18" s="19">
        <f>O22</f>
        <v>20.10040239564978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149.95235873658811</v>
      </c>
      <c r="Y18" s="19">
        <f t="shared" si="4"/>
        <v>310.49237460317636</v>
      </c>
      <c r="Z18" s="19">
        <f t="shared" si="4"/>
        <v>486.56337231489658</v>
      </c>
      <c r="AA18" s="19">
        <f t="shared" si="4"/>
        <v>679.58761041582011</v>
      </c>
      <c r="AB18" s="19">
        <f t="shared" si="4"/>
        <v>891.06743090860823</v>
      </c>
      <c r="AC18" s="19">
        <f t="shared" si="4"/>
        <v>1122.6600006056751</v>
      </c>
      <c r="AD18" s="19">
        <f t="shared" si="4"/>
        <v>1376.1507607161125</v>
      </c>
      <c r="AE18" s="19">
        <f t="shared" si="4"/>
        <v>1653.5264401629865</v>
      </c>
      <c r="AF18" s="19">
        <f t="shared" si="4"/>
        <v>1806.940055931816</v>
      </c>
    </row>
    <row r="19" spans="1:32">
      <c r="A19" s="21" t="s">
        <v>75</v>
      </c>
      <c r="B19" s="140">
        <f>IF(B16&lt;0,-B16,0)</f>
        <v>269.75929773663751</v>
      </c>
      <c r="C19" s="140">
        <f t="shared" ref="C19:W19" si="5">IF(C16&lt;0,-C16,0)</f>
        <v>527.6786129577705</v>
      </c>
      <c r="D19" s="140">
        <f t="shared" si="5"/>
        <v>456.76218799363784</v>
      </c>
      <c r="E19" s="140">
        <f t="shared" si="5"/>
        <v>300.12557193435049</v>
      </c>
      <c r="F19" s="140">
        <f t="shared" si="5"/>
        <v>173.39151378965221</v>
      </c>
      <c r="G19" s="140">
        <f t="shared" si="5"/>
        <v>58.380868965720715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0</v>
      </c>
      <c r="M19" s="140">
        <f t="shared" si="5"/>
        <v>0</v>
      </c>
      <c r="N19" s="140">
        <f t="shared" si="5"/>
        <v>0</v>
      </c>
      <c r="O19" s="140">
        <f t="shared" si="5"/>
        <v>0</v>
      </c>
      <c r="P19" s="140">
        <f t="shared" si="5"/>
        <v>0</v>
      </c>
      <c r="Q19" s="140">
        <f t="shared" si="5"/>
        <v>0</v>
      </c>
      <c r="R19" s="140">
        <f t="shared" si="5"/>
        <v>0</v>
      </c>
      <c r="S19" s="140">
        <f t="shared" si="5"/>
        <v>0</v>
      </c>
      <c r="T19" s="140">
        <f t="shared" si="5"/>
        <v>0</v>
      </c>
      <c r="U19" s="140">
        <f t="shared" si="5"/>
        <v>0</v>
      </c>
      <c r="V19" s="140">
        <f t="shared" si="5"/>
        <v>0</v>
      </c>
      <c r="W19" s="140">
        <f t="shared" si="5"/>
        <v>149.95235873658811</v>
      </c>
      <c r="X19" s="140">
        <f t="shared" ref="X19:AF19" si="6">IF(X16&lt;0,-X16,0)</f>
        <v>160.54001586658822</v>
      </c>
      <c r="Y19" s="140">
        <f t="shared" si="6"/>
        <v>176.07099771172022</v>
      </c>
      <c r="Z19" s="140">
        <f t="shared" si="6"/>
        <v>193.02423810092358</v>
      </c>
      <c r="AA19" s="140">
        <f t="shared" si="6"/>
        <v>211.47982049278812</v>
      </c>
      <c r="AB19" s="140">
        <f t="shared" si="6"/>
        <v>231.59256969706684</v>
      </c>
      <c r="AC19" s="140">
        <f t="shared" si="6"/>
        <v>253.49076011043744</v>
      </c>
      <c r="AD19" s="140">
        <f t="shared" si="6"/>
        <v>277.37567944687402</v>
      </c>
      <c r="AE19" s="140">
        <f t="shared" si="6"/>
        <v>303.36597450541757</v>
      </c>
      <c r="AF19" s="140">
        <f t="shared" si="6"/>
        <v>335.7586340687742</v>
      </c>
    </row>
    <row r="20" spans="1:32">
      <c r="A20" s="13" t="s">
        <v>295</v>
      </c>
      <c r="B20" s="473">
        <v>0</v>
      </c>
      <c r="C20" s="474">
        <v>0</v>
      </c>
      <c r="D20" s="474">
        <v>0</v>
      </c>
      <c r="E20" s="474">
        <v>0</v>
      </c>
      <c r="F20" s="474">
        <v>0</v>
      </c>
      <c r="G20" s="474">
        <v>0</v>
      </c>
      <c r="H20" s="474">
        <v>0</v>
      </c>
      <c r="I20" s="475">
        <v>0</v>
      </c>
      <c r="J20" s="476">
        <f>IF(-SUM(B21:I21, B20:I20)&gt;B19,0,-B19-SUM(B21:I21,B20:I20))</f>
        <v>-197.74545511672028</v>
      </c>
      <c r="K20" s="476">
        <f t="shared" ref="K20:AF20" si="7">IF(-SUM(C21:J21, C20:J20)&gt;C19,0,-C19-SUM(C21:J21,C20:J20))</f>
        <v>-156.25328646092407</v>
      </c>
      <c r="L20" s="476">
        <f t="shared" si="7"/>
        <v>0</v>
      </c>
      <c r="M20" s="476">
        <f t="shared" si="7"/>
        <v>0</v>
      </c>
      <c r="N20" s="476">
        <f t="shared" si="7"/>
        <v>0</v>
      </c>
      <c r="O20" s="476">
        <f t="shared" si="7"/>
        <v>0</v>
      </c>
      <c r="P20" s="476">
        <f t="shared" si="7"/>
        <v>0</v>
      </c>
      <c r="Q20" s="476">
        <f t="shared" si="7"/>
        <v>0</v>
      </c>
      <c r="R20" s="476">
        <f t="shared" si="7"/>
        <v>0</v>
      </c>
      <c r="S20" s="476">
        <f t="shared" si="7"/>
        <v>0</v>
      </c>
      <c r="T20" s="476">
        <f t="shared" si="7"/>
        <v>0</v>
      </c>
      <c r="U20" s="476">
        <f t="shared" si="7"/>
        <v>0</v>
      </c>
      <c r="V20" s="476">
        <f t="shared" si="7"/>
        <v>0</v>
      </c>
      <c r="W20" s="476">
        <f t="shared" si="7"/>
        <v>0</v>
      </c>
      <c r="X20" s="476">
        <f t="shared" si="7"/>
        <v>0</v>
      </c>
      <c r="Y20" s="476">
        <f t="shared" si="7"/>
        <v>0</v>
      </c>
      <c r="Z20" s="476">
        <f t="shared" si="7"/>
        <v>0</v>
      </c>
      <c r="AA20" s="476">
        <f t="shared" si="7"/>
        <v>0</v>
      </c>
      <c r="AB20" s="476">
        <f t="shared" si="7"/>
        <v>0</v>
      </c>
      <c r="AC20" s="476">
        <f t="shared" si="7"/>
        <v>0</v>
      </c>
      <c r="AD20" s="476">
        <f t="shared" si="7"/>
        <v>0</v>
      </c>
      <c r="AE20" s="476">
        <f t="shared" si="7"/>
        <v>-149.95235873658811</v>
      </c>
      <c r="AF20" s="476">
        <f t="shared" si="7"/>
        <v>-10.58765713000011</v>
      </c>
    </row>
    <row r="21" spans="1:32">
      <c r="A21" s="13" t="s">
        <v>294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-21.293849915872226</v>
      </c>
      <c r="I21" s="133">
        <f t="shared" si="8"/>
        <v>-50.719992704045019</v>
      </c>
      <c r="J21" s="133">
        <f t="shared" si="8"/>
        <v>-101.6660287602089</v>
      </c>
      <c r="K21" s="133">
        <f t="shared" si="8"/>
        <v>-137.27357012136812</v>
      </c>
      <c r="L21" s="133">
        <f t="shared" si="8"/>
        <v>-196.02709845002593</v>
      </c>
      <c r="M21" s="133">
        <f t="shared" si="8"/>
        <v>-239.02802962620137</v>
      </c>
      <c r="N21" s="133">
        <f t="shared" si="8"/>
        <v>-307.0606221113394</v>
      </c>
      <c r="O21" s="133">
        <f t="shared" si="8"/>
        <v>-358.92971771541409</v>
      </c>
      <c r="P21" s="133">
        <f t="shared" si="8"/>
        <v>-20.10040239564978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76</v>
      </c>
      <c r="B22" s="133">
        <f t="shared" ref="B22:AF22" si="10">SUM(B18:B21)</f>
        <v>269.75929773663751</v>
      </c>
      <c r="C22" s="133">
        <f t="shared" si="10"/>
        <v>797.43791069440795</v>
      </c>
      <c r="D22" s="133">
        <f t="shared" si="10"/>
        <v>1254.2000986880457</v>
      </c>
      <c r="E22" s="133">
        <f t="shared" si="10"/>
        <v>1554.3256706223963</v>
      </c>
      <c r="F22" s="133">
        <f t="shared" si="10"/>
        <v>1727.7171844120485</v>
      </c>
      <c r="G22" s="133">
        <f t="shared" si="10"/>
        <v>1786.0980533777692</v>
      </c>
      <c r="H22" s="133">
        <f t="shared" si="10"/>
        <v>1764.804203461897</v>
      </c>
      <c r="I22" s="133">
        <f t="shared" si="10"/>
        <v>1714.0842107578519</v>
      </c>
      <c r="J22" s="133">
        <f t="shared" si="10"/>
        <v>1414.6727268809227</v>
      </c>
      <c r="K22" s="133">
        <f t="shared" si="10"/>
        <v>1121.1458702986306</v>
      </c>
      <c r="L22" s="133">
        <f t="shared" si="10"/>
        <v>925.11877184860464</v>
      </c>
      <c r="M22" s="133">
        <f t="shared" si="10"/>
        <v>686.09074222240326</v>
      </c>
      <c r="N22" s="133">
        <f t="shared" si="10"/>
        <v>379.03012011106387</v>
      </c>
      <c r="O22" s="133">
        <f t="shared" si="10"/>
        <v>20.10040239564978</v>
      </c>
      <c r="P22" s="133">
        <f t="shared" si="10"/>
        <v>0</v>
      </c>
      <c r="Q22" s="133">
        <f t="shared" si="10"/>
        <v>0</v>
      </c>
      <c r="R22" s="133">
        <f t="shared" si="10"/>
        <v>0</v>
      </c>
      <c r="S22" s="133">
        <f t="shared" si="10"/>
        <v>0</v>
      </c>
      <c r="T22" s="133">
        <f t="shared" si="10"/>
        <v>0</v>
      </c>
      <c r="U22" s="133">
        <f t="shared" si="10"/>
        <v>0</v>
      </c>
      <c r="V22" s="133">
        <f t="shared" si="10"/>
        <v>0</v>
      </c>
      <c r="W22" s="133">
        <f t="shared" si="10"/>
        <v>149.95235873658811</v>
      </c>
      <c r="X22" s="133">
        <f t="shared" si="10"/>
        <v>310.49237460317636</v>
      </c>
      <c r="Y22" s="133">
        <f t="shared" si="10"/>
        <v>486.56337231489658</v>
      </c>
      <c r="Z22" s="133">
        <f t="shared" si="10"/>
        <v>679.58761041582011</v>
      </c>
      <c r="AA22" s="133">
        <f t="shared" si="10"/>
        <v>891.06743090860823</v>
      </c>
      <c r="AB22" s="133">
        <f t="shared" si="10"/>
        <v>1122.6600006056751</v>
      </c>
      <c r="AC22" s="133">
        <f t="shared" si="10"/>
        <v>1376.1507607161125</v>
      </c>
      <c r="AD22" s="133">
        <f t="shared" si="10"/>
        <v>1653.5264401629865</v>
      </c>
      <c r="AE22" s="133">
        <f t="shared" si="10"/>
        <v>1806.940055931816</v>
      </c>
      <c r="AF22" s="133">
        <f t="shared" si="10"/>
        <v>2132.1110328705904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218</v>
      </c>
      <c r="B24" s="137">
        <f>IF(B13&lt;0,0,B21+B16)</f>
        <v>0</v>
      </c>
      <c r="C24" s="137">
        <f t="shared" ref="C24:AF24" si="11">IF(C13&lt;0,0,C21+C16)</f>
        <v>0</v>
      </c>
      <c r="D24" s="137">
        <f t="shared" si="11"/>
        <v>0</v>
      </c>
      <c r="E24" s="137">
        <f t="shared" si="11"/>
        <v>0</v>
      </c>
      <c r="F24" s="137">
        <f t="shared" si="11"/>
        <v>0</v>
      </c>
      <c r="G24" s="137">
        <f t="shared" si="11"/>
        <v>0</v>
      </c>
      <c r="H24" s="137">
        <f t="shared" si="11"/>
        <v>0</v>
      </c>
      <c r="I24" s="137">
        <f t="shared" si="11"/>
        <v>0</v>
      </c>
      <c r="J24" s="137">
        <f t="shared" si="11"/>
        <v>0</v>
      </c>
      <c r="K24" s="137">
        <f t="shared" si="11"/>
        <v>0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396.34045864257837</v>
      </c>
      <c r="Q24" s="137">
        <f t="shared" si="11"/>
        <v>688.39813523296664</v>
      </c>
      <c r="R24" s="137">
        <f t="shared" si="11"/>
        <v>960.7420188740092</v>
      </c>
      <c r="S24" s="137">
        <f t="shared" si="11"/>
        <v>977.11558761772301</v>
      </c>
      <c r="T24" s="137">
        <f t="shared" si="11"/>
        <v>983.10742474032941</v>
      </c>
      <c r="U24" s="137">
        <f t="shared" si="11"/>
        <v>988.57936806143562</v>
      </c>
      <c r="V24" s="137">
        <f t="shared" si="11"/>
        <v>329.58670356595218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72</v>
      </c>
      <c r="B28" s="19">
        <f>B13</f>
        <v>-3853.7042533805352</v>
      </c>
      <c r="C28" s="19">
        <f t="shared" ref="C28:AF28" si="12">C13</f>
        <v>-7538.2658993967207</v>
      </c>
      <c r="D28" s="19">
        <f t="shared" si="12"/>
        <v>-6525.174114194826</v>
      </c>
      <c r="E28" s="19">
        <f t="shared" si="12"/>
        <v>-4287.5081704907207</v>
      </c>
      <c r="F28" s="19">
        <f t="shared" si="12"/>
        <v>-2477.02162556646</v>
      </c>
      <c r="G28" s="19">
        <f t="shared" si="12"/>
        <v>-834.01241379601015</v>
      </c>
      <c r="H28" s="19">
        <f t="shared" si="12"/>
        <v>304.19785594103178</v>
      </c>
      <c r="I28" s="19">
        <f t="shared" si="12"/>
        <v>724.57132434350024</v>
      </c>
      <c r="J28" s="19">
        <f t="shared" si="12"/>
        <v>1452.3718394315556</v>
      </c>
      <c r="K28" s="19">
        <f t="shared" si="12"/>
        <v>1961.0510017338302</v>
      </c>
      <c r="L28" s="19">
        <f t="shared" si="12"/>
        <v>2800.3871207146558</v>
      </c>
      <c r="M28" s="19">
        <f t="shared" si="12"/>
        <v>3414.686137517162</v>
      </c>
      <c r="N28" s="19">
        <f t="shared" si="12"/>
        <v>4386.5803158762765</v>
      </c>
      <c r="O28" s="19">
        <f t="shared" si="12"/>
        <v>5127.5673959344867</v>
      </c>
      <c r="P28" s="19">
        <f t="shared" si="12"/>
        <v>5949.1551576889733</v>
      </c>
      <c r="Q28" s="19">
        <f t="shared" si="12"/>
        <v>9834.2590747566646</v>
      </c>
      <c r="R28" s="19">
        <f t="shared" si="12"/>
        <v>13724.885983914415</v>
      </c>
      <c r="S28" s="19">
        <f t="shared" si="12"/>
        <v>13958.794108824613</v>
      </c>
      <c r="T28" s="19">
        <f t="shared" si="12"/>
        <v>14044.391782004705</v>
      </c>
      <c r="U28" s="19">
        <f t="shared" si="12"/>
        <v>14122.56240087765</v>
      </c>
      <c r="V28" s="19">
        <f t="shared" si="12"/>
        <v>4708.3814795136022</v>
      </c>
      <c r="W28" s="19">
        <f t="shared" si="12"/>
        <v>-2142.1765533798298</v>
      </c>
      <c r="X28" s="19">
        <f t="shared" si="12"/>
        <v>-2293.4287980941172</v>
      </c>
      <c r="Y28" s="19">
        <f t="shared" si="12"/>
        <v>-2515.2999673102886</v>
      </c>
      <c r="Z28" s="19">
        <f t="shared" si="12"/>
        <v>-2757.4891157274797</v>
      </c>
      <c r="AA28" s="19">
        <f t="shared" si="12"/>
        <v>-3021.1402927541158</v>
      </c>
      <c r="AB28" s="19">
        <f t="shared" si="12"/>
        <v>-3308.4652813866687</v>
      </c>
      <c r="AC28" s="19">
        <f t="shared" si="12"/>
        <v>-3621.2965730062488</v>
      </c>
      <c r="AD28" s="19">
        <f t="shared" si="12"/>
        <v>-3962.5097063839139</v>
      </c>
      <c r="AE28" s="19">
        <f t="shared" si="12"/>
        <v>-4333.7996357916791</v>
      </c>
      <c r="AF28" s="19">
        <f t="shared" si="12"/>
        <v>-4796.5519152682027</v>
      </c>
    </row>
    <row r="29" spans="1:32" ht="15">
      <c r="A29" s="21" t="s">
        <v>78</v>
      </c>
      <c r="B29" s="135">
        <f>-B24</f>
        <v>0</v>
      </c>
      <c r="C29" s="135">
        <f t="shared" ref="C29:AF29" si="13">-C24</f>
        <v>0</v>
      </c>
      <c r="D29" s="135">
        <f t="shared" si="13"/>
        <v>0</v>
      </c>
      <c r="E29" s="135">
        <f t="shared" si="13"/>
        <v>0</v>
      </c>
      <c r="F29" s="135">
        <f t="shared" si="13"/>
        <v>0</v>
      </c>
      <c r="G29" s="135">
        <f t="shared" si="13"/>
        <v>0</v>
      </c>
      <c r="H29" s="135">
        <f t="shared" si="13"/>
        <v>0</v>
      </c>
      <c r="I29" s="135">
        <f t="shared" si="13"/>
        <v>0</v>
      </c>
      <c r="J29" s="135">
        <f t="shared" si="13"/>
        <v>0</v>
      </c>
      <c r="K29" s="135">
        <f t="shared" si="13"/>
        <v>0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-396.34045864257837</v>
      </c>
      <c r="Q29" s="135">
        <f t="shared" si="13"/>
        <v>-688.39813523296664</v>
      </c>
      <c r="R29" s="135">
        <f t="shared" si="13"/>
        <v>-960.7420188740092</v>
      </c>
      <c r="S29" s="135">
        <f t="shared" si="13"/>
        <v>-977.11558761772301</v>
      </c>
      <c r="T29" s="135">
        <f t="shared" si="13"/>
        <v>-983.10742474032941</v>
      </c>
      <c r="U29" s="135">
        <f t="shared" si="13"/>
        <v>-988.57936806143562</v>
      </c>
      <c r="V29" s="135">
        <f t="shared" si="13"/>
        <v>-329.58670356595218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217</v>
      </c>
      <c r="B30" s="44">
        <f t="shared" ref="B30:AF30" si="14">SUM(B28:B29)</f>
        <v>-3853.7042533805352</v>
      </c>
      <c r="C30" s="44">
        <f t="shared" si="14"/>
        <v>-7538.2658993967207</v>
      </c>
      <c r="D30" s="44">
        <f t="shared" si="14"/>
        <v>-6525.174114194826</v>
      </c>
      <c r="E30" s="44">
        <f t="shared" si="14"/>
        <v>-4287.5081704907207</v>
      </c>
      <c r="F30" s="44">
        <f t="shared" si="14"/>
        <v>-2477.02162556646</v>
      </c>
      <c r="G30" s="44">
        <f t="shared" si="14"/>
        <v>-834.01241379601015</v>
      </c>
      <c r="H30" s="44">
        <f t="shared" si="14"/>
        <v>304.19785594103178</v>
      </c>
      <c r="I30" s="44">
        <f t="shared" si="14"/>
        <v>724.57132434350024</v>
      </c>
      <c r="J30" s="44">
        <f t="shared" si="14"/>
        <v>1452.3718394315556</v>
      </c>
      <c r="K30" s="44">
        <f t="shared" si="14"/>
        <v>1961.0510017338302</v>
      </c>
      <c r="L30" s="44">
        <f t="shared" si="14"/>
        <v>2800.3871207146558</v>
      </c>
      <c r="M30" s="44">
        <f t="shared" si="14"/>
        <v>3414.686137517162</v>
      </c>
      <c r="N30" s="44">
        <f t="shared" si="14"/>
        <v>4386.5803158762765</v>
      </c>
      <c r="O30" s="44">
        <f t="shared" si="14"/>
        <v>5127.5673959344867</v>
      </c>
      <c r="P30" s="44">
        <f t="shared" si="14"/>
        <v>5552.8146990463947</v>
      </c>
      <c r="Q30" s="44">
        <f t="shared" si="14"/>
        <v>9145.8609395236981</v>
      </c>
      <c r="R30" s="44">
        <f t="shared" si="14"/>
        <v>12764.143965040406</v>
      </c>
      <c r="S30" s="44">
        <f t="shared" si="14"/>
        <v>12981.67852120689</v>
      </c>
      <c r="T30" s="44">
        <f t="shared" si="14"/>
        <v>13061.284357264376</v>
      </c>
      <c r="U30" s="44">
        <f t="shared" si="14"/>
        <v>13133.983032816215</v>
      </c>
      <c r="V30" s="44">
        <f t="shared" si="14"/>
        <v>4378.7947759476501</v>
      </c>
      <c r="W30" s="44">
        <f t="shared" si="14"/>
        <v>-2142.1765533798298</v>
      </c>
      <c r="X30" s="44">
        <f t="shared" si="14"/>
        <v>-2293.4287980941172</v>
      </c>
      <c r="Y30" s="44">
        <f t="shared" si="14"/>
        <v>-2515.2999673102886</v>
      </c>
      <c r="Z30" s="44">
        <f t="shared" si="14"/>
        <v>-2757.4891157274797</v>
      </c>
      <c r="AA30" s="44">
        <f t="shared" si="14"/>
        <v>-3021.1402927541158</v>
      </c>
      <c r="AB30" s="44">
        <f t="shared" si="14"/>
        <v>-3308.4652813866687</v>
      </c>
      <c r="AC30" s="44">
        <f t="shared" si="14"/>
        <v>-3621.2965730062488</v>
      </c>
      <c r="AD30" s="44">
        <f t="shared" si="14"/>
        <v>-3962.5097063839139</v>
      </c>
      <c r="AE30" s="44">
        <f t="shared" si="14"/>
        <v>-4333.7996357916791</v>
      </c>
      <c r="AF30" s="44">
        <f t="shared" si="14"/>
        <v>-4796.5519152682027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79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80</v>
      </c>
      <c r="B33" s="19">
        <f>B30*B32</f>
        <v>-1348.7964886831871</v>
      </c>
      <c r="C33" s="19">
        <f t="shared" ref="C33:W33" si="15">C30*C32</f>
        <v>-2638.3930647888519</v>
      </c>
      <c r="D33" s="19">
        <f t="shared" si="15"/>
        <v>-2283.8109399681889</v>
      </c>
      <c r="E33" s="19">
        <f t="shared" si="15"/>
        <v>-1500.627859671752</v>
      </c>
      <c r="F33" s="19">
        <f t="shared" si="15"/>
        <v>-866.95756894826093</v>
      </c>
      <c r="G33" s="19">
        <f t="shared" si="15"/>
        <v>-291.90434482860354</v>
      </c>
      <c r="H33" s="19">
        <f t="shared" si="15"/>
        <v>106.46924957936112</v>
      </c>
      <c r="I33" s="19">
        <f t="shared" si="15"/>
        <v>253.59996352022506</v>
      </c>
      <c r="J33" s="19">
        <f t="shared" si="15"/>
        <v>508.33014380104441</v>
      </c>
      <c r="K33" s="19">
        <f t="shared" si="15"/>
        <v>686.36785060684053</v>
      </c>
      <c r="L33" s="19">
        <f t="shared" si="15"/>
        <v>980.13549225012946</v>
      </c>
      <c r="M33" s="19">
        <f t="shared" si="15"/>
        <v>1195.1401481310065</v>
      </c>
      <c r="N33" s="19">
        <f t="shared" si="15"/>
        <v>1535.3031105566968</v>
      </c>
      <c r="O33" s="19">
        <f t="shared" si="15"/>
        <v>1794.6485885770703</v>
      </c>
      <c r="P33" s="19">
        <f t="shared" si="15"/>
        <v>1943.4851446662381</v>
      </c>
      <c r="Q33" s="19">
        <f t="shared" si="15"/>
        <v>3201.0513288332941</v>
      </c>
      <c r="R33" s="19">
        <f t="shared" si="15"/>
        <v>4467.4503877641419</v>
      </c>
      <c r="S33" s="19">
        <f t="shared" si="15"/>
        <v>4543.5874824224111</v>
      </c>
      <c r="T33" s="19">
        <f t="shared" si="15"/>
        <v>4571.4495250425316</v>
      </c>
      <c r="U33" s="19">
        <f t="shared" si="15"/>
        <v>4596.8940614856747</v>
      </c>
      <c r="V33" s="19">
        <f t="shared" si="15"/>
        <v>1532.5781715816775</v>
      </c>
      <c r="W33" s="19">
        <f t="shared" si="15"/>
        <v>-749.76179368294038</v>
      </c>
      <c r="X33" s="19">
        <f t="shared" ref="X33:AF33" si="16">X30*X32</f>
        <v>-802.70007933294096</v>
      </c>
      <c r="Y33" s="19">
        <f t="shared" si="16"/>
        <v>-880.35498855860101</v>
      </c>
      <c r="Z33" s="19">
        <f t="shared" si="16"/>
        <v>-965.12119050461786</v>
      </c>
      <c r="AA33" s="19">
        <f t="shared" si="16"/>
        <v>-1057.3991024639404</v>
      </c>
      <c r="AB33" s="19">
        <f t="shared" si="16"/>
        <v>-1157.962848485334</v>
      </c>
      <c r="AC33" s="19">
        <f t="shared" si="16"/>
        <v>-1267.453800552187</v>
      </c>
      <c r="AD33" s="19">
        <f t="shared" si="16"/>
        <v>-1386.8783972343697</v>
      </c>
      <c r="AE33" s="19">
        <f t="shared" si="16"/>
        <v>-1516.8298725270877</v>
      </c>
      <c r="AF33" s="19">
        <f t="shared" si="16"/>
        <v>-1678.7931703438708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74</v>
      </c>
      <c r="B35" s="19">
        <v>0</v>
      </c>
      <c r="C35" s="19">
        <f t="shared" ref="C35:S35" si="17">B39</f>
        <v>1348.7964886831871</v>
      </c>
      <c r="D35" s="19">
        <f t="shared" si="17"/>
        <v>3987.1895534720388</v>
      </c>
      <c r="E35" s="19">
        <f t="shared" si="17"/>
        <v>6271.0004934402277</v>
      </c>
      <c r="F35" s="19">
        <f t="shared" si="17"/>
        <v>7771.6283531119798</v>
      </c>
      <c r="G35" s="19">
        <f t="shared" si="17"/>
        <v>8638.5859220602415</v>
      </c>
      <c r="H35" s="19">
        <f t="shared" si="17"/>
        <v>8930.4902668888444</v>
      </c>
      <c r="I35" s="19">
        <f t="shared" si="17"/>
        <v>8824.0210173094838</v>
      </c>
      <c r="J35" s="19">
        <f t="shared" si="17"/>
        <v>8570.4210537892595</v>
      </c>
      <c r="K35" s="19">
        <f t="shared" si="17"/>
        <v>8062.0909099882156</v>
      </c>
      <c r="L35" s="19">
        <f t="shared" si="17"/>
        <v>7375.7230593813747</v>
      </c>
      <c r="M35" s="19">
        <f t="shared" si="17"/>
        <v>6395.5875671312451</v>
      </c>
      <c r="N35" s="19">
        <f t="shared" si="17"/>
        <v>5200.4474190002384</v>
      </c>
      <c r="O35" s="19">
        <f t="shared" si="17"/>
        <v>3665.1443084435414</v>
      </c>
      <c r="P35" s="19">
        <f t="shared" si="17"/>
        <v>1870.4957198664711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749.76179368294038</v>
      </c>
      <c r="Y35" s="19">
        <f t="shared" si="18"/>
        <v>1552.4618730158813</v>
      </c>
      <c r="Z35" s="19">
        <f t="shared" si="18"/>
        <v>2432.8168615744826</v>
      </c>
      <c r="AA35" s="19">
        <f t="shared" si="18"/>
        <v>3397.9380520791005</v>
      </c>
      <c r="AB35" s="19">
        <f t="shared" si="18"/>
        <v>4455.3371545430409</v>
      </c>
      <c r="AC35" s="19">
        <f t="shared" si="18"/>
        <v>5613.3000030283747</v>
      </c>
      <c r="AD35" s="19">
        <f t="shared" si="18"/>
        <v>6880.7538035805619</v>
      </c>
      <c r="AE35" s="19">
        <f t="shared" si="18"/>
        <v>8267.6322008149309</v>
      </c>
      <c r="AF35" s="19">
        <f t="shared" si="18"/>
        <v>9784.4620733420179</v>
      </c>
    </row>
    <row r="36" spans="1:32">
      <c r="A36" s="21" t="s">
        <v>75</v>
      </c>
      <c r="B36" s="140">
        <f>IF(B33&lt;0,-B33,0)</f>
        <v>1348.7964886831871</v>
      </c>
      <c r="C36" s="140">
        <f t="shared" ref="C36:AF36" si="19">IF(C33&lt;0,-C33,0)</f>
        <v>2638.3930647888519</v>
      </c>
      <c r="D36" s="140">
        <f t="shared" si="19"/>
        <v>2283.8109399681889</v>
      </c>
      <c r="E36" s="140">
        <f t="shared" si="19"/>
        <v>1500.627859671752</v>
      </c>
      <c r="F36" s="140">
        <f t="shared" si="19"/>
        <v>866.95756894826093</v>
      </c>
      <c r="G36" s="140">
        <f t="shared" si="19"/>
        <v>291.90434482860354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0</v>
      </c>
      <c r="M36" s="140">
        <f t="shared" si="19"/>
        <v>0</v>
      </c>
      <c r="N36" s="140">
        <f t="shared" si="19"/>
        <v>0</v>
      </c>
      <c r="O36" s="140">
        <f t="shared" si="19"/>
        <v>0</v>
      </c>
      <c r="P36" s="140">
        <f t="shared" si="19"/>
        <v>0</v>
      </c>
      <c r="Q36" s="140">
        <f t="shared" si="19"/>
        <v>0</v>
      </c>
      <c r="R36" s="140">
        <f t="shared" si="19"/>
        <v>0</v>
      </c>
      <c r="S36" s="140">
        <f t="shared" si="19"/>
        <v>0</v>
      </c>
      <c r="T36" s="140">
        <f t="shared" si="19"/>
        <v>0</v>
      </c>
      <c r="U36" s="140">
        <f t="shared" si="19"/>
        <v>0</v>
      </c>
      <c r="V36" s="140">
        <f t="shared" si="19"/>
        <v>0</v>
      </c>
      <c r="W36" s="140">
        <f t="shared" si="19"/>
        <v>749.76179368294038</v>
      </c>
      <c r="X36" s="140">
        <f t="shared" si="19"/>
        <v>802.70007933294096</v>
      </c>
      <c r="Y36" s="140">
        <f t="shared" si="19"/>
        <v>880.35498855860101</v>
      </c>
      <c r="Z36" s="140">
        <f t="shared" si="19"/>
        <v>965.12119050461786</v>
      </c>
      <c r="AA36" s="140">
        <f t="shared" si="19"/>
        <v>1057.3991024639404</v>
      </c>
      <c r="AB36" s="140">
        <f t="shared" si="19"/>
        <v>1157.962848485334</v>
      </c>
      <c r="AC36" s="140">
        <f t="shared" si="19"/>
        <v>1267.453800552187</v>
      </c>
      <c r="AD36" s="140">
        <f t="shared" si="19"/>
        <v>1386.8783972343697</v>
      </c>
      <c r="AE36" s="140">
        <f t="shared" si="19"/>
        <v>1516.8298725270877</v>
      </c>
      <c r="AF36" s="140">
        <f t="shared" si="19"/>
        <v>1678.7931703438708</v>
      </c>
    </row>
    <row r="37" spans="1:32">
      <c r="A37" s="13" t="s">
        <v>295</v>
      </c>
      <c r="B37" s="473">
        <v>0</v>
      </c>
      <c r="C37" s="474">
        <v>0</v>
      </c>
      <c r="D37" s="474">
        <v>0</v>
      </c>
      <c r="E37" s="474">
        <v>0</v>
      </c>
      <c r="F37" s="474">
        <v>0</v>
      </c>
      <c r="G37" s="474">
        <v>0</v>
      </c>
      <c r="H37" s="474">
        <v>0</v>
      </c>
      <c r="I37" s="474">
        <v>0</v>
      </c>
      <c r="J37" s="474">
        <v>0</v>
      </c>
      <c r="K37" s="474">
        <v>0</v>
      </c>
      <c r="L37" s="474">
        <v>0</v>
      </c>
      <c r="M37" s="474">
        <v>0</v>
      </c>
      <c r="N37" s="474">
        <v>0</v>
      </c>
      <c r="O37" s="474">
        <v>0</v>
      </c>
      <c r="P37" s="475">
        <v>0</v>
      </c>
      <c r="Q37" s="476">
        <f>IF(-SUM(B38:P38, B37:P37)&gt;B36,0,-B36-SUM(B38:P38,B37:P37))</f>
        <v>0</v>
      </c>
      <c r="R37" s="476">
        <f t="shared" ref="R37:AF37" si="20">IF(-SUM(C38:Q38, C37:Q37)&gt;C36,0,-C36-SUM(C38:Q38,C37:Q37))</f>
        <v>0</v>
      </c>
      <c r="S37" s="476">
        <f t="shared" si="20"/>
        <v>0</v>
      </c>
      <c r="T37" s="476">
        <f t="shared" si="20"/>
        <v>0</v>
      </c>
      <c r="U37" s="476">
        <f t="shared" si="20"/>
        <v>0</v>
      </c>
      <c r="V37" s="476">
        <f t="shared" si="20"/>
        <v>0</v>
      </c>
      <c r="W37" s="476">
        <f t="shared" si="20"/>
        <v>0</v>
      </c>
      <c r="X37" s="476">
        <f t="shared" si="20"/>
        <v>0</v>
      </c>
      <c r="Y37" s="476">
        <f t="shared" si="20"/>
        <v>0</v>
      </c>
      <c r="Z37" s="476">
        <f t="shared" si="20"/>
        <v>0</v>
      </c>
      <c r="AA37" s="476">
        <f t="shared" si="20"/>
        <v>0</v>
      </c>
      <c r="AB37" s="476">
        <f t="shared" si="20"/>
        <v>0</v>
      </c>
      <c r="AC37" s="476">
        <f t="shared" si="20"/>
        <v>0</v>
      </c>
      <c r="AD37" s="476">
        <f t="shared" si="20"/>
        <v>0</v>
      </c>
      <c r="AE37" s="476">
        <f t="shared" si="20"/>
        <v>0</v>
      </c>
      <c r="AF37" s="476">
        <f t="shared" si="20"/>
        <v>0</v>
      </c>
    </row>
    <row r="38" spans="1:32">
      <c r="A38" s="13" t="s">
        <v>296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-106.46924957936112</v>
      </c>
      <c r="I38" s="133">
        <f t="shared" si="21"/>
        <v>-253.59996352022506</v>
      </c>
      <c r="J38" s="133">
        <f t="shared" si="21"/>
        <v>-508.33014380104441</v>
      </c>
      <c r="K38" s="133">
        <f t="shared" si="21"/>
        <v>-686.36785060684053</v>
      </c>
      <c r="L38" s="133">
        <f t="shared" si="21"/>
        <v>-980.13549225012946</v>
      </c>
      <c r="M38" s="133">
        <f t="shared" si="21"/>
        <v>-1195.1401481310065</v>
      </c>
      <c r="N38" s="133">
        <f t="shared" si="21"/>
        <v>-1535.3031105566968</v>
      </c>
      <c r="O38" s="133">
        <f t="shared" si="21"/>
        <v>-1794.6485885770703</v>
      </c>
      <c r="P38" s="133">
        <f t="shared" si="21"/>
        <v>-1870.4957198664711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76</v>
      </c>
      <c r="B39" s="133">
        <f t="shared" ref="B39:AF39" si="23">SUM(B35:B38)</f>
        <v>1348.7964886831871</v>
      </c>
      <c r="C39" s="133">
        <f t="shared" si="23"/>
        <v>3987.1895534720388</v>
      </c>
      <c r="D39" s="133">
        <f t="shared" si="23"/>
        <v>6271.0004934402277</v>
      </c>
      <c r="E39" s="133">
        <f t="shared" si="23"/>
        <v>7771.6283531119798</v>
      </c>
      <c r="F39" s="133">
        <f t="shared" si="23"/>
        <v>8638.5859220602415</v>
      </c>
      <c r="G39" s="133">
        <f t="shared" si="23"/>
        <v>8930.4902668888444</v>
      </c>
      <c r="H39" s="133">
        <f t="shared" si="23"/>
        <v>8824.0210173094838</v>
      </c>
      <c r="I39" s="133">
        <f t="shared" si="23"/>
        <v>8570.4210537892595</v>
      </c>
      <c r="J39" s="133">
        <f t="shared" si="23"/>
        <v>8062.0909099882156</v>
      </c>
      <c r="K39" s="133">
        <f t="shared" si="23"/>
        <v>7375.7230593813747</v>
      </c>
      <c r="L39" s="133">
        <f t="shared" si="23"/>
        <v>6395.5875671312451</v>
      </c>
      <c r="M39" s="133">
        <f t="shared" si="23"/>
        <v>5200.4474190002384</v>
      </c>
      <c r="N39" s="133">
        <f t="shared" si="23"/>
        <v>3665.1443084435414</v>
      </c>
      <c r="O39" s="133">
        <f t="shared" si="23"/>
        <v>1870.4957198664711</v>
      </c>
      <c r="P39" s="133">
        <f t="shared" si="23"/>
        <v>0</v>
      </c>
      <c r="Q39" s="133">
        <f t="shared" si="23"/>
        <v>0</v>
      </c>
      <c r="R39" s="133">
        <f t="shared" si="23"/>
        <v>0</v>
      </c>
      <c r="S39" s="133">
        <f t="shared" si="23"/>
        <v>0</v>
      </c>
      <c r="T39" s="133">
        <f t="shared" si="23"/>
        <v>0</v>
      </c>
      <c r="U39" s="133">
        <f t="shared" si="23"/>
        <v>0</v>
      </c>
      <c r="V39" s="133">
        <f t="shared" si="23"/>
        <v>0</v>
      </c>
      <c r="W39" s="133">
        <f t="shared" si="23"/>
        <v>749.76179368294038</v>
      </c>
      <c r="X39" s="133">
        <f t="shared" si="23"/>
        <v>1552.4618730158813</v>
      </c>
      <c r="Y39" s="133">
        <f t="shared" si="23"/>
        <v>2432.8168615744826</v>
      </c>
      <c r="Z39" s="133">
        <f t="shared" si="23"/>
        <v>3397.9380520791005</v>
      </c>
      <c r="AA39" s="133">
        <f t="shared" si="23"/>
        <v>4455.3371545430409</v>
      </c>
      <c r="AB39" s="133">
        <f t="shared" si="23"/>
        <v>5613.3000030283747</v>
      </c>
      <c r="AC39" s="133">
        <f t="shared" si="23"/>
        <v>6880.7538035805619</v>
      </c>
      <c r="AD39" s="133">
        <f t="shared" si="23"/>
        <v>8267.6322008149309</v>
      </c>
      <c r="AE39" s="133">
        <f t="shared" si="23"/>
        <v>9784.4620733420179</v>
      </c>
      <c r="AF39" s="133">
        <f t="shared" si="23"/>
        <v>11463.25524368589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218</v>
      </c>
      <c r="B41" s="137">
        <f>IF(B30&lt;0,0,B38+B33)</f>
        <v>0</v>
      </c>
      <c r="C41" s="137">
        <f t="shared" ref="C41:AF41" si="24">IF(C30&lt;0,0,C38+C33)</f>
        <v>0</v>
      </c>
      <c r="D41" s="137">
        <f t="shared" si="24"/>
        <v>0</v>
      </c>
      <c r="E41" s="137">
        <f t="shared" si="24"/>
        <v>0</v>
      </c>
      <c r="F41" s="137">
        <f t="shared" si="24"/>
        <v>0</v>
      </c>
      <c r="G41" s="137">
        <f t="shared" si="24"/>
        <v>0</v>
      </c>
      <c r="H41" s="137">
        <f t="shared" si="24"/>
        <v>0</v>
      </c>
      <c r="I41" s="137">
        <f t="shared" si="24"/>
        <v>0</v>
      </c>
      <c r="J41" s="137">
        <f t="shared" si="24"/>
        <v>0</v>
      </c>
      <c r="K41" s="137">
        <f t="shared" si="24"/>
        <v>0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72.989424799766994</v>
      </c>
      <c r="Q41" s="137">
        <f t="shared" si="24"/>
        <v>3201.0513288332941</v>
      </c>
      <c r="R41" s="137">
        <f t="shared" si="24"/>
        <v>4467.4503877641419</v>
      </c>
      <c r="S41" s="137">
        <f t="shared" si="24"/>
        <v>4543.5874824224111</v>
      </c>
      <c r="T41" s="137">
        <f t="shared" si="24"/>
        <v>4571.4495250425316</v>
      </c>
      <c r="U41" s="137">
        <f t="shared" si="24"/>
        <v>4596.8940614856747</v>
      </c>
      <c r="V41" s="137">
        <f t="shared" si="24"/>
        <v>1532.5781715816775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D15" sqref="D15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Calpine</v>
      </c>
    </row>
    <row r="4" spans="1:25" ht="18.75">
      <c r="A4" s="61" t="s">
        <v>195</v>
      </c>
      <c r="B4" s="219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357</v>
      </c>
      <c r="B6" s="236"/>
      <c r="C6" s="449">
        <f>Assumptions!C22</f>
        <v>27189</v>
      </c>
      <c r="D6" s="237"/>
      <c r="E6" s="237"/>
      <c r="F6" s="237"/>
      <c r="G6" s="237"/>
      <c r="H6" s="237"/>
      <c r="I6" s="238"/>
      <c r="J6" s="237"/>
      <c r="K6" s="237"/>
      <c r="L6" s="237"/>
      <c r="M6" s="237"/>
      <c r="N6" s="237"/>
      <c r="O6" s="238"/>
      <c r="P6" s="237"/>
      <c r="Q6" s="237"/>
      <c r="R6" s="237"/>
      <c r="S6" s="237"/>
      <c r="T6" s="237"/>
      <c r="U6" s="238"/>
      <c r="V6" s="237"/>
      <c r="W6" s="237"/>
      <c r="X6" s="240"/>
      <c r="Y6" s="240"/>
    </row>
    <row r="7" spans="1:25">
      <c r="A7" s="63" t="s">
        <v>202</v>
      </c>
      <c r="B7" s="236"/>
      <c r="C7" s="459">
        <v>9</v>
      </c>
      <c r="D7" s="237"/>
      <c r="E7" s="237"/>
      <c r="F7" s="237"/>
      <c r="G7" s="237"/>
      <c r="H7" s="237"/>
      <c r="I7" s="238"/>
      <c r="J7" s="237"/>
      <c r="K7" s="237"/>
      <c r="L7" s="237"/>
      <c r="M7" s="237"/>
      <c r="N7" s="237"/>
      <c r="O7" s="238"/>
      <c r="P7" s="237"/>
      <c r="Q7" s="237"/>
      <c r="R7" s="237"/>
      <c r="S7" s="237"/>
      <c r="T7" s="237"/>
      <c r="U7" s="238"/>
      <c r="V7" s="237"/>
      <c r="W7" s="237"/>
      <c r="X7" s="240"/>
      <c r="Y7" s="240"/>
    </row>
    <row r="8" spans="1:25">
      <c r="A8" s="63" t="s">
        <v>200</v>
      </c>
      <c r="B8" s="236"/>
      <c r="C8" s="532">
        <f>Assumptions!H39</f>
        <v>8.5000000000000006E-2</v>
      </c>
      <c r="D8" s="245">
        <f>C8/360</f>
        <v>2.3611111111111112E-4</v>
      </c>
      <c r="E8" s="237"/>
      <c r="F8" s="237"/>
      <c r="G8" s="237"/>
      <c r="H8" s="237"/>
      <c r="I8" s="238"/>
      <c r="J8" s="237"/>
      <c r="K8" s="237"/>
      <c r="L8" s="237"/>
      <c r="M8" s="237"/>
      <c r="N8" s="237"/>
      <c r="O8" s="238"/>
      <c r="P8" s="237"/>
      <c r="Q8" s="237"/>
      <c r="R8" s="237"/>
      <c r="S8" s="237"/>
      <c r="T8" s="237"/>
      <c r="U8" s="238"/>
      <c r="V8" s="237"/>
      <c r="W8" s="237"/>
      <c r="X8" s="240"/>
      <c r="Y8" s="240"/>
    </row>
    <row r="9" spans="1:25">
      <c r="A9" s="63"/>
      <c r="B9" s="236"/>
      <c r="C9" s="244" t="s">
        <v>201</v>
      </c>
      <c r="D9" s="244" t="s">
        <v>237</v>
      </c>
      <c r="E9" s="237"/>
      <c r="F9" s="237"/>
      <c r="G9" s="237"/>
      <c r="H9" s="237"/>
      <c r="I9" s="238"/>
      <c r="J9" s="237"/>
      <c r="K9" s="237"/>
      <c r="L9" s="237"/>
      <c r="M9" s="237"/>
      <c r="N9" s="237"/>
      <c r="O9" s="238"/>
      <c r="P9" s="237"/>
      <c r="Q9" s="237"/>
      <c r="R9" s="237"/>
      <c r="S9" s="237"/>
      <c r="T9" s="237"/>
      <c r="U9" s="238"/>
      <c r="V9" s="237"/>
      <c r="W9" s="237"/>
      <c r="X9" s="240"/>
      <c r="Y9" s="240"/>
    </row>
    <row r="10" spans="1:25">
      <c r="A10" s="63"/>
      <c r="B10" s="236"/>
      <c r="C10" s="244"/>
      <c r="D10" s="244"/>
      <c r="E10" s="237"/>
      <c r="F10" s="237"/>
      <c r="G10" s="237"/>
      <c r="H10" s="237"/>
      <c r="I10" s="238"/>
      <c r="J10" s="237"/>
      <c r="K10" s="237"/>
      <c r="L10" s="237"/>
      <c r="M10" s="237"/>
      <c r="N10" s="237"/>
      <c r="O10" s="238"/>
      <c r="P10" s="237"/>
      <c r="Q10" s="237"/>
      <c r="R10" s="237"/>
      <c r="S10" s="237"/>
      <c r="T10" s="237"/>
      <c r="U10" s="238"/>
      <c r="V10" s="237"/>
      <c r="W10" s="237"/>
      <c r="X10" s="240"/>
      <c r="Y10" s="240"/>
    </row>
    <row r="11" spans="1:25">
      <c r="A11" s="63"/>
      <c r="B11" s="236"/>
      <c r="C11" s="244"/>
      <c r="D11" s="244"/>
      <c r="E11" s="237"/>
      <c r="F11" s="237"/>
      <c r="G11" s="237"/>
      <c r="H11" s="237"/>
      <c r="I11" s="238"/>
      <c r="J11" s="237"/>
      <c r="K11" s="237"/>
      <c r="L11" s="237"/>
      <c r="M11" s="237"/>
      <c r="N11" s="237"/>
      <c r="O11" s="238"/>
      <c r="P11" s="237"/>
      <c r="Q11" s="237"/>
      <c r="R11" s="237"/>
      <c r="S11" s="237"/>
      <c r="T11" s="237"/>
      <c r="U11" s="238"/>
      <c r="V11" s="237"/>
      <c r="W11" s="237"/>
      <c r="X11" s="240"/>
      <c r="Y11" s="240"/>
    </row>
    <row r="12" spans="1:25">
      <c r="A12" s="5"/>
      <c r="B12" s="233"/>
      <c r="C12" s="233"/>
      <c r="D12" s="234" t="s">
        <v>189</v>
      </c>
      <c r="E12" s="232" t="s">
        <v>196</v>
      </c>
      <c r="F12" s="233"/>
      <c r="G12" s="233"/>
      <c r="H12" s="233"/>
      <c r="I12" s="233"/>
      <c r="J12" s="228"/>
    </row>
    <row r="13" spans="1:25">
      <c r="A13" s="232" t="s">
        <v>186</v>
      </c>
      <c r="B13" s="5"/>
      <c r="C13" s="5"/>
      <c r="D13" s="234" t="s">
        <v>197</v>
      </c>
      <c r="E13" s="234" t="s">
        <v>190</v>
      </c>
      <c r="F13" s="234" t="s">
        <v>191</v>
      </c>
      <c r="G13" s="239" t="s">
        <v>192</v>
      </c>
      <c r="H13" s="234" t="s">
        <v>193</v>
      </c>
      <c r="I13" s="234" t="s">
        <v>194</v>
      </c>
      <c r="J13" s="66"/>
    </row>
    <row r="14" spans="1:25">
      <c r="A14" s="229" t="s">
        <v>187</v>
      </c>
      <c r="B14" s="229" t="s">
        <v>135</v>
      </c>
      <c r="C14" s="229" t="s">
        <v>188</v>
      </c>
      <c r="D14" s="229" t="s">
        <v>199</v>
      </c>
      <c r="E14" s="229" t="s">
        <v>199</v>
      </c>
      <c r="F14" s="229" t="s">
        <v>199</v>
      </c>
      <c r="G14" s="229" t="s">
        <v>199</v>
      </c>
      <c r="H14" s="229" t="s">
        <v>199</v>
      </c>
      <c r="I14" s="229" t="s">
        <v>199</v>
      </c>
      <c r="J14" s="66"/>
    </row>
    <row r="15" spans="1:25">
      <c r="A15" s="230">
        <v>1</v>
      </c>
      <c r="B15" s="231">
        <v>36617</v>
      </c>
      <c r="C15" s="272">
        <f>HLOOKUP(Assumptions!$H$12,IDC!$H$40:$L$56,2+F42)</f>
        <v>0.1</v>
      </c>
      <c r="D15" s="241">
        <f>D59*Assumptions!H12</f>
        <v>57041.798429326831</v>
      </c>
      <c r="E15" s="242">
        <f t="shared" ref="E15:E33" si="0">C15*$C$6</f>
        <v>2718.9</v>
      </c>
      <c r="F15" s="242">
        <f t="shared" ref="F15:F33" si="1">+E15+D15</f>
        <v>59760.698429326832</v>
      </c>
      <c r="G15" s="242">
        <f>F15+H15</f>
        <v>59760.698429326832</v>
      </c>
      <c r="H15" s="242">
        <v>0</v>
      </c>
      <c r="I15" s="242">
        <v>0</v>
      </c>
      <c r="K15" s="447"/>
    </row>
    <row r="16" spans="1:25">
      <c r="A16" s="230">
        <f t="shared" ref="A16:A33" si="2">A15+1</f>
        <v>2</v>
      </c>
      <c r="B16" s="231">
        <v>36647</v>
      </c>
      <c r="C16" s="272">
        <f>HLOOKUP(Assumptions!$H$12,IDC!$H$40:$L$56,2+F43)</f>
        <v>0.04</v>
      </c>
      <c r="D16" s="241">
        <v>0</v>
      </c>
      <c r="E16" s="242">
        <f t="shared" si="0"/>
        <v>1087.56</v>
      </c>
      <c r="F16" s="242">
        <f t="shared" si="1"/>
        <v>1087.56</v>
      </c>
      <c r="G16" s="242">
        <f t="shared" ref="G16:G33" si="3">F16+G15+H16</f>
        <v>61271.563376534563</v>
      </c>
      <c r="H16" s="242">
        <f>IF(A16&gt;$C$7+1,0,G15*(B16-B15)*$D$8)</f>
        <v>423.30494720773174</v>
      </c>
      <c r="I16" s="242">
        <f>IF(A16&lt;=$C$7+1,H16+I15,I15)</f>
        <v>423.30494720773174</v>
      </c>
      <c r="K16" s="447"/>
    </row>
    <row r="17" spans="1:11">
      <c r="A17" s="230">
        <f t="shared" si="2"/>
        <v>3</v>
      </c>
      <c r="B17" s="231">
        <v>36678</v>
      </c>
      <c r="C17" s="272">
        <f>HLOOKUP(Assumptions!$H$12,IDC!$H$40:$L$56,2+F44)</f>
        <v>0.08</v>
      </c>
      <c r="D17" s="241">
        <v>0</v>
      </c>
      <c r="E17" s="242">
        <f t="shared" si="0"/>
        <v>2175.12</v>
      </c>
      <c r="F17" s="242">
        <f t="shared" si="1"/>
        <v>2175.12</v>
      </c>
      <c r="G17" s="242">
        <f t="shared" si="3"/>
        <v>63895.157180693364</v>
      </c>
      <c r="H17" s="242">
        <f t="shared" ref="H17:H33" si="4">IF(A17&gt;$C$7+1,0,G16*(B17-B16)*$D$8)</f>
        <v>448.47380415880161</v>
      </c>
      <c r="I17" s="242">
        <f t="shared" ref="I17:I33" si="5">IF(A17&lt;=$C$7+1,H17+I16,I16)</f>
        <v>871.77875136653336</v>
      </c>
      <c r="K17" s="447"/>
    </row>
    <row r="18" spans="1:11">
      <c r="A18" s="230">
        <f t="shared" si="2"/>
        <v>4</v>
      </c>
      <c r="B18" s="231">
        <v>36708</v>
      </c>
      <c r="C18" s="272">
        <f>HLOOKUP(Assumptions!$H$12,IDC!$H$40:$L$56,2+F45)</f>
        <v>0.1</v>
      </c>
      <c r="D18" s="241">
        <v>0</v>
      </c>
      <c r="E18" s="242">
        <f t="shared" si="0"/>
        <v>2718.9</v>
      </c>
      <c r="F18" s="242">
        <f t="shared" si="1"/>
        <v>2718.9</v>
      </c>
      <c r="G18" s="242">
        <f t="shared" si="3"/>
        <v>67066.647877389943</v>
      </c>
      <c r="H18" s="242">
        <f t="shared" si="4"/>
        <v>452.59069669657799</v>
      </c>
      <c r="I18" s="242">
        <f t="shared" si="5"/>
        <v>1324.3694480631113</v>
      </c>
      <c r="K18" s="447"/>
    </row>
    <row r="19" spans="1:11">
      <c r="A19" s="230">
        <f t="shared" si="2"/>
        <v>5</v>
      </c>
      <c r="B19" s="231">
        <v>36739</v>
      </c>
      <c r="C19" s="272">
        <f>HLOOKUP(Assumptions!$H$12,IDC!$H$40:$L$56,2+F46)</f>
        <v>0.11</v>
      </c>
      <c r="D19" s="241">
        <v>0</v>
      </c>
      <c r="E19" s="242">
        <f t="shared" si="0"/>
        <v>2990.79</v>
      </c>
      <c r="F19" s="242">
        <f t="shared" si="1"/>
        <v>2990.79</v>
      </c>
      <c r="G19" s="242">
        <f t="shared" si="3"/>
        <v>70548.32848060361</v>
      </c>
      <c r="H19" s="242">
        <f t="shared" si="4"/>
        <v>490.89060321367361</v>
      </c>
      <c r="I19" s="242">
        <f t="shared" si="5"/>
        <v>1815.2600512767849</v>
      </c>
      <c r="K19" s="447"/>
    </row>
    <row r="20" spans="1:11">
      <c r="A20" s="230">
        <f t="shared" si="2"/>
        <v>6</v>
      </c>
      <c r="B20" s="231">
        <v>36770</v>
      </c>
      <c r="C20" s="272">
        <f>HLOOKUP(Assumptions!$H$12,IDC!$H$40:$L$56,2+F47)</f>
        <v>0.11</v>
      </c>
      <c r="D20" s="241">
        <v>0</v>
      </c>
      <c r="E20" s="242">
        <f t="shared" si="0"/>
        <v>2990.79</v>
      </c>
      <c r="F20" s="242">
        <f t="shared" si="1"/>
        <v>2990.79</v>
      </c>
      <c r="G20" s="242">
        <f t="shared" si="3"/>
        <v>74055.493051565805</v>
      </c>
      <c r="H20" s="242">
        <f t="shared" si="4"/>
        <v>516.37457096219589</v>
      </c>
      <c r="I20" s="242">
        <f t="shared" si="5"/>
        <v>2331.6346222389807</v>
      </c>
      <c r="K20" s="447"/>
    </row>
    <row r="21" spans="1:11">
      <c r="A21" s="230">
        <f t="shared" si="2"/>
        <v>7</v>
      </c>
      <c r="B21" s="231">
        <v>36800</v>
      </c>
      <c r="C21" s="272">
        <f>HLOOKUP(Assumptions!$H$12,IDC!$H$40:$L$56,2+F48)</f>
        <v>0.1</v>
      </c>
      <c r="D21" s="241">
        <v>0</v>
      </c>
      <c r="E21" s="242">
        <f t="shared" si="0"/>
        <v>2718.9</v>
      </c>
      <c r="F21" s="242">
        <f t="shared" si="1"/>
        <v>2718.9</v>
      </c>
      <c r="G21" s="242">
        <f t="shared" si="3"/>
        <v>77298.952794014389</v>
      </c>
      <c r="H21" s="242">
        <f t="shared" si="4"/>
        <v>524.55974244859112</v>
      </c>
      <c r="I21" s="242">
        <f t="shared" si="5"/>
        <v>2856.1943646875716</v>
      </c>
      <c r="K21" s="447"/>
    </row>
    <row r="22" spans="1:11">
      <c r="A22" s="230">
        <f t="shared" si="2"/>
        <v>8</v>
      </c>
      <c r="B22" s="231">
        <v>36831</v>
      </c>
      <c r="C22" s="272">
        <f>HLOOKUP(Assumptions!$H$12,IDC!$H$40:$L$56,2+F49)</f>
        <v>0.08</v>
      </c>
      <c r="D22" s="241">
        <v>0</v>
      </c>
      <c r="E22" s="242">
        <f t="shared" si="0"/>
        <v>2175.12</v>
      </c>
      <c r="F22" s="242">
        <f t="shared" si="1"/>
        <v>2175.12</v>
      </c>
      <c r="G22" s="242">
        <f t="shared" si="3"/>
        <v>80039.858184603901</v>
      </c>
      <c r="H22" s="242">
        <f t="shared" si="4"/>
        <v>565.78539058952197</v>
      </c>
      <c r="I22" s="242">
        <f t="shared" si="5"/>
        <v>3421.9797552770933</v>
      </c>
      <c r="K22" s="447"/>
    </row>
    <row r="23" spans="1:11">
      <c r="A23" s="230">
        <f t="shared" si="2"/>
        <v>9</v>
      </c>
      <c r="B23" s="231">
        <v>36861</v>
      </c>
      <c r="C23" s="272">
        <f>HLOOKUP(Assumptions!$H$12,IDC!$H$40:$L$56,2+F50)</f>
        <v>0.06</v>
      </c>
      <c r="D23" s="241">
        <v>0</v>
      </c>
      <c r="E23" s="242">
        <f t="shared" si="0"/>
        <v>1631.34</v>
      </c>
      <c r="F23" s="242">
        <f t="shared" si="1"/>
        <v>1631.34</v>
      </c>
      <c r="G23" s="242">
        <f t="shared" si="3"/>
        <v>82238.147180078173</v>
      </c>
      <c r="H23" s="242">
        <f t="shared" si="4"/>
        <v>566.94899547427758</v>
      </c>
      <c r="I23" s="242">
        <f t="shared" si="5"/>
        <v>3988.9287507513709</v>
      </c>
      <c r="K23" s="447"/>
    </row>
    <row r="24" spans="1:11">
      <c r="A24" s="230">
        <f t="shared" si="2"/>
        <v>10</v>
      </c>
      <c r="B24" s="231">
        <v>36892</v>
      </c>
      <c r="C24" s="272">
        <f>HLOOKUP(Assumptions!$H$12,IDC!$H$40:$L$56,2+F51)</f>
        <v>0.06</v>
      </c>
      <c r="D24" s="241">
        <v>0</v>
      </c>
      <c r="E24" s="242">
        <f t="shared" si="0"/>
        <v>1631.34</v>
      </c>
      <c r="F24" s="242">
        <f t="shared" si="1"/>
        <v>1631.34</v>
      </c>
      <c r="G24" s="242">
        <f t="shared" si="3"/>
        <v>84471.4247295768</v>
      </c>
      <c r="H24" s="242">
        <f t="shared" si="4"/>
        <v>601.93754949862773</v>
      </c>
      <c r="I24" s="242">
        <f t="shared" si="5"/>
        <v>4590.8663002499989</v>
      </c>
      <c r="K24" s="447"/>
    </row>
    <row r="25" spans="1:11">
      <c r="A25" s="230">
        <f t="shared" si="2"/>
        <v>11</v>
      </c>
      <c r="B25" s="231">
        <v>36923</v>
      </c>
      <c r="C25" s="272">
        <f>HLOOKUP(Assumptions!$H$12,IDC!$H$40:$L$56,2+F52)</f>
        <v>0.03</v>
      </c>
      <c r="D25" s="241">
        <v>0</v>
      </c>
      <c r="E25" s="242">
        <f t="shared" si="0"/>
        <v>815.67</v>
      </c>
      <c r="F25" s="242">
        <f t="shared" si="1"/>
        <v>815.67</v>
      </c>
      <c r="G25" s="242">
        <f t="shared" si="3"/>
        <v>85287.094729576798</v>
      </c>
      <c r="H25" s="242">
        <f t="shared" si="4"/>
        <v>0</v>
      </c>
      <c r="I25" s="242">
        <f t="shared" si="5"/>
        <v>4590.8663002499989</v>
      </c>
      <c r="K25" s="447"/>
    </row>
    <row r="26" spans="1:11">
      <c r="A26" s="230">
        <f t="shared" si="2"/>
        <v>12</v>
      </c>
      <c r="B26" s="231">
        <v>36951</v>
      </c>
      <c r="C26" s="272">
        <f>HLOOKUP(Assumptions!$H$12,IDC!$H$40:$L$56,2+F53)</f>
        <v>0.04</v>
      </c>
      <c r="D26" s="241">
        <v>0</v>
      </c>
      <c r="E26" s="242">
        <f t="shared" si="0"/>
        <v>1087.56</v>
      </c>
      <c r="F26" s="242">
        <f t="shared" si="1"/>
        <v>1087.56</v>
      </c>
      <c r="G26" s="242">
        <f t="shared" si="3"/>
        <v>86374.654729576796</v>
      </c>
      <c r="H26" s="242">
        <f t="shared" si="4"/>
        <v>0</v>
      </c>
      <c r="I26" s="242">
        <f t="shared" si="5"/>
        <v>4590.8663002499989</v>
      </c>
      <c r="K26" s="447"/>
    </row>
    <row r="27" spans="1:11">
      <c r="A27" s="230">
        <f t="shared" si="2"/>
        <v>13</v>
      </c>
      <c r="B27" s="231">
        <v>36982</v>
      </c>
      <c r="C27" s="272">
        <f>HLOOKUP(Assumptions!$H$12,IDC!$H$40:$L$56,2+F54)</f>
        <v>0.04</v>
      </c>
      <c r="D27" s="241">
        <v>0</v>
      </c>
      <c r="E27" s="242">
        <f t="shared" si="0"/>
        <v>1087.56</v>
      </c>
      <c r="F27" s="242">
        <f t="shared" si="1"/>
        <v>1087.56</v>
      </c>
      <c r="G27" s="242">
        <f t="shared" si="3"/>
        <v>87462.214729576794</v>
      </c>
      <c r="H27" s="242">
        <f t="shared" si="4"/>
        <v>0</v>
      </c>
      <c r="I27" s="242">
        <f t="shared" si="5"/>
        <v>4590.8663002499989</v>
      </c>
      <c r="K27" s="447"/>
    </row>
    <row r="28" spans="1:11">
      <c r="A28" s="230">
        <f t="shared" si="2"/>
        <v>14</v>
      </c>
      <c r="B28" s="231">
        <v>37012</v>
      </c>
      <c r="C28" s="272">
        <f>HLOOKUP(Assumptions!$H$12,IDC!$H$40:$L$56,2+F55)</f>
        <v>0.05</v>
      </c>
      <c r="D28" s="241">
        <v>0</v>
      </c>
      <c r="E28" s="242">
        <f t="shared" si="0"/>
        <v>1359.45</v>
      </c>
      <c r="F28" s="242">
        <f t="shared" si="1"/>
        <v>1359.45</v>
      </c>
      <c r="G28" s="242">
        <f t="shared" si="3"/>
        <v>88821.664729576791</v>
      </c>
      <c r="H28" s="242">
        <f t="shared" si="4"/>
        <v>0</v>
      </c>
      <c r="I28" s="242">
        <f t="shared" si="5"/>
        <v>4590.8663002499989</v>
      </c>
      <c r="K28" s="447"/>
    </row>
    <row r="29" spans="1:11">
      <c r="A29" s="230">
        <f t="shared" si="2"/>
        <v>15</v>
      </c>
      <c r="B29" s="231">
        <v>37043</v>
      </c>
      <c r="C29" s="272">
        <f>HLOOKUP(Assumptions!$H$12,IDC!$H$40:$L$56,2+F56)</f>
        <v>0</v>
      </c>
      <c r="D29" s="241">
        <v>0</v>
      </c>
      <c r="E29" s="242">
        <f t="shared" si="0"/>
        <v>0</v>
      </c>
      <c r="F29" s="242">
        <f t="shared" si="1"/>
        <v>0</v>
      </c>
      <c r="G29" s="242">
        <f t="shared" si="3"/>
        <v>88821.664729576791</v>
      </c>
      <c r="H29" s="242">
        <f t="shared" si="4"/>
        <v>0</v>
      </c>
      <c r="I29" s="242">
        <f t="shared" si="5"/>
        <v>4590.8663002499989</v>
      </c>
      <c r="K29" s="447"/>
    </row>
    <row r="30" spans="1:11">
      <c r="A30" s="230">
        <f t="shared" si="2"/>
        <v>16</v>
      </c>
      <c r="B30" s="231">
        <v>37073</v>
      </c>
      <c r="C30" s="272">
        <v>0</v>
      </c>
      <c r="D30" s="241">
        <v>0</v>
      </c>
      <c r="E30" s="242">
        <f t="shared" si="0"/>
        <v>0</v>
      </c>
      <c r="F30" s="242">
        <f t="shared" si="1"/>
        <v>0</v>
      </c>
      <c r="G30" s="242">
        <f t="shared" si="3"/>
        <v>88821.664729576791</v>
      </c>
      <c r="H30" s="242">
        <f t="shared" si="4"/>
        <v>0</v>
      </c>
      <c r="I30" s="242">
        <f t="shared" si="5"/>
        <v>4590.8663002499989</v>
      </c>
      <c r="K30" s="447"/>
    </row>
    <row r="31" spans="1:11">
      <c r="A31" s="230">
        <f t="shared" si="2"/>
        <v>17</v>
      </c>
      <c r="B31" s="231">
        <v>37104</v>
      </c>
      <c r="C31" s="272">
        <v>0</v>
      </c>
      <c r="D31" s="241">
        <v>0</v>
      </c>
      <c r="E31" s="242">
        <f t="shared" si="0"/>
        <v>0</v>
      </c>
      <c r="F31" s="242">
        <f t="shared" si="1"/>
        <v>0</v>
      </c>
      <c r="G31" s="242">
        <f t="shared" si="3"/>
        <v>88821.664729576791</v>
      </c>
      <c r="H31" s="242">
        <f t="shared" si="4"/>
        <v>0</v>
      </c>
      <c r="I31" s="242">
        <f t="shared" si="5"/>
        <v>4590.8663002499989</v>
      </c>
      <c r="K31" s="447"/>
    </row>
    <row r="32" spans="1:11">
      <c r="A32" s="230">
        <f t="shared" si="2"/>
        <v>18</v>
      </c>
      <c r="B32" s="231">
        <v>37135</v>
      </c>
      <c r="C32" s="272">
        <v>0</v>
      </c>
      <c r="D32" s="241">
        <v>0</v>
      </c>
      <c r="E32" s="242">
        <f t="shared" si="0"/>
        <v>0</v>
      </c>
      <c r="F32" s="242">
        <f t="shared" si="1"/>
        <v>0</v>
      </c>
      <c r="G32" s="242">
        <f t="shared" si="3"/>
        <v>88821.664729576791</v>
      </c>
      <c r="H32" s="242">
        <f t="shared" si="4"/>
        <v>0</v>
      </c>
      <c r="I32" s="242">
        <f t="shared" si="5"/>
        <v>4590.8663002499989</v>
      </c>
      <c r="K32" s="447"/>
    </row>
    <row r="33" spans="1:12">
      <c r="A33" s="230">
        <f t="shared" si="2"/>
        <v>19</v>
      </c>
      <c r="B33" s="231">
        <v>37165</v>
      </c>
      <c r="C33" s="446">
        <v>0</v>
      </c>
      <c r="D33" s="246">
        <v>0</v>
      </c>
      <c r="E33" s="247">
        <f t="shared" si="0"/>
        <v>0</v>
      </c>
      <c r="F33" s="247">
        <f t="shared" si="1"/>
        <v>0</v>
      </c>
      <c r="G33" s="247">
        <f t="shared" si="3"/>
        <v>88821.664729576791</v>
      </c>
      <c r="H33" s="247">
        <f t="shared" si="4"/>
        <v>0</v>
      </c>
      <c r="I33" s="247">
        <f t="shared" si="5"/>
        <v>4590.8663002499989</v>
      </c>
      <c r="K33" s="447"/>
    </row>
    <row r="34" spans="1:12">
      <c r="C34" s="235">
        <f>SUM(C15:C33)</f>
        <v>1.0000000000000002</v>
      </c>
      <c r="D34" s="243">
        <f>SUM(D15:D33)</f>
        <v>57041.798429326831</v>
      </c>
      <c r="E34" s="243">
        <f>SUM(E15:E33)</f>
        <v>27189.000000000004</v>
      </c>
      <c r="F34" s="243">
        <f>SUM(F15:F33)</f>
        <v>84230.798429326795</v>
      </c>
      <c r="G34" s="18"/>
      <c r="H34" s="243">
        <f>SUM(H15:H33)</f>
        <v>4590.8663002499989</v>
      </c>
      <c r="I34" s="243"/>
    </row>
    <row r="38" spans="1:12" ht="18.75">
      <c r="A38" s="61" t="s">
        <v>233</v>
      </c>
      <c r="B38" s="288"/>
      <c r="F38"/>
      <c r="G38"/>
      <c r="H38"/>
      <c r="I38"/>
      <c r="J38"/>
      <c r="K38"/>
      <c r="L38"/>
    </row>
    <row r="39" spans="1:12" ht="13.5" thickBot="1">
      <c r="F39" s="411" t="s">
        <v>435</v>
      </c>
    </row>
    <row r="40" spans="1:12">
      <c r="F40" s="429"/>
      <c r="G40" s="425" t="s">
        <v>343</v>
      </c>
      <c r="H40" s="425">
        <v>2</v>
      </c>
      <c r="I40" s="425">
        <v>3</v>
      </c>
      <c r="J40" s="425">
        <v>4</v>
      </c>
      <c r="K40" s="425">
        <v>5</v>
      </c>
      <c r="L40" s="426">
        <v>6</v>
      </c>
    </row>
    <row r="41" spans="1:12" ht="13.5" thickBot="1">
      <c r="A41" s="232" t="s">
        <v>344</v>
      </c>
      <c r="B41" s="232" t="s">
        <v>346</v>
      </c>
      <c r="C41" s="232" t="s">
        <v>348</v>
      </c>
      <c r="D41" s="232" t="s">
        <v>232</v>
      </c>
      <c r="F41" s="430" t="s">
        <v>187</v>
      </c>
      <c r="G41" s="427" t="s">
        <v>353</v>
      </c>
      <c r="H41" s="427">
        <v>13</v>
      </c>
      <c r="I41" s="427">
        <v>13.5</v>
      </c>
      <c r="J41" s="427">
        <v>14</v>
      </c>
      <c r="K41" s="427">
        <v>14.5</v>
      </c>
      <c r="L41" s="428">
        <v>15</v>
      </c>
    </row>
    <row r="42" spans="1:12" ht="13.5" thickBot="1">
      <c r="A42" s="232" t="s">
        <v>345</v>
      </c>
      <c r="B42" s="232" t="s">
        <v>347</v>
      </c>
      <c r="C42" s="232" t="s">
        <v>349</v>
      </c>
      <c r="D42" s="232" t="s">
        <v>350</v>
      </c>
      <c r="F42" s="431">
        <v>1</v>
      </c>
      <c r="G42" s="417"/>
      <c r="H42" s="529">
        <v>0.1</v>
      </c>
      <c r="I42" s="529">
        <v>0.1</v>
      </c>
      <c r="J42" s="418">
        <v>0.1</v>
      </c>
      <c r="K42" s="418">
        <v>0.1</v>
      </c>
      <c r="L42" s="419">
        <v>0.1</v>
      </c>
    </row>
    <row r="43" spans="1:12">
      <c r="A43" s="435" t="s">
        <v>231</v>
      </c>
      <c r="B43" s="436">
        <v>3</v>
      </c>
      <c r="C43" s="437">
        <v>36737</v>
      </c>
      <c r="D43" s="438">
        <v>36829</v>
      </c>
      <c r="F43" s="432">
        <v>2</v>
      </c>
      <c r="G43" s="181"/>
      <c r="H43" s="530">
        <v>0.04</v>
      </c>
      <c r="I43" s="530">
        <v>0.04</v>
      </c>
      <c r="J43" s="420">
        <v>0.04</v>
      </c>
      <c r="K43" s="420">
        <v>0.04</v>
      </c>
      <c r="L43" s="421">
        <v>0.04</v>
      </c>
    </row>
    <row r="44" spans="1:12">
      <c r="A44" s="439" t="s">
        <v>230</v>
      </c>
      <c r="B44" s="433">
        <v>3</v>
      </c>
      <c r="C44" s="434">
        <v>36768</v>
      </c>
      <c r="D44" s="440">
        <v>36829</v>
      </c>
      <c r="F44" s="432">
        <v>3</v>
      </c>
      <c r="G44" s="181"/>
      <c r="H44" s="530">
        <v>0.08</v>
      </c>
      <c r="I44" s="530">
        <v>0.08</v>
      </c>
      <c r="J44" s="420">
        <v>0.08</v>
      </c>
      <c r="K44" s="420">
        <v>0.08</v>
      </c>
      <c r="L44" s="421">
        <v>0.08</v>
      </c>
    </row>
    <row r="45" spans="1:12">
      <c r="A45" s="439" t="s">
        <v>229</v>
      </c>
      <c r="B45" s="433">
        <v>2</v>
      </c>
      <c r="C45" s="434">
        <v>36799</v>
      </c>
      <c r="D45" s="440">
        <v>36829</v>
      </c>
      <c r="F45" s="432">
        <v>4</v>
      </c>
      <c r="G45" s="181"/>
      <c r="H45" s="530">
        <v>0.12</v>
      </c>
      <c r="I45" s="530">
        <v>0.12</v>
      </c>
      <c r="J45" s="420">
        <v>0.1</v>
      </c>
      <c r="K45" s="420">
        <v>0.1</v>
      </c>
      <c r="L45" s="421">
        <v>0.1</v>
      </c>
    </row>
    <row r="46" spans="1:12">
      <c r="A46" s="439" t="s">
        <v>228</v>
      </c>
      <c r="B46" s="433">
        <v>3</v>
      </c>
      <c r="C46" s="434">
        <v>36829</v>
      </c>
      <c r="D46" s="440">
        <v>36829</v>
      </c>
      <c r="F46" s="432">
        <v>5</v>
      </c>
      <c r="G46" s="181"/>
      <c r="H46" s="530">
        <v>0.12</v>
      </c>
      <c r="I46" s="530">
        <v>0.12</v>
      </c>
      <c r="J46" s="420">
        <v>0.11</v>
      </c>
      <c r="K46" s="420">
        <v>0.11</v>
      </c>
      <c r="L46" s="421">
        <v>0.1</v>
      </c>
    </row>
    <row r="47" spans="1:12">
      <c r="A47" s="439" t="s">
        <v>227</v>
      </c>
      <c r="B47" s="433">
        <v>2</v>
      </c>
      <c r="C47" s="434">
        <v>36860</v>
      </c>
      <c r="D47" s="440">
        <v>36860</v>
      </c>
      <c r="F47" s="432">
        <v>6</v>
      </c>
      <c r="G47" s="181"/>
      <c r="H47" s="530">
        <v>0.12</v>
      </c>
      <c r="I47" s="530">
        <v>0.12</v>
      </c>
      <c r="J47" s="420">
        <v>0.11</v>
      </c>
      <c r="K47" s="420">
        <v>0.11</v>
      </c>
      <c r="L47" s="421">
        <v>0.1</v>
      </c>
    </row>
    <row r="48" spans="1:12">
      <c r="A48" s="441" t="s">
        <v>226</v>
      </c>
      <c r="B48" s="433">
        <v>2</v>
      </c>
      <c r="C48" s="434">
        <v>36890</v>
      </c>
      <c r="D48" s="440">
        <v>36890</v>
      </c>
      <c r="F48" s="432">
        <v>7</v>
      </c>
      <c r="G48" s="181"/>
      <c r="H48" s="530">
        <v>0.1</v>
      </c>
      <c r="I48" s="530">
        <v>0.1</v>
      </c>
      <c r="J48" s="420">
        <v>0.1</v>
      </c>
      <c r="K48" s="420">
        <v>0.1</v>
      </c>
      <c r="L48" s="421">
        <v>0.08</v>
      </c>
    </row>
    <row r="49" spans="1:12">
      <c r="A49" s="441" t="s">
        <v>225</v>
      </c>
      <c r="B49" s="433">
        <v>3</v>
      </c>
      <c r="C49" s="434">
        <v>36555</v>
      </c>
      <c r="D49" s="440">
        <v>36555</v>
      </c>
      <c r="F49" s="432">
        <v>8</v>
      </c>
      <c r="G49" s="181"/>
      <c r="H49" s="530">
        <v>0.08</v>
      </c>
      <c r="I49" s="530">
        <v>0.08</v>
      </c>
      <c r="J49" s="420">
        <v>0.08</v>
      </c>
      <c r="K49" s="420">
        <v>0.08</v>
      </c>
      <c r="L49" s="421">
        <v>0.08</v>
      </c>
    </row>
    <row r="50" spans="1:12">
      <c r="A50" s="441" t="s">
        <v>224</v>
      </c>
      <c r="B50" s="433">
        <v>2</v>
      </c>
      <c r="C50" s="434">
        <v>36950</v>
      </c>
      <c r="D50" s="440">
        <v>36950</v>
      </c>
      <c r="F50" s="432">
        <v>9</v>
      </c>
      <c r="G50" s="181"/>
      <c r="H50" s="530">
        <v>0.06</v>
      </c>
      <c r="I50" s="530">
        <v>0.06</v>
      </c>
      <c r="J50" s="420">
        <v>0.06</v>
      </c>
      <c r="K50" s="420">
        <v>0.06</v>
      </c>
      <c r="L50" s="421">
        <v>0.06</v>
      </c>
    </row>
    <row r="51" spans="1:12">
      <c r="A51" s="441" t="s">
        <v>223</v>
      </c>
      <c r="B51" s="433">
        <v>2</v>
      </c>
      <c r="C51" s="434">
        <v>36980</v>
      </c>
      <c r="D51" s="440">
        <v>36980</v>
      </c>
      <c r="F51" s="432">
        <v>10</v>
      </c>
      <c r="G51" s="181"/>
      <c r="H51" s="530">
        <v>0.06</v>
      </c>
      <c r="I51" s="530">
        <v>0.06</v>
      </c>
      <c r="J51" s="420">
        <v>0.06</v>
      </c>
      <c r="K51" s="420">
        <v>0.06</v>
      </c>
      <c r="L51" s="421">
        <v>0.06</v>
      </c>
    </row>
    <row r="52" spans="1:12" ht="13.5" thickBot="1">
      <c r="A52" s="442" t="s">
        <v>222</v>
      </c>
      <c r="B52" s="443">
        <v>2</v>
      </c>
      <c r="C52" s="444">
        <v>37011</v>
      </c>
      <c r="D52" s="445">
        <v>37011</v>
      </c>
      <c r="F52" s="432">
        <v>11</v>
      </c>
      <c r="G52" s="181"/>
      <c r="H52" s="530">
        <v>0.03</v>
      </c>
      <c r="I52" s="530">
        <v>0.03</v>
      </c>
      <c r="J52" s="420">
        <v>0.03</v>
      </c>
      <c r="K52" s="420">
        <v>0.03</v>
      </c>
      <c r="L52" s="421">
        <v>0.03</v>
      </c>
    </row>
    <row r="53" spans="1:12">
      <c r="F53" s="432">
        <v>12</v>
      </c>
      <c r="G53" s="181"/>
      <c r="H53" s="530">
        <v>0.04</v>
      </c>
      <c r="I53" s="530">
        <v>0.04</v>
      </c>
      <c r="J53" s="420">
        <v>0.04</v>
      </c>
      <c r="K53" s="420">
        <v>0.04</v>
      </c>
      <c r="L53" s="421">
        <v>0.04</v>
      </c>
    </row>
    <row r="54" spans="1:12" ht="13.5" thickBot="1">
      <c r="F54" s="432">
        <v>13</v>
      </c>
      <c r="G54" s="181"/>
      <c r="H54" s="530">
        <v>0.05</v>
      </c>
      <c r="I54" s="530">
        <v>0.05</v>
      </c>
      <c r="J54" s="420">
        <v>0.04</v>
      </c>
      <c r="K54" s="420">
        <v>0.04</v>
      </c>
      <c r="L54" s="421">
        <v>0.04</v>
      </c>
    </row>
    <row r="55" spans="1:12">
      <c r="A55" s="292" t="s">
        <v>351</v>
      </c>
      <c r="B55" s="38"/>
      <c r="C55" s="38"/>
      <c r="D55" s="289"/>
      <c r="F55" s="432">
        <v>14</v>
      </c>
      <c r="G55" s="181"/>
      <c r="H55" s="420">
        <v>0</v>
      </c>
      <c r="I55" s="420">
        <v>0</v>
      </c>
      <c r="J55" s="420">
        <v>0.05</v>
      </c>
      <c r="K55" s="420">
        <v>0.05</v>
      </c>
      <c r="L55" s="421">
        <v>0.04</v>
      </c>
    </row>
    <row r="56" spans="1:12" ht="13.5" thickBot="1">
      <c r="A56" s="41" t="s">
        <v>235</v>
      </c>
      <c r="B56" s="13"/>
      <c r="C56" s="13"/>
      <c r="D56" s="290">
        <v>13950</v>
      </c>
      <c r="F56" s="477">
        <v>15</v>
      </c>
      <c r="G56" s="422"/>
      <c r="H56" s="423">
        <v>0</v>
      </c>
      <c r="I56" s="423">
        <v>0</v>
      </c>
      <c r="J56" s="423">
        <v>0</v>
      </c>
      <c r="K56" s="423">
        <v>0</v>
      </c>
      <c r="L56" s="424">
        <v>0.05</v>
      </c>
    </row>
    <row r="57" spans="1:12" ht="13.5" thickBot="1">
      <c r="A57" s="41" t="s">
        <v>236</v>
      </c>
      <c r="B57" s="13"/>
      <c r="C57" s="13"/>
      <c r="D57" s="290">
        <v>289.6162739983738</v>
      </c>
      <c r="F57" s="448" t="s">
        <v>354</v>
      </c>
      <c r="G57" s="422"/>
      <c r="H57" s="423">
        <f>SUM(H42:H56)</f>
        <v>1.0000000000000002</v>
      </c>
      <c r="I57" s="423">
        <f>SUM(I42:I56)</f>
        <v>1.0000000000000002</v>
      </c>
      <c r="J57" s="423">
        <f>SUM(J42:J56)</f>
        <v>1.0000000000000002</v>
      </c>
      <c r="K57" s="423">
        <f>SUM(K42:K56)</f>
        <v>1.0000000000000002</v>
      </c>
      <c r="L57" s="424">
        <f>SUM(L42:L56)</f>
        <v>1.0000000000000002</v>
      </c>
    </row>
    <row r="58" spans="1:12" ht="13.5" thickBot="1">
      <c r="A58" s="173" t="s">
        <v>234</v>
      </c>
      <c r="B58" s="42"/>
      <c r="C58" s="42"/>
      <c r="D58" s="291">
        <v>20.833333333333314</v>
      </c>
      <c r="E58" s="66"/>
    </row>
    <row r="59" spans="1:12" ht="13.5" thickBot="1">
      <c r="A59" s="293" t="s">
        <v>352</v>
      </c>
      <c r="B59" s="294"/>
      <c r="C59" s="294"/>
      <c r="D59" s="295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2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Calpine</v>
      </c>
    </row>
    <row r="4" spans="1:4" ht="18.75">
      <c r="A4" s="171" t="s">
        <v>126</v>
      </c>
    </row>
    <row r="6" spans="1:4" ht="13.5" thickBot="1"/>
    <row r="7" spans="1:4" ht="13.5" thickBot="1">
      <c r="A7" s="527"/>
      <c r="B7" s="483" t="s">
        <v>417</v>
      </c>
      <c r="C7" s="484" t="s">
        <v>0</v>
      </c>
      <c r="D7" s="485"/>
    </row>
    <row r="8" spans="1:4">
      <c r="A8" s="486"/>
      <c r="B8" s="298" t="s">
        <v>128</v>
      </c>
      <c r="C8" s="298" t="s">
        <v>2</v>
      </c>
      <c r="D8" s="487" t="s">
        <v>424</v>
      </c>
    </row>
    <row r="9" spans="1:4" ht="13.5" thickBot="1">
      <c r="A9" s="488" t="s">
        <v>125</v>
      </c>
      <c r="B9" s="489">
        <f>'Returns Analysis'!C39</f>
        <v>7.6020619273185736E-2</v>
      </c>
      <c r="C9" s="490">
        <f>Debt!E69</f>
        <v>1.2999999999999963</v>
      </c>
      <c r="D9" s="491">
        <f>Debt!E68</f>
        <v>1.3000000000000005</v>
      </c>
    </row>
    <row r="10" spans="1:4">
      <c r="A10" s="63"/>
      <c r="C10" s="492"/>
      <c r="D10" s="492"/>
    </row>
    <row r="11" spans="1:4" ht="13.5" thickBot="1"/>
    <row r="12" spans="1:4">
      <c r="A12" s="493" t="s">
        <v>382</v>
      </c>
      <c r="B12" s="494">
        <f>B9</f>
        <v>7.6020619273185736E-2</v>
      </c>
      <c r="C12" s="495">
        <f>C9</f>
        <v>1.2999999999999963</v>
      </c>
      <c r="D12" s="496">
        <f>D9</f>
        <v>1.3000000000000005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3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F2" zoomScale="75" zoomScaleNormal="75" workbookViewId="0">
      <selection activeCell="H14" sqref="H14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8" t="s">
        <v>84</v>
      </c>
      <c r="I1" s="80"/>
      <c r="AL1" s="80"/>
    </row>
    <row r="2" spans="1:38" ht="13.5" customHeight="1">
      <c r="A2" s="248"/>
      <c r="I2" s="80"/>
      <c r="AL2" s="80"/>
    </row>
    <row r="3" spans="1:38" ht="19.5" customHeight="1">
      <c r="A3" s="180" t="s">
        <v>436</v>
      </c>
      <c r="I3" s="80"/>
      <c r="AL3" s="80"/>
    </row>
    <row r="4" spans="1:38" s="5" customFormat="1" ht="19.5" customHeight="1">
      <c r="A4" s="249"/>
      <c r="I4" s="178"/>
      <c r="AL4" s="178"/>
    </row>
    <row r="5" spans="1:38" ht="19.5" customHeight="1">
      <c r="A5" s="171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6"/>
      <c r="E8" s="13"/>
      <c r="F8" s="94" t="s">
        <v>92</v>
      </c>
      <c r="G8" s="114"/>
      <c r="H8" s="115"/>
      <c r="I8" s="203"/>
      <c r="J8" s="39"/>
      <c r="L8" s="95" t="s">
        <v>208</v>
      </c>
      <c r="M8" s="120"/>
      <c r="N8" s="38"/>
      <c r="O8" s="38"/>
      <c r="P8" s="39"/>
      <c r="U8" s="342" t="s">
        <v>241</v>
      </c>
      <c r="V8" s="343" t="s">
        <v>246</v>
      </c>
      <c r="W8" s="343" t="s">
        <v>250</v>
      </c>
      <c r="X8" s="343" t="s">
        <v>127</v>
      </c>
      <c r="Y8" s="343" t="s">
        <v>266</v>
      </c>
      <c r="Z8" s="343" t="s">
        <v>267</v>
      </c>
      <c r="AA8" s="343" t="s">
        <v>268</v>
      </c>
      <c r="AB8" s="365" t="s">
        <v>327</v>
      </c>
    </row>
    <row r="9" spans="1:38" ht="15.75">
      <c r="A9" s="41"/>
      <c r="B9" s="13"/>
      <c r="C9" s="13"/>
      <c r="D9" s="40"/>
      <c r="E9" s="13"/>
      <c r="F9" s="117"/>
      <c r="G9" s="177"/>
      <c r="H9" s="177"/>
      <c r="I9" s="13"/>
      <c r="J9" s="40"/>
      <c r="L9" s="119" t="s">
        <v>315</v>
      </c>
      <c r="M9" s="13"/>
      <c r="N9" s="13"/>
      <c r="O9" s="13"/>
      <c r="P9" s="40"/>
      <c r="U9" s="332" t="s">
        <v>245</v>
      </c>
      <c r="V9" s="333" t="s">
        <v>247</v>
      </c>
      <c r="W9" s="333" t="s">
        <v>321</v>
      </c>
      <c r="X9" s="333" t="s">
        <v>262</v>
      </c>
      <c r="Y9" s="333" t="s">
        <v>271</v>
      </c>
      <c r="Z9" s="333" t="s">
        <v>269</v>
      </c>
      <c r="AA9" s="333" t="s">
        <v>269</v>
      </c>
      <c r="AB9" s="366" t="s">
        <v>330</v>
      </c>
    </row>
    <row r="10" spans="1:38" ht="15.75">
      <c r="A10" s="96" t="s">
        <v>6</v>
      </c>
      <c r="B10" s="97" t="s">
        <v>7</v>
      </c>
      <c r="C10" s="196" t="s">
        <v>8</v>
      </c>
      <c r="D10" s="351" t="s">
        <v>203</v>
      </c>
      <c r="E10" s="13"/>
      <c r="F10" s="117" t="s">
        <v>106</v>
      </c>
      <c r="G10" s="13"/>
      <c r="H10" s="222" t="s">
        <v>120</v>
      </c>
      <c r="I10" s="13"/>
      <c r="J10" s="40"/>
      <c r="L10" s="41"/>
      <c r="M10" s="13"/>
      <c r="N10" s="13"/>
      <c r="O10" s="13"/>
      <c r="P10" s="40"/>
      <c r="U10" s="296" t="s">
        <v>242</v>
      </c>
      <c r="V10" s="208" t="s">
        <v>248</v>
      </c>
      <c r="W10" s="208" t="s">
        <v>322</v>
      </c>
      <c r="X10" s="208" t="s">
        <v>260</v>
      </c>
      <c r="Y10" s="208" t="s">
        <v>336</v>
      </c>
      <c r="Z10" s="208" t="s">
        <v>270</v>
      </c>
      <c r="AA10" s="208" t="s">
        <v>270</v>
      </c>
      <c r="AB10" s="367" t="s">
        <v>328</v>
      </c>
    </row>
    <row r="11" spans="1:38" ht="15.75">
      <c r="A11" s="99" t="s">
        <v>9</v>
      </c>
      <c r="B11" s="273">
        <f>C11/C14</f>
        <v>0.27603051645145449</v>
      </c>
      <c r="C11" s="197">
        <f>C58-C12</f>
        <v>29222.982201330975</v>
      </c>
      <c r="D11" s="352">
        <f>C11/$H$68</f>
        <v>153.80516948068933</v>
      </c>
      <c r="E11" s="13"/>
      <c r="F11" s="117" t="s">
        <v>220</v>
      </c>
      <c r="G11" s="13"/>
      <c r="H11" s="287">
        <v>14260.449607331708</v>
      </c>
      <c r="I11" s="13"/>
      <c r="J11" s="40"/>
      <c r="L11" s="119" t="s">
        <v>133</v>
      </c>
      <c r="M11" s="13"/>
      <c r="N11" s="264">
        <v>0.03</v>
      </c>
      <c r="O11" s="224"/>
      <c r="P11" s="40"/>
      <c r="U11" s="296" t="s">
        <v>39</v>
      </c>
      <c r="V11" s="208" t="s">
        <v>245</v>
      </c>
      <c r="W11" s="208"/>
      <c r="X11" s="208" t="s">
        <v>323</v>
      </c>
      <c r="Y11" s="208"/>
      <c r="Z11" s="208"/>
      <c r="AA11" s="208"/>
      <c r="AB11" s="367" t="s">
        <v>329</v>
      </c>
    </row>
    <row r="12" spans="1:38" ht="15.75">
      <c r="A12" s="99" t="s">
        <v>87</v>
      </c>
      <c r="B12" s="152">
        <f>C12/C14</f>
        <v>0.72396948354854551</v>
      </c>
      <c r="C12" s="197">
        <f>Debt!B19</f>
        <v>76645.682528245845</v>
      </c>
      <c r="D12" s="352">
        <f>C12/$H$68</f>
        <v>403.39832909603075</v>
      </c>
      <c r="E12" s="13"/>
      <c r="F12" s="117" t="s">
        <v>11</v>
      </c>
      <c r="G12" s="177"/>
      <c r="H12" s="254">
        <v>4</v>
      </c>
      <c r="I12" s="111"/>
      <c r="J12" s="40"/>
      <c r="L12" s="102"/>
      <c r="M12" s="13"/>
      <c r="N12" s="13"/>
      <c r="O12" s="224"/>
      <c r="P12" s="40"/>
      <c r="U12" s="344"/>
      <c r="V12" s="208" t="s">
        <v>39</v>
      </c>
      <c r="W12" s="13"/>
      <c r="X12" s="208" t="s">
        <v>265</v>
      </c>
      <c r="Y12" s="13"/>
      <c r="Z12" s="13"/>
      <c r="AA12" s="13"/>
      <c r="AB12" s="338"/>
    </row>
    <row r="13" spans="1:38" ht="15.75">
      <c r="A13" s="100"/>
      <c r="B13" s="250"/>
      <c r="C13" s="197"/>
      <c r="D13" s="352"/>
      <c r="E13" s="13"/>
      <c r="F13" s="117" t="s">
        <v>274</v>
      </c>
      <c r="G13" s="177"/>
      <c r="H13" s="255">
        <v>47.5</v>
      </c>
      <c r="I13" s="111"/>
      <c r="J13" s="40"/>
      <c r="L13" s="119" t="s">
        <v>89</v>
      </c>
      <c r="M13" s="13"/>
      <c r="N13" s="98"/>
      <c r="O13" s="224"/>
      <c r="P13" s="40"/>
      <c r="U13" s="332">
        <v>1</v>
      </c>
      <c r="V13" s="333">
        <v>1</v>
      </c>
      <c r="W13" s="333">
        <v>1</v>
      </c>
      <c r="X13" s="333">
        <v>1</v>
      </c>
      <c r="Y13" s="333">
        <v>2</v>
      </c>
      <c r="Z13" s="333">
        <v>1</v>
      </c>
      <c r="AA13" s="333">
        <f>IF(C28&gt;0,1,2)</f>
        <v>1</v>
      </c>
      <c r="AB13" s="366">
        <v>1</v>
      </c>
    </row>
    <row r="14" spans="1:38" ht="15.75">
      <c r="A14" s="101" t="s">
        <v>10</v>
      </c>
      <c r="B14" s="149">
        <f>C14/$C$14</f>
        <v>1</v>
      </c>
      <c r="C14" s="198">
        <f>SUM(C11:C12)</f>
        <v>105868.66472957682</v>
      </c>
      <c r="D14" s="458">
        <f>C14/$H$68</f>
        <v>557.20349857672011</v>
      </c>
      <c r="E14" s="13"/>
      <c r="F14" s="117" t="s">
        <v>385</v>
      </c>
      <c r="G14" s="177"/>
      <c r="H14" s="254">
        <v>10300</v>
      </c>
      <c r="I14" s="13"/>
      <c r="J14" s="40"/>
      <c r="L14" s="41"/>
      <c r="M14" s="13"/>
      <c r="N14" s="276" t="s">
        <v>205</v>
      </c>
      <c r="O14" s="207" t="s">
        <v>179</v>
      </c>
      <c r="P14" s="204" t="s">
        <v>432</v>
      </c>
      <c r="U14" s="297" t="str">
        <f>CHOOSE(U13,U9,U10,U11)</f>
        <v>Index</v>
      </c>
      <c r="V14" s="298" t="str">
        <f>CHOOSE(V13,V9,V10,V11,V12)</f>
        <v>Base</v>
      </c>
      <c r="W14" s="298" t="str">
        <f>CHOOSE(W13,W9,W10,W11,W12)</f>
        <v>Pass-through</v>
      </c>
      <c r="X14" s="298" t="str">
        <f>CHOOSE(X13,X9,X10,X11,X12)</f>
        <v>EBITDA Exit Multiple</v>
      </c>
      <c r="Y14" s="298">
        <f>IF(Y13=1,1,2)</f>
        <v>2</v>
      </c>
      <c r="Z14" s="298">
        <f>IF(C32&gt;0,10,20)</f>
        <v>10</v>
      </c>
      <c r="AA14" s="298" t="str">
        <f>CHOOSE(AA13,AA9,AA10,AA11,AA12)</f>
        <v>Yes</v>
      </c>
      <c r="AB14" s="334" t="str">
        <f>CHOOSE(AB13,AB9,AB10,AB11,AB12)</f>
        <v>Bank LT Debt</v>
      </c>
    </row>
    <row r="15" spans="1:38" ht="15.75">
      <c r="A15" s="41"/>
      <c r="B15" s="13"/>
      <c r="C15" s="13"/>
      <c r="D15" s="354"/>
      <c r="E15" s="13"/>
      <c r="F15" s="117" t="s">
        <v>386</v>
      </c>
      <c r="G15" s="177"/>
      <c r="H15" s="254">
        <v>10500</v>
      </c>
      <c r="I15" s="111"/>
      <c r="J15" s="40"/>
      <c r="L15" s="102" t="s">
        <v>206</v>
      </c>
      <c r="M15" s="13"/>
      <c r="N15" s="539">
        <v>0</v>
      </c>
      <c r="O15" s="225"/>
      <c r="P15" s="265">
        <v>0</v>
      </c>
    </row>
    <row r="16" spans="1:38" ht="15.75">
      <c r="A16" s="41"/>
      <c r="B16" s="13"/>
      <c r="C16" s="13"/>
      <c r="D16" s="354"/>
      <c r="E16" s="13"/>
      <c r="F16" s="117" t="s">
        <v>198</v>
      </c>
      <c r="G16" s="13"/>
      <c r="H16" s="223">
        <v>8</v>
      </c>
      <c r="I16" s="13"/>
      <c r="J16" s="40"/>
      <c r="L16" s="105" t="s">
        <v>254</v>
      </c>
      <c r="M16" s="13"/>
      <c r="N16" s="540">
        <v>0</v>
      </c>
      <c r="O16" s="301"/>
      <c r="P16" s="302">
        <v>0</v>
      </c>
      <c r="U16" s="336"/>
      <c r="V16" s="57" t="s">
        <v>275</v>
      </c>
      <c r="W16" s="337" t="s">
        <v>276</v>
      </c>
    </row>
    <row r="17" spans="1:23" ht="15.75">
      <c r="A17" s="96" t="s">
        <v>105</v>
      </c>
      <c r="B17" s="97"/>
      <c r="C17" s="199"/>
      <c r="D17" s="352"/>
      <c r="E17" s="13"/>
      <c r="F17" s="117" t="s">
        <v>108</v>
      </c>
      <c r="G17" s="177"/>
      <c r="H17" s="257">
        <v>37043</v>
      </c>
      <c r="I17" s="13"/>
      <c r="J17" s="40"/>
      <c r="L17" s="117" t="s">
        <v>251</v>
      </c>
      <c r="M17" s="6"/>
      <c r="N17" s="279">
        <f>SUM(N15:N16)</f>
        <v>0</v>
      </c>
      <c r="O17" s="226"/>
      <c r="P17" s="303">
        <f>SUM(P15:P16)</f>
        <v>0</v>
      </c>
      <c r="U17" s="55" t="s">
        <v>271</v>
      </c>
      <c r="V17" s="13">
        <v>11</v>
      </c>
      <c r="W17" s="338">
        <v>21</v>
      </c>
    </row>
    <row r="18" spans="1:23" ht="15.75">
      <c r="A18" s="187"/>
      <c r="B18" s="168"/>
      <c r="C18" s="13"/>
      <c r="D18" s="354"/>
      <c r="E18" s="13"/>
      <c r="F18" s="102" t="s">
        <v>136</v>
      </c>
      <c r="G18" s="98"/>
      <c r="H18" s="279">
        <f>13-MONTH(H17)</f>
        <v>7</v>
      </c>
      <c r="I18" s="111"/>
      <c r="J18" s="40"/>
      <c r="L18" s="41"/>
      <c r="M18" s="13"/>
      <c r="N18" s="13"/>
      <c r="O18" s="13"/>
      <c r="P18" s="40"/>
      <c r="U18" s="339" t="s">
        <v>272</v>
      </c>
      <c r="V18" s="58">
        <v>12</v>
      </c>
      <c r="W18" s="299">
        <v>22</v>
      </c>
    </row>
    <row r="19" spans="1:23" ht="15.75">
      <c r="A19" s="99" t="s">
        <v>426</v>
      </c>
      <c r="B19" s="13"/>
      <c r="C19" s="13"/>
      <c r="D19" s="354"/>
      <c r="E19" s="13"/>
      <c r="F19" s="117" t="s">
        <v>107</v>
      </c>
      <c r="G19" s="13"/>
      <c r="H19" s="254">
        <v>20</v>
      </c>
      <c r="I19" s="111"/>
      <c r="J19" s="40"/>
      <c r="L19" s="102" t="s">
        <v>207</v>
      </c>
      <c r="M19" s="13"/>
      <c r="N19" s="256">
        <v>652</v>
      </c>
      <c r="O19" s="275">
        <f t="shared" ref="O19:O25" si="0">N19/$H$68</f>
        <v>3.4315789473684211</v>
      </c>
      <c r="P19" s="40"/>
    </row>
    <row r="20" spans="1:23" ht="15.75">
      <c r="A20" s="102" t="s">
        <v>427</v>
      </c>
      <c r="B20" s="169">
        <f t="shared" ref="B20:B33" si="1">C20/$C$58</f>
        <v>0.53879775073228919</v>
      </c>
      <c r="C20" s="200">
        <f>H11*H12</f>
        <v>57041.798429326831</v>
      </c>
      <c r="D20" s="352">
        <f t="shared" ref="D20:D33" si="2">C20/$H$68</f>
        <v>300.21999173329908</v>
      </c>
      <c r="E20" s="13"/>
      <c r="F20" s="117" t="s">
        <v>308</v>
      </c>
      <c r="G20" s="13"/>
      <c r="H20" s="341" t="s">
        <v>309</v>
      </c>
      <c r="I20" s="111"/>
      <c r="J20" s="40"/>
      <c r="L20" s="102" t="s">
        <v>35</v>
      </c>
      <c r="M20" s="13"/>
      <c r="N20" s="256">
        <v>112</v>
      </c>
      <c r="O20" s="275">
        <f t="shared" si="0"/>
        <v>0.58947368421052626</v>
      </c>
      <c r="P20" s="40"/>
    </row>
    <row r="21" spans="1:23" ht="15.75">
      <c r="A21" s="102" t="s">
        <v>263</v>
      </c>
      <c r="B21" s="169">
        <f t="shared" si="1"/>
        <v>2.3425250581319136E-3</v>
      </c>
      <c r="C21" s="200">
        <f>62*H12</f>
        <v>248</v>
      </c>
      <c r="D21" s="352">
        <f t="shared" si="2"/>
        <v>1.3052631578947369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6">
        <v>180</v>
      </c>
      <c r="O21" s="275">
        <f t="shared" si="0"/>
        <v>0.94736842105263153</v>
      </c>
      <c r="P21" s="40"/>
    </row>
    <row r="22" spans="1:23" ht="15.75">
      <c r="A22" s="102" t="s">
        <v>181</v>
      </c>
      <c r="B22" s="169">
        <f t="shared" si="1"/>
        <v>0.25681820082882501</v>
      </c>
      <c r="C22" s="252">
        <v>27189</v>
      </c>
      <c r="D22" s="352">
        <f t="shared" si="2"/>
        <v>143.1</v>
      </c>
      <c r="E22" s="13"/>
      <c r="F22" s="116" t="s">
        <v>261</v>
      </c>
      <c r="G22" s="13"/>
      <c r="H22" s="331"/>
      <c r="I22" s="13"/>
      <c r="J22" s="40"/>
      <c r="L22" s="102" t="s">
        <v>358</v>
      </c>
      <c r="M22" s="13"/>
      <c r="N22" s="256">
        <v>0</v>
      </c>
      <c r="O22" s="275">
        <f t="shared" si="0"/>
        <v>0</v>
      </c>
      <c r="P22" s="40"/>
    </row>
    <row r="23" spans="1:23" ht="15.75">
      <c r="A23" s="102" t="s">
        <v>110</v>
      </c>
      <c r="B23" s="169">
        <f t="shared" si="1"/>
        <v>0</v>
      </c>
      <c r="C23" s="252">
        <v>0</v>
      </c>
      <c r="D23" s="352">
        <f t="shared" si="2"/>
        <v>0</v>
      </c>
      <c r="E23" s="13"/>
      <c r="F23" s="330" t="s">
        <v>262</v>
      </c>
      <c r="G23" s="177"/>
      <c r="H23" s="329">
        <v>5</v>
      </c>
      <c r="I23" s="363"/>
      <c r="J23" s="40"/>
      <c r="L23" s="102" t="s">
        <v>45</v>
      </c>
      <c r="M23" s="13"/>
      <c r="N23" s="256">
        <v>0</v>
      </c>
      <c r="O23" s="275">
        <f t="shared" si="0"/>
        <v>0</v>
      </c>
      <c r="P23" s="40"/>
    </row>
    <row r="24" spans="1:23" ht="15.75">
      <c r="A24" s="102" t="s">
        <v>111</v>
      </c>
      <c r="B24" s="169">
        <f t="shared" si="1"/>
        <v>1.0720830407176299E-2</v>
      </c>
      <c r="C24" s="252">
        <v>1135</v>
      </c>
      <c r="D24" s="352">
        <f t="shared" si="2"/>
        <v>5.9736842105263159</v>
      </c>
      <c r="E24" s="13"/>
      <c r="F24" s="330" t="s">
        <v>384</v>
      </c>
      <c r="G24" s="13"/>
      <c r="H24" s="362">
        <v>0.2</v>
      </c>
      <c r="I24" s="111"/>
      <c r="J24" s="40"/>
      <c r="L24" s="102" t="s">
        <v>37</v>
      </c>
      <c r="M24" s="13"/>
      <c r="N24" s="256">
        <v>0</v>
      </c>
      <c r="O24" s="275">
        <f t="shared" si="0"/>
        <v>0</v>
      </c>
      <c r="P24" s="40"/>
    </row>
    <row r="25" spans="1:23" ht="16.5" thickBot="1">
      <c r="A25" s="102" t="s">
        <v>112</v>
      </c>
      <c r="B25" s="169">
        <f t="shared" si="1"/>
        <v>4.5339194673520905E-2</v>
      </c>
      <c r="C25" s="252">
        <v>4800</v>
      </c>
      <c r="D25" s="352">
        <f t="shared" si="2"/>
        <v>25.263157894736842</v>
      </c>
      <c r="E25" s="13"/>
      <c r="F25" s="251" t="s">
        <v>203</v>
      </c>
      <c r="G25" s="42"/>
      <c r="H25" s="361">
        <v>200</v>
      </c>
      <c r="I25" s="42"/>
      <c r="J25" s="81"/>
      <c r="L25" s="105" t="s">
        <v>38</v>
      </c>
      <c r="M25" s="220"/>
      <c r="N25" s="300">
        <v>200</v>
      </c>
      <c r="O25" s="304">
        <f t="shared" si="0"/>
        <v>1.0526315789473684</v>
      </c>
      <c r="P25" s="40"/>
    </row>
    <row r="26" spans="1:23" ht="16.5" thickBot="1">
      <c r="A26" s="102" t="s">
        <v>113</v>
      </c>
      <c r="B26" s="169">
        <f t="shared" si="1"/>
        <v>0</v>
      </c>
      <c r="C26" s="252">
        <v>0</v>
      </c>
      <c r="D26" s="352">
        <f t="shared" si="2"/>
        <v>0</v>
      </c>
      <c r="E26" s="13"/>
      <c r="L26" s="117" t="s">
        <v>252</v>
      </c>
      <c r="M26" s="6"/>
      <c r="N26" s="279">
        <f>SUM(N19:N25)</f>
        <v>1144</v>
      </c>
      <c r="O26" s="305">
        <f>SUM(O19:O25)</f>
        <v>6.0210526315789474</v>
      </c>
      <c r="P26" s="368"/>
    </row>
    <row r="27" spans="1:23" ht="15.75">
      <c r="A27" s="102" t="s">
        <v>114</v>
      </c>
      <c r="B27" s="169">
        <f t="shared" si="1"/>
        <v>0</v>
      </c>
      <c r="C27" s="252">
        <v>0</v>
      </c>
      <c r="D27" s="352">
        <f t="shared" si="2"/>
        <v>0</v>
      </c>
      <c r="E27" s="13"/>
      <c r="F27" s="95" t="s">
        <v>119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341</v>
      </c>
      <c r="B28" s="169">
        <f t="shared" si="1"/>
        <v>5.8090843175448662E-3</v>
      </c>
      <c r="C28" s="252">
        <v>615</v>
      </c>
      <c r="D28" s="352">
        <f t="shared" si="2"/>
        <v>3.236842105263158</v>
      </c>
      <c r="E28" s="13"/>
      <c r="F28" s="359" t="s">
        <v>117</v>
      </c>
      <c r="G28" s="360"/>
      <c r="H28" s="360" t="s">
        <v>326</v>
      </c>
      <c r="I28" s="181"/>
      <c r="J28" s="335"/>
      <c r="L28" s="119" t="s">
        <v>90</v>
      </c>
      <c r="M28" s="13"/>
      <c r="N28" s="162"/>
      <c r="O28" s="226"/>
      <c r="P28" s="40"/>
      <c r="R28" s="3"/>
    </row>
    <row r="29" spans="1:23" ht="15.75">
      <c r="A29" s="102" t="s">
        <v>115</v>
      </c>
      <c r="B29" s="169">
        <f t="shared" si="1"/>
        <v>0</v>
      </c>
      <c r="C29" s="252">
        <v>0</v>
      </c>
      <c r="D29" s="352">
        <f t="shared" si="2"/>
        <v>0</v>
      </c>
      <c r="E29" s="13"/>
      <c r="F29" s="330" t="s">
        <v>85</v>
      </c>
      <c r="G29" s="257">
        <v>36800</v>
      </c>
      <c r="H29" s="358"/>
      <c r="I29" s="181"/>
      <c r="J29" s="335"/>
      <c r="L29" s="102" t="s">
        <v>241</v>
      </c>
      <c r="M29" s="13"/>
      <c r="N29" s="279">
        <f>IS!C16</f>
        <v>9667.6802962500005</v>
      </c>
      <c r="O29" s="226">
        <f>N29/$H$68</f>
        <v>50.882527875000001</v>
      </c>
      <c r="P29" s="40"/>
      <c r="R29" s="346"/>
    </row>
    <row r="30" spans="1:23" ht="15.75">
      <c r="A30" s="102" t="s">
        <v>182</v>
      </c>
      <c r="B30" s="169">
        <f t="shared" si="1"/>
        <v>0</v>
      </c>
      <c r="C30" s="252">
        <v>0</v>
      </c>
      <c r="D30" s="352">
        <f t="shared" si="2"/>
        <v>0</v>
      </c>
      <c r="E30" s="13"/>
      <c r="F30" s="330" t="s">
        <v>129</v>
      </c>
      <c r="G30" s="257">
        <v>36571</v>
      </c>
      <c r="H30" s="358"/>
      <c r="I30" s="181"/>
      <c r="J30" s="335"/>
      <c r="L30" s="102" t="s">
        <v>219</v>
      </c>
      <c r="M30" s="13"/>
      <c r="N30" s="279">
        <f>IS!C23/IS!C6</f>
        <v>0</v>
      </c>
      <c r="O30" s="226">
        <f>N30/$H$68</f>
        <v>0</v>
      </c>
      <c r="P30" s="40"/>
      <c r="R30" s="3"/>
    </row>
    <row r="31" spans="1:23" ht="15.75">
      <c r="A31" s="102" t="s">
        <v>183</v>
      </c>
      <c r="B31" s="169">
        <f t="shared" si="1"/>
        <v>9.4456655569835222E-4</v>
      </c>
      <c r="C31" s="252">
        <v>100</v>
      </c>
      <c r="D31" s="352">
        <f t="shared" si="2"/>
        <v>0.52631578947368418</v>
      </c>
      <c r="E31" s="13"/>
      <c r="F31" s="41"/>
      <c r="G31" s="13"/>
      <c r="H31" s="6"/>
      <c r="I31" s="181"/>
      <c r="J31" s="335"/>
      <c r="L31" s="102" t="s">
        <v>209</v>
      </c>
      <c r="M31" s="13"/>
      <c r="N31" s="279">
        <f>IS!C24/IS!C6</f>
        <v>0</v>
      </c>
      <c r="O31" s="226">
        <f>N31/$H$68</f>
        <v>0</v>
      </c>
      <c r="P31" s="40"/>
      <c r="R31" s="3"/>
    </row>
    <row r="32" spans="1:23" ht="15.75">
      <c r="A32" s="102" t="s">
        <v>433</v>
      </c>
      <c r="B32" s="169">
        <f t="shared" si="1"/>
        <v>3.8358847826910084E-2</v>
      </c>
      <c r="C32" s="252">
        <v>4061</v>
      </c>
      <c r="D32" s="352">
        <f t="shared" si="2"/>
        <v>21.373684210526317</v>
      </c>
      <c r="E32" s="13"/>
      <c r="F32" s="106" t="s">
        <v>14</v>
      </c>
      <c r="G32" s="107">
        <f>Debt!B19</f>
        <v>76645.682528245845</v>
      </c>
      <c r="H32" s="107"/>
      <c r="I32" s="181"/>
      <c r="J32" s="335"/>
      <c r="L32" s="102" t="s">
        <v>213</v>
      </c>
      <c r="M32" s="13"/>
      <c r="N32" s="279">
        <f>IS!C25/IS!C6</f>
        <v>0</v>
      </c>
      <c r="O32" s="226">
        <f>N32/$H$68</f>
        <v>0</v>
      </c>
      <c r="P32" s="40"/>
      <c r="Q32" s="66"/>
      <c r="R32" s="3"/>
    </row>
    <row r="33" spans="1:18" ht="16.5" thickBot="1">
      <c r="A33" s="105" t="s">
        <v>116</v>
      </c>
      <c r="B33" s="185">
        <f t="shared" si="1"/>
        <v>1.2279365224078579E-2</v>
      </c>
      <c r="C33" s="253">
        <v>1300</v>
      </c>
      <c r="D33" s="353">
        <f t="shared" si="2"/>
        <v>6.8421052631578947</v>
      </c>
      <c r="E33" s="13"/>
      <c r="F33" s="106" t="s">
        <v>15</v>
      </c>
      <c r="G33" s="258">
        <v>20</v>
      </c>
      <c r="H33" s="107"/>
      <c r="I33" s="181"/>
      <c r="J33" s="335"/>
      <c r="L33" s="104" t="s">
        <v>434</v>
      </c>
      <c r="M33" s="42"/>
      <c r="N33" s="282">
        <f>IS!C26/IS!C6</f>
        <v>80.573226367445926</v>
      </c>
      <c r="O33" s="227">
        <f>N33/$H$68</f>
        <v>0.42406961246024172</v>
      </c>
      <c r="P33" s="81"/>
      <c r="R33" s="3"/>
    </row>
    <row r="34" spans="1:18" ht="16.5" thickBot="1">
      <c r="A34" s="102" t="s">
        <v>109</v>
      </c>
      <c r="B34" s="169">
        <f>SUM(B20:B33)</f>
        <v>0.91141036562417521</v>
      </c>
      <c r="C34" s="200">
        <f>SUM(C20:C33)</f>
        <v>96489.798429326824</v>
      </c>
      <c r="D34" s="352">
        <f>SUM(D20:D33)</f>
        <v>507.84104436487803</v>
      </c>
      <c r="E34" s="13"/>
      <c r="F34" s="106" t="s">
        <v>16</v>
      </c>
      <c r="G34" s="358">
        <v>42826</v>
      </c>
      <c r="H34" s="358"/>
      <c r="I34" s="181"/>
      <c r="J34" s="335"/>
      <c r="N34" s="202"/>
      <c r="R34" s="3"/>
    </row>
    <row r="35" spans="1:18" ht="15.75">
      <c r="A35" s="41"/>
      <c r="B35" s="13"/>
      <c r="C35" s="13"/>
      <c r="D35" s="354"/>
      <c r="E35" s="13"/>
      <c r="F35" s="106" t="s">
        <v>17</v>
      </c>
      <c r="G35" s="122">
        <f>Debt!E66</f>
        <v>2.3254030870578859</v>
      </c>
      <c r="H35" s="387" t="str">
        <f>IF(H32,Debt!#REF!," ")</f>
        <v xml:space="preserve"> </v>
      </c>
      <c r="I35" s="181"/>
      <c r="J35" s="335"/>
      <c r="L35" s="94" t="s">
        <v>22</v>
      </c>
      <c r="M35" s="115"/>
      <c r="N35" s="266"/>
      <c r="O35" s="120"/>
      <c r="P35" s="39"/>
      <c r="R35" s="5"/>
    </row>
    <row r="36" spans="1:18" ht="15.75">
      <c r="A36" s="99" t="s">
        <v>387</v>
      </c>
      <c r="B36" s="13"/>
      <c r="C36" s="13"/>
      <c r="D36" s="355"/>
      <c r="E36" s="13"/>
      <c r="F36" s="106"/>
      <c r="G36" s="13"/>
      <c r="H36" s="13"/>
      <c r="I36" s="181"/>
      <c r="J36" s="335"/>
      <c r="L36" s="41"/>
      <c r="M36" s="170"/>
      <c r="N36" s="13"/>
      <c r="O36" s="13"/>
      <c r="P36" s="40"/>
      <c r="R36" s="5"/>
    </row>
    <row r="37" spans="1:18" ht="15.75">
      <c r="A37" s="99" t="s">
        <v>168</v>
      </c>
      <c r="B37" s="169">
        <f t="shared" ref="B37:B49" si="3">C37/$C$58</f>
        <v>0</v>
      </c>
      <c r="C37" s="252">
        <v>0</v>
      </c>
      <c r="D37" s="352">
        <f t="shared" ref="D37:D50" si="4">C37/$H$68</f>
        <v>0</v>
      </c>
      <c r="E37" s="13"/>
      <c r="F37" s="102" t="s">
        <v>18</v>
      </c>
      <c r="G37" s="259">
        <v>6.5000000000000002E-2</v>
      </c>
      <c r="H37" s="259">
        <v>6.5000000000000002E-2</v>
      </c>
      <c r="I37" s="181"/>
      <c r="J37" s="335"/>
      <c r="L37" s="102"/>
      <c r="M37" s="13"/>
      <c r="N37" s="148" t="s">
        <v>23</v>
      </c>
      <c r="O37" s="148" t="s">
        <v>24</v>
      </c>
      <c r="P37" s="172" t="s">
        <v>25</v>
      </c>
      <c r="R37" s="13"/>
    </row>
    <row r="38" spans="1:18" ht="15.75">
      <c r="A38" s="99" t="s">
        <v>176</v>
      </c>
      <c r="B38" s="169">
        <f t="shared" si="3"/>
        <v>9.6723615303511267E-3</v>
      </c>
      <c r="C38" s="252">
        <v>1024</v>
      </c>
      <c r="D38" s="352">
        <f t="shared" si="4"/>
        <v>5.3894736842105262</v>
      </c>
      <c r="E38" s="13"/>
      <c r="F38" s="102" t="s">
        <v>19</v>
      </c>
      <c r="G38" s="260">
        <v>0.02</v>
      </c>
      <c r="H38" s="260">
        <v>0.02</v>
      </c>
      <c r="I38" s="181"/>
      <c r="J38" s="335"/>
      <c r="L38" s="116" t="s">
        <v>26</v>
      </c>
      <c r="M38" s="13"/>
      <c r="N38" s="267"/>
      <c r="O38" s="267"/>
      <c r="P38" s="103"/>
      <c r="R38" s="13"/>
    </row>
    <row r="39" spans="1:18" ht="15.75">
      <c r="A39" s="99" t="s">
        <v>169</v>
      </c>
      <c r="B39" s="169">
        <f t="shared" si="3"/>
        <v>0</v>
      </c>
      <c r="C39" s="252">
        <v>0</v>
      </c>
      <c r="D39" s="352">
        <f t="shared" si="4"/>
        <v>0</v>
      </c>
      <c r="E39" s="13"/>
      <c r="F39" s="106" t="s">
        <v>331</v>
      </c>
      <c r="G39" s="108">
        <f>Debt!E64</f>
        <v>8.5000000000000006E-2</v>
      </c>
      <c r="H39" s="108">
        <f>SUM(H37:H38)</f>
        <v>8.5000000000000006E-2</v>
      </c>
      <c r="I39" s="181"/>
      <c r="J39" s="335"/>
      <c r="L39" s="117" t="s">
        <v>27</v>
      </c>
      <c r="M39" s="13"/>
      <c r="N39" s="277">
        <v>15</v>
      </c>
      <c r="O39" s="268" t="s">
        <v>28</v>
      </c>
      <c r="P39" s="191">
        <v>0</v>
      </c>
      <c r="R39" s="3"/>
    </row>
    <row r="40" spans="1:18" ht="15.75">
      <c r="A40" s="102" t="s">
        <v>170</v>
      </c>
      <c r="B40" s="169">
        <f t="shared" si="3"/>
        <v>0</v>
      </c>
      <c r="C40" s="252">
        <v>0</v>
      </c>
      <c r="D40" s="352">
        <f t="shared" si="4"/>
        <v>0</v>
      </c>
      <c r="E40" s="13"/>
      <c r="F40" s="102"/>
      <c r="G40" s="98"/>
      <c r="H40" s="98"/>
      <c r="I40" s="98"/>
      <c r="J40" s="189"/>
      <c r="L40" s="117" t="s">
        <v>257</v>
      </c>
      <c r="M40" s="13"/>
      <c r="N40" s="277">
        <v>5</v>
      </c>
      <c r="O40" s="268" t="s">
        <v>30</v>
      </c>
      <c r="P40" s="191">
        <v>0</v>
      </c>
      <c r="R40" s="3"/>
    </row>
    <row r="41" spans="1:18" ht="15.75">
      <c r="A41" s="99" t="s">
        <v>171</v>
      </c>
      <c r="B41" s="169">
        <f t="shared" si="3"/>
        <v>0</v>
      </c>
      <c r="C41" s="252">
        <v>0</v>
      </c>
      <c r="D41" s="352">
        <f t="shared" si="4"/>
        <v>0</v>
      </c>
      <c r="E41" s="13"/>
      <c r="F41" s="102" t="s">
        <v>130</v>
      </c>
      <c r="G41" s="258">
        <v>4028.6613183722961</v>
      </c>
      <c r="H41" s="258">
        <v>6</v>
      </c>
      <c r="I41" s="98" t="s">
        <v>131</v>
      </c>
      <c r="J41" s="190"/>
      <c r="L41" s="117" t="s">
        <v>29</v>
      </c>
      <c r="M41" s="13"/>
      <c r="N41" s="277">
        <v>20</v>
      </c>
      <c r="O41" s="268" t="s">
        <v>30</v>
      </c>
      <c r="P41" s="191">
        <v>0</v>
      </c>
      <c r="R41" s="346"/>
    </row>
    <row r="42" spans="1:18" ht="15.75">
      <c r="A42" s="99" t="s">
        <v>180</v>
      </c>
      <c r="B42" s="169">
        <f t="shared" si="3"/>
        <v>9.4456655569835225E-3</v>
      </c>
      <c r="C42" s="252">
        <v>1000</v>
      </c>
      <c r="D42" s="352">
        <f t="shared" si="4"/>
        <v>5.2631578947368425</v>
      </c>
      <c r="E42" s="13"/>
      <c r="F42" s="102" t="s">
        <v>20</v>
      </c>
      <c r="G42" s="261">
        <v>0.02</v>
      </c>
      <c r="H42" s="98"/>
      <c r="I42" s="98"/>
      <c r="J42" s="190"/>
      <c r="L42" s="117"/>
      <c r="M42" s="13"/>
      <c r="N42" s="269"/>
      <c r="O42" s="269"/>
      <c r="P42" s="270"/>
      <c r="R42" s="228"/>
    </row>
    <row r="43" spans="1:18" ht="15.75">
      <c r="A43" s="99" t="s">
        <v>172</v>
      </c>
      <c r="B43" s="169">
        <f t="shared" si="3"/>
        <v>0</v>
      </c>
      <c r="C43" s="252">
        <v>0</v>
      </c>
      <c r="D43" s="352">
        <f t="shared" si="4"/>
        <v>0</v>
      </c>
      <c r="E43" s="13"/>
      <c r="F43" s="102" t="s">
        <v>21</v>
      </c>
      <c r="G43" s="261">
        <v>0</v>
      </c>
      <c r="H43" s="13"/>
      <c r="I43" s="13"/>
      <c r="J43" s="40"/>
      <c r="L43" s="116" t="s">
        <v>31</v>
      </c>
      <c r="M43" s="13"/>
      <c r="N43" s="269"/>
      <c r="O43" s="269"/>
      <c r="P43" s="192"/>
    </row>
    <row r="44" spans="1:18" ht="15.75">
      <c r="A44" s="99" t="s">
        <v>173</v>
      </c>
      <c r="B44" s="169">
        <f t="shared" si="3"/>
        <v>0</v>
      </c>
      <c r="C44" s="252">
        <v>0</v>
      </c>
      <c r="D44" s="352">
        <f t="shared" si="4"/>
        <v>0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7">
        <v>30</v>
      </c>
      <c r="O44" s="268" t="s">
        <v>30</v>
      </c>
      <c r="P44" s="192">
        <v>0.1</v>
      </c>
    </row>
    <row r="45" spans="1:18" ht="15.75">
      <c r="A45" s="99" t="s">
        <v>177</v>
      </c>
      <c r="B45" s="169">
        <f t="shared" si="3"/>
        <v>1.8891331113967045E-4</v>
      </c>
      <c r="C45" s="252">
        <v>20</v>
      </c>
      <c r="D45" s="352">
        <f t="shared" si="4"/>
        <v>0.10526315789473684</v>
      </c>
      <c r="E45" s="13"/>
      <c r="F45" s="359" t="s">
        <v>118</v>
      </c>
      <c r="G45" s="13"/>
      <c r="H45" s="13"/>
      <c r="I45" s="13"/>
      <c r="J45" s="40"/>
      <c r="L45" s="117" t="s">
        <v>257</v>
      </c>
      <c r="M45" s="13"/>
      <c r="N45" s="277">
        <v>5</v>
      </c>
      <c r="O45" s="268" t="s">
        <v>30</v>
      </c>
      <c r="P45" s="191">
        <v>0</v>
      </c>
    </row>
    <row r="46" spans="1:18" ht="16.5" thickBot="1">
      <c r="A46" s="102" t="s">
        <v>221</v>
      </c>
      <c r="B46" s="169">
        <f t="shared" si="3"/>
        <v>4.3363787688987784E-2</v>
      </c>
      <c r="C46" s="200">
        <f>IDC!H34</f>
        <v>4590.8663002499989</v>
      </c>
      <c r="D46" s="352">
        <f t="shared" si="4"/>
        <v>24.1624542118421</v>
      </c>
      <c r="E46" s="13"/>
      <c r="F46" s="330" t="s">
        <v>86</v>
      </c>
      <c r="G46" s="257">
        <v>36617</v>
      </c>
      <c r="H46" s="13"/>
      <c r="I46" s="13"/>
      <c r="J46" s="40"/>
      <c r="L46" s="118" t="s">
        <v>29</v>
      </c>
      <c r="M46" s="42"/>
      <c r="N46" s="278">
        <v>20</v>
      </c>
      <c r="O46" s="271" t="s">
        <v>30</v>
      </c>
      <c r="P46" s="193">
        <v>0</v>
      </c>
    </row>
    <row r="47" spans="1:18" ht="16.5" thickBot="1">
      <c r="A47" s="102" t="s">
        <v>184</v>
      </c>
      <c r="B47" s="169">
        <f t="shared" si="3"/>
        <v>0</v>
      </c>
      <c r="C47" s="252">
        <v>0</v>
      </c>
      <c r="D47" s="352">
        <f t="shared" si="4"/>
        <v>0</v>
      </c>
      <c r="E47" s="13"/>
      <c r="F47" s="102" t="s">
        <v>12</v>
      </c>
      <c r="G47" s="262">
        <v>0</v>
      </c>
      <c r="H47" s="145">
        <f>G47*C11</f>
        <v>0</v>
      </c>
      <c r="I47" s="13"/>
      <c r="J47" s="40"/>
    </row>
    <row r="48" spans="1:18" ht="16.5" thickBot="1">
      <c r="A48" s="102" t="s">
        <v>279</v>
      </c>
      <c r="B48" s="169">
        <f t="shared" si="3"/>
        <v>2.591890628836279E-2</v>
      </c>
      <c r="C48" s="200">
        <f>SUM(C22:C33)*N55</f>
        <v>2744.0000000000005</v>
      </c>
      <c r="D48" s="352">
        <f t="shared" si="4"/>
        <v>14.442105263157897</v>
      </c>
      <c r="E48" s="64"/>
      <c r="F48" s="104" t="s">
        <v>13</v>
      </c>
      <c r="G48" s="274">
        <f>1-G47</f>
        <v>1</v>
      </c>
      <c r="H48" s="146">
        <f>G48*C11</f>
        <v>29222.982201330975</v>
      </c>
      <c r="I48" s="42"/>
      <c r="J48" s="81"/>
      <c r="L48" s="94" t="s">
        <v>388</v>
      </c>
      <c r="M48" s="115"/>
      <c r="N48" s="284"/>
      <c r="O48" s="285"/>
      <c r="P48" s="369"/>
    </row>
    <row r="49" spans="1:16" ht="16.5" thickBot="1">
      <c r="A49" s="96" t="s">
        <v>185</v>
      </c>
      <c r="B49" s="185">
        <f t="shared" si="3"/>
        <v>0</v>
      </c>
      <c r="C49" s="253">
        <v>0</v>
      </c>
      <c r="D49" s="353">
        <f t="shared" si="4"/>
        <v>0</v>
      </c>
      <c r="E49" s="43"/>
      <c r="L49" s="183"/>
      <c r="M49" s="177"/>
      <c r="N49" s="158"/>
      <c r="O49" s="6"/>
      <c r="P49" s="368"/>
    </row>
    <row r="50" spans="1:16" ht="15.75">
      <c r="A50" s="102" t="s">
        <v>109</v>
      </c>
      <c r="B50" s="169">
        <f>SUM(B37:B49)</f>
        <v>8.8589634375824899E-2</v>
      </c>
      <c r="C50" s="200">
        <f>SUM(C37:C49)</f>
        <v>9378.8663002499998</v>
      </c>
      <c r="D50" s="352">
        <f t="shared" si="4"/>
        <v>49.362454211842106</v>
      </c>
      <c r="E50" s="13"/>
      <c r="F50" s="94" t="s">
        <v>204</v>
      </c>
      <c r="G50" s="114"/>
      <c r="H50" s="120"/>
      <c r="I50" s="205"/>
      <c r="J50" s="39"/>
      <c r="L50" s="117" t="s">
        <v>134</v>
      </c>
      <c r="M50" s="6"/>
      <c r="N50" s="267">
        <v>0.35</v>
      </c>
      <c r="O50" s="6"/>
      <c r="P50" s="368"/>
    </row>
    <row r="51" spans="1:16" ht="15.75">
      <c r="A51" s="41"/>
      <c r="B51" s="13"/>
      <c r="C51" s="200"/>
      <c r="D51" s="355"/>
      <c r="E51" s="85"/>
      <c r="F51" s="41"/>
      <c r="G51" s="13"/>
      <c r="H51" s="13"/>
      <c r="I51" s="111"/>
      <c r="J51" s="40"/>
      <c r="L51" s="117" t="s">
        <v>293</v>
      </c>
      <c r="M51" s="6"/>
      <c r="N51" s="264">
        <v>7.0000000000000007E-2</v>
      </c>
      <c r="O51" s="370" t="s">
        <v>239</v>
      </c>
      <c r="P51" s="368"/>
    </row>
    <row r="52" spans="1:16" ht="15.75">
      <c r="A52" s="99" t="s">
        <v>102</v>
      </c>
      <c r="B52" s="13"/>
      <c r="C52" s="200"/>
      <c r="D52" s="354"/>
      <c r="E52" s="85"/>
      <c r="F52" s="105" t="s">
        <v>310</v>
      </c>
      <c r="G52" s="13"/>
      <c r="H52" s="13"/>
      <c r="I52" s="13"/>
      <c r="J52" s="40"/>
      <c r="L52" s="117" t="s">
        <v>259</v>
      </c>
      <c r="M52" s="6"/>
      <c r="N52" s="264">
        <v>0</v>
      </c>
      <c r="O52" s="370" t="s">
        <v>239</v>
      </c>
      <c r="P52" s="368"/>
    </row>
    <row r="53" spans="1:16" ht="15.75">
      <c r="A53" s="99" t="s">
        <v>174</v>
      </c>
      <c r="B53" s="169">
        <f>C53/$C$58</f>
        <v>0</v>
      </c>
      <c r="C53" s="252">
        <v>0</v>
      </c>
      <c r="D53" s="352">
        <f>C53/$H$68</f>
        <v>0</v>
      </c>
      <c r="E53" s="13"/>
      <c r="F53" s="102" t="s">
        <v>312</v>
      </c>
      <c r="G53" s="13"/>
      <c r="H53" s="256">
        <v>3</v>
      </c>
      <c r="I53" s="111"/>
      <c r="J53" s="40"/>
      <c r="L53" s="117" t="s">
        <v>214</v>
      </c>
      <c r="M53" s="6"/>
      <c r="N53" s="264">
        <v>0</v>
      </c>
      <c r="O53" s="370" t="s">
        <v>239</v>
      </c>
      <c r="P53" s="368"/>
    </row>
    <row r="54" spans="1:16" ht="15.75">
      <c r="A54" s="99" t="s">
        <v>175</v>
      </c>
      <c r="B54" s="169">
        <f>C54/$C$58</f>
        <v>0</v>
      </c>
      <c r="C54" s="252">
        <v>0</v>
      </c>
      <c r="D54" s="352">
        <f>C54/$H$68</f>
        <v>0</v>
      </c>
      <c r="E54" s="13"/>
      <c r="F54" s="102" t="s">
        <v>423</v>
      </c>
      <c r="G54" s="13"/>
      <c r="H54" s="255">
        <v>4.75</v>
      </c>
      <c r="I54" s="13"/>
      <c r="J54" s="40"/>
      <c r="L54" s="117" t="s">
        <v>244</v>
      </c>
      <c r="M54" s="13"/>
      <c r="N54" s="264">
        <v>1.4999999999999999E-2</v>
      </c>
      <c r="O54" s="370" t="s">
        <v>239</v>
      </c>
      <c r="P54" s="40"/>
    </row>
    <row r="55" spans="1:16" ht="16.5" thickBot="1">
      <c r="A55" s="105" t="s">
        <v>103</v>
      </c>
      <c r="B55" s="185">
        <f>C55/$C$58</f>
        <v>0</v>
      </c>
      <c r="C55" s="253">
        <v>0</v>
      </c>
      <c r="D55" s="352">
        <f>C55/$H$68</f>
        <v>0</v>
      </c>
      <c r="E55" s="13"/>
      <c r="F55" s="41"/>
      <c r="G55" s="13"/>
      <c r="H55" s="13"/>
      <c r="I55" s="13"/>
      <c r="J55" s="40"/>
      <c r="L55" s="118" t="s">
        <v>280</v>
      </c>
      <c r="M55" s="42"/>
      <c r="N55" s="280">
        <v>7.0000000000000007E-2</v>
      </c>
      <c r="O55" s="371" t="s">
        <v>239</v>
      </c>
      <c r="P55" s="81"/>
    </row>
    <row r="56" spans="1:16" ht="15.75">
      <c r="A56" s="102" t="s">
        <v>109</v>
      </c>
      <c r="B56" s="169">
        <f>SUM(B53:B55)</f>
        <v>0</v>
      </c>
      <c r="C56" s="112">
        <f>SUM(C53:C55)</f>
        <v>0</v>
      </c>
      <c r="D56" s="352">
        <f>C56/$H$68</f>
        <v>0</v>
      </c>
      <c r="E56" s="13"/>
      <c r="F56" s="105" t="s">
        <v>313</v>
      </c>
      <c r="G56" s="13"/>
      <c r="H56" s="13"/>
      <c r="I56" s="13"/>
      <c r="J56" s="40"/>
    </row>
    <row r="57" spans="1:16" ht="15.75">
      <c r="A57" s="41"/>
      <c r="B57" s="13"/>
      <c r="C57" s="13"/>
      <c r="D57" s="355"/>
      <c r="E57" s="13"/>
      <c r="F57" s="102" t="s">
        <v>312</v>
      </c>
      <c r="G57" s="13"/>
      <c r="H57" s="279">
        <f>H19-H53</f>
        <v>17</v>
      </c>
      <c r="I57" s="111"/>
      <c r="J57" s="40"/>
    </row>
    <row r="58" spans="1:16" ht="16.5" thickBot="1">
      <c r="A58" s="188" t="s">
        <v>104</v>
      </c>
      <c r="B58" s="184">
        <f>B56+B50+B34</f>
        <v>1</v>
      </c>
      <c r="C58" s="201">
        <f>C56+C50+C34</f>
        <v>105868.66472957682</v>
      </c>
      <c r="D58" s="356">
        <f>C58/$H$68</f>
        <v>557.20349857672011</v>
      </c>
      <c r="E58" s="13"/>
      <c r="F58" s="102" t="s">
        <v>423</v>
      </c>
      <c r="G58" s="98"/>
      <c r="H58" s="155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5"/>
      <c r="D60" s="121"/>
      <c r="E60" s="13"/>
      <c r="F60" s="102" t="s">
        <v>431</v>
      </c>
      <c r="G60" s="98"/>
      <c r="H60" s="155">
        <f>P17</f>
        <v>0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67"/>
      <c r="I61" s="111"/>
      <c r="J61" s="40"/>
    </row>
    <row r="62" spans="1:16" ht="16.5" thickBot="1">
      <c r="A62" s="347" t="s">
        <v>277</v>
      </c>
      <c r="B62" s="348"/>
      <c r="C62" s="349">
        <f>D58</f>
        <v>557.20349857672011</v>
      </c>
      <c r="D62" s="40"/>
      <c r="E62" s="13"/>
      <c r="F62" s="104" t="s">
        <v>448</v>
      </c>
      <c r="G62" s="42"/>
      <c r="H62" s="281">
        <f>H68*H72</f>
        <v>285000</v>
      </c>
      <c r="I62" s="206"/>
      <c r="J62" s="81"/>
    </row>
    <row r="63" spans="1:16" ht="13.5" thickBot="1">
      <c r="A63" s="528"/>
      <c r="B63" s="181"/>
      <c r="C63" s="181"/>
      <c r="D63" s="40"/>
      <c r="E63" s="13"/>
    </row>
    <row r="64" spans="1:16" ht="15.75">
      <c r="A64" s="102"/>
      <c r="B64" s="98"/>
      <c r="C64" s="97" t="s">
        <v>34</v>
      </c>
      <c r="D64" s="172" t="s">
        <v>33</v>
      </c>
      <c r="E64" s="13"/>
      <c r="F64" s="94" t="s">
        <v>5</v>
      </c>
      <c r="G64" s="203"/>
      <c r="H64" s="205"/>
      <c r="I64" s="38"/>
      <c r="J64" s="39"/>
    </row>
    <row r="65" spans="1:10" ht="15.75">
      <c r="A65" s="105" t="s">
        <v>0</v>
      </c>
      <c r="B65" s="109"/>
      <c r="C65" s="110">
        <f>Debt!E68</f>
        <v>1.3000000000000005</v>
      </c>
      <c r="D65" s="357">
        <f>Debt!E69</f>
        <v>1.2999999999999963</v>
      </c>
      <c r="E65" s="13"/>
      <c r="F65" s="183"/>
      <c r="G65" s="153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132</v>
      </c>
      <c r="G66" s="13"/>
      <c r="H66" s="223">
        <f>H12*H13</f>
        <v>190</v>
      </c>
      <c r="I66" s="13"/>
      <c r="J66" s="40"/>
    </row>
    <row r="67" spans="1:10" ht="15.75">
      <c r="A67" s="105" t="s">
        <v>342</v>
      </c>
      <c r="B67" s="13"/>
      <c r="C67" s="13"/>
      <c r="D67" s="40"/>
      <c r="E67" s="13"/>
      <c r="F67" s="105" t="s">
        <v>91</v>
      </c>
      <c r="G67" s="13"/>
      <c r="H67" s="345">
        <v>0</v>
      </c>
      <c r="I67" s="13"/>
      <c r="J67" s="40"/>
    </row>
    <row r="68" spans="1:10" ht="15.75">
      <c r="A68" s="102" t="s">
        <v>383</v>
      </c>
      <c r="B68" s="98"/>
      <c r="C68" s="147">
        <f>'Returns Analysis'!C39</f>
        <v>7.6020619273185736E-2</v>
      </c>
      <c r="D68" s="40"/>
      <c r="E68" s="13"/>
      <c r="F68" s="119" t="s">
        <v>316</v>
      </c>
      <c r="G68" s="43"/>
      <c r="H68" s="364">
        <f>SUM(H66:H67)</f>
        <v>190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5x EBITDA Exit Multiple Residual Value</v>
      </c>
      <c r="B69" s="13"/>
      <c r="C69" s="147">
        <f>'Returns Analysis'!C46</f>
        <v>7.0541241765022286E-2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20% Initial Project Cost Residual Value</v>
      </c>
      <c r="B70" s="13"/>
      <c r="C70" s="147">
        <f>'Returns Analysis'!C53</f>
        <v>8.2561513781547566E-2</v>
      </c>
      <c r="D70" s="103"/>
      <c r="E70" s="13"/>
      <c r="F70" s="102" t="s">
        <v>359</v>
      </c>
      <c r="G70" s="13"/>
      <c r="H70" s="254">
        <v>140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$200/kW Residual Value</v>
      </c>
      <c r="B71" s="13"/>
      <c r="C71" s="147">
        <f>'Returns Analysis'!C60</f>
        <v>8.6701235175132757E-2</v>
      </c>
      <c r="D71" s="103"/>
      <c r="E71" s="13"/>
      <c r="F71" s="102" t="s">
        <v>273</v>
      </c>
      <c r="G71" s="13"/>
      <c r="H71" s="254">
        <v>400</v>
      </c>
      <c r="I71" s="13"/>
      <c r="J71" s="40"/>
    </row>
    <row r="72" spans="1:10" ht="16.5" thickBot="1">
      <c r="A72" s="41"/>
      <c r="B72" s="13"/>
      <c r="C72" s="13"/>
      <c r="D72" s="40"/>
      <c r="E72" s="13"/>
      <c r="F72" s="104" t="s">
        <v>178</v>
      </c>
      <c r="G72" s="42"/>
      <c r="H72" s="263">
        <v>1500</v>
      </c>
      <c r="I72" s="42"/>
      <c r="J72" s="81"/>
    </row>
    <row r="73" spans="1:10" ht="15.75">
      <c r="A73" s="105" t="s">
        <v>88</v>
      </c>
      <c r="B73" s="97">
        <f>IS!C7</f>
        <v>2001</v>
      </c>
      <c r="C73" s="97">
        <f>IS!D7</f>
        <v>2002</v>
      </c>
      <c r="D73" s="172">
        <f>IS!E7</f>
        <v>2003</v>
      </c>
    </row>
    <row r="74" spans="1:10" ht="15.75">
      <c r="A74" s="102" t="s">
        <v>99</v>
      </c>
      <c r="B74" s="112">
        <f>IS!C32</f>
        <v>5603.1656179523216</v>
      </c>
      <c r="C74" s="112">
        <f>IS!D32</f>
        <v>9571.1067736325567</v>
      </c>
      <c r="D74" s="167">
        <f>IS!E32</f>
        <v>9535.7571736325572</v>
      </c>
      <c r="E74" s="98"/>
    </row>
    <row r="75" spans="1:10" ht="15.75">
      <c r="A75" s="102" t="s">
        <v>100</v>
      </c>
      <c r="B75" s="112">
        <f>IS!C45</f>
        <v>-323.59045172508445</v>
      </c>
      <c r="C75" s="112">
        <f>IS!D45</f>
        <v>-544.93419729842003</v>
      </c>
      <c r="D75" s="167">
        <f>IS!E45</f>
        <v>-518.88177651965225</v>
      </c>
      <c r="E75" s="98"/>
    </row>
    <row r="76" spans="1:10" ht="15.75">
      <c r="A76" s="102" t="s">
        <v>101</v>
      </c>
      <c r="B76" s="112">
        <f>'Returns Analysis'!C13</f>
        <v>3427.0787519210839</v>
      </c>
      <c r="C76" s="112">
        <f>'Returns Analysis'!D13</f>
        <v>3101.3441796845227</v>
      </c>
      <c r="D76" s="167">
        <f>'Returns Analysis'!E13</f>
        <v>3142.2744334549134</v>
      </c>
      <c r="E76" s="13"/>
    </row>
    <row r="77" spans="1:10" ht="16.5" thickBot="1">
      <c r="A77" s="104" t="s">
        <v>372</v>
      </c>
      <c r="B77" s="113">
        <f>'Returns Analysis'!C21</f>
        <v>3134.4541503099149</v>
      </c>
      <c r="C77" s="113">
        <f>'Returns Analysis'!D21</f>
        <v>2202.8557406892587</v>
      </c>
      <c r="D77" s="194">
        <f>'Returns Analysis'!E21</f>
        <v>2193.7799724189026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60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60"/>
    </row>
    <row r="119" spans="9:9" ht="15.75">
      <c r="I119" s="160"/>
    </row>
    <row r="120" spans="9:9" ht="15.75">
      <c r="I120" s="160"/>
    </row>
    <row r="121" spans="9:9" ht="15.75">
      <c r="I121" s="160"/>
    </row>
    <row r="122" spans="9:9" ht="15.75">
      <c r="I122" s="160"/>
    </row>
    <row r="123" spans="9:9" ht="15.75">
      <c r="I123" s="160"/>
    </row>
    <row r="124" spans="9:9" ht="15.75">
      <c r="I124" s="160"/>
    </row>
    <row r="125" spans="9:9" ht="15.75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5"/>
    </row>
    <row r="151" spans="10:10" ht="15.75">
      <c r="J151" s="157"/>
    </row>
    <row r="152" spans="10:10" ht="15.75">
      <c r="J152" s="158"/>
    </row>
    <row r="153" spans="10:10" ht="15.75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18" zoomScale="75" zoomScaleNormal="75" workbookViewId="0">
      <selection activeCell="D42" sqref="D42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Calpine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71" t="s">
        <v>409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10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5">
        <f>(Assumptions!H18/12)</f>
        <v>0.58333333333333337</v>
      </c>
      <c r="E7" s="215">
        <f>D7+1</f>
        <v>1.5833333333333335</v>
      </c>
      <c r="F7" s="215">
        <f t="shared" ref="F7:Y7" si="0">E7+1</f>
        <v>2.5833333333333335</v>
      </c>
      <c r="G7" s="215">
        <f t="shared" si="0"/>
        <v>3.5833333333333335</v>
      </c>
      <c r="H7" s="215">
        <f t="shared" si="0"/>
        <v>4.5833333333333339</v>
      </c>
      <c r="I7" s="215">
        <f t="shared" si="0"/>
        <v>5.5833333333333339</v>
      </c>
      <c r="J7" s="215">
        <f t="shared" si="0"/>
        <v>6.5833333333333339</v>
      </c>
      <c r="K7" s="215">
        <f t="shared" si="0"/>
        <v>7.5833333333333339</v>
      </c>
      <c r="L7" s="215">
        <f t="shared" si="0"/>
        <v>8.5833333333333339</v>
      </c>
      <c r="M7" s="215">
        <f t="shared" si="0"/>
        <v>9.5833333333333339</v>
      </c>
      <c r="N7" s="215">
        <f t="shared" si="0"/>
        <v>10.583333333333334</v>
      </c>
      <c r="O7" s="215">
        <f t="shared" si="0"/>
        <v>11.583333333333334</v>
      </c>
      <c r="P7" s="215">
        <f t="shared" si="0"/>
        <v>12.583333333333334</v>
      </c>
      <c r="Q7" s="215">
        <f t="shared" si="0"/>
        <v>13.583333333333334</v>
      </c>
      <c r="R7" s="215">
        <f t="shared" si="0"/>
        <v>14.583333333333334</v>
      </c>
      <c r="S7" s="215">
        <f t="shared" si="0"/>
        <v>15.583333333333334</v>
      </c>
      <c r="T7" s="215">
        <f t="shared" si="0"/>
        <v>16.583333333333336</v>
      </c>
      <c r="U7" s="215">
        <f t="shared" si="0"/>
        <v>17.583333333333336</v>
      </c>
      <c r="V7" s="215">
        <f t="shared" si="0"/>
        <v>18.583333333333336</v>
      </c>
      <c r="W7" s="215">
        <f t="shared" si="0"/>
        <v>19.583333333333336</v>
      </c>
      <c r="X7" s="215">
        <f t="shared" si="0"/>
        <v>20.583333333333336</v>
      </c>
      <c r="Y7" s="215">
        <f t="shared" si="0"/>
        <v>21.583333333333336</v>
      </c>
      <c r="Z7" s="215">
        <f t="shared" ref="Z7:AG7" si="1">Y7+1</f>
        <v>22.583333333333336</v>
      </c>
      <c r="AA7" s="215">
        <f t="shared" si="1"/>
        <v>23.583333333333336</v>
      </c>
      <c r="AB7" s="215">
        <f t="shared" si="1"/>
        <v>24.583333333333336</v>
      </c>
      <c r="AC7" s="215">
        <f t="shared" si="1"/>
        <v>25.583333333333336</v>
      </c>
      <c r="AD7" s="215">
        <f t="shared" si="1"/>
        <v>26.583333333333336</v>
      </c>
      <c r="AE7" s="215">
        <f t="shared" si="1"/>
        <v>27.583333333333336</v>
      </c>
      <c r="AF7" s="215">
        <f t="shared" si="1"/>
        <v>28.583333333333336</v>
      </c>
      <c r="AG7" s="215">
        <f t="shared" si="1"/>
        <v>29.583333333333336</v>
      </c>
      <c r="AH7" s="215">
        <f>AG7+1</f>
        <v>30.583333333333336</v>
      </c>
    </row>
    <row r="8" spans="1:63" ht="16.5" thickBot="1">
      <c r="B8" s="212"/>
      <c r="C8" s="212"/>
      <c r="D8" s="520">
        <f>YEAR(Assumptions!H17)</f>
        <v>2001</v>
      </c>
      <c r="E8" s="520">
        <f t="shared" ref="E8:X8" si="2">D8+1</f>
        <v>2002</v>
      </c>
      <c r="F8" s="520">
        <f t="shared" si="2"/>
        <v>2003</v>
      </c>
      <c r="G8" s="520">
        <f t="shared" si="2"/>
        <v>2004</v>
      </c>
      <c r="H8" s="520">
        <f t="shared" si="2"/>
        <v>2005</v>
      </c>
      <c r="I8" s="520">
        <f t="shared" si="2"/>
        <v>2006</v>
      </c>
      <c r="J8" s="520">
        <f t="shared" si="2"/>
        <v>2007</v>
      </c>
      <c r="K8" s="520">
        <f t="shared" si="2"/>
        <v>2008</v>
      </c>
      <c r="L8" s="520">
        <f t="shared" si="2"/>
        <v>2009</v>
      </c>
      <c r="M8" s="520">
        <f t="shared" si="2"/>
        <v>2010</v>
      </c>
      <c r="N8" s="520">
        <f t="shared" si="2"/>
        <v>2011</v>
      </c>
      <c r="O8" s="520">
        <f t="shared" si="2"/>
        <v>2012</v>
      </c>
      <c r="P8" s="520">
        <f t="shared" si="2"/>
        <v>2013</v>
      </c>
      <c r="Q8" s="520">
        <f t="shared" si="2"/>
        <v>2014</v>
      </c>
      <c r="R8" s="520">
        <f t="shared" si="2"/>
        <v>2015</v>
      </c>
      <c r="S8" s="520">
        <f t="shared" si="2"/>
        <v>2016</v>
      </c>
      <c r="T8" s="520">
        <f t="shared" si="2"/>
        <v>2017</v>
      </c>
      <c r="U8" s="520">
        <f t="shared" si="2"/>
        <v>2018</v>
      </c>
      <c r="V8" s="520">
        <f t="shared" si="2"/>
        <v>2019</v>
      </c>
      <c r="W8" s="520">
        <f t="shared" si="2"/>
        <v>2020</v>
      </c>
      <c r="X8" s="520">
        <f t="shared" si="2"/>
        <v>2021</v>
      </c>
      <c r="Y8" s="520">
        <f>X8+1</f>
        <v>2022</v>
      </c>
      <c r="Z8" s="520">
        <f t="shared" ref="Z8:AG8" si="3">Y8+1</f>
        <v>2023</v>
      </c>
      <c r="AA8" s="520">
        <f t="shared" si="3"/>
        <v>2024</v>
      </c>
      <c r="AB8" s="520">
        <f t="shared" si="3"/>
        <v>2025</v>
      </c>
      <c r="AC8" s="520">
        <f t="shared" si="3"/>
        <v>2026</v>
      </c>
      <c r="AD8" s="520">
        <f t="shared" si="3"/>
        <v>2027</v>
      </c>
      <c r="AE8" s="520">
        <f t="shared" si="3"/>
        <v>2028</v>
      </c>
      <c r="AF8" s="520">
        <f t="shared" si="3"/>
        <v>2029</v>
      </c>
      <c r="AG8" s="520">
        <f t="shared" si="3"/>
        <v>2030</v>
      </c>
      <c r="AH8" s="52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97" t="s">
        <v>422</v>
      </c>
      <c r="C10" s="1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3"/>
      <c r="AE10" s="363"/>
      <c r="AF10" s="363"/>
      <c r="AG10" s="363"/>
      <c r="AH10" s="36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8"/>
      <c r="C11" s="1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C11" s="363"/>
      <c r="AD11" s="363"/>
      <c r="AE11" s="363"/>
      <c r="AF11" s="363"/>
      <c r="AG11" s="363"/>
      <c r="AH11" s="36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20" t="s">
        <v>311</v>
      </c>
      <c r="C12" s="13"/>
      <c r="D12" s="499">
        <f>Assumptions!$H$54</f>
        <v>4.75</v>
      </c>
      <c r="E12" s="499">
        <f>Assumptions!$H$54</f>
        <v>4.75</v>
      </c>
      <c r="F12" s="499">
        <f>Assumptions!$H$54</f>
        <v>4.75</v>
      </c>
      <c r="G12" s="499">
        <f>Assumptions!$H$54</f>
        <v>4.75</v>
      </c>
      <c r="H12" s="499">
        <f>Assumptions!$H$54</f>
        <v>4.75</v>
      </c>
      <c r="I12" s="499">
        <f>Assumptions!$H$54</f>
        <v>4.75</v>
      </c>
      <c r="J12" s="499">
        <f>Assumptions!$H$54</f>
        <v>4.75</v>
      </c>
      <c r="K12" s="499">
        <f>Assumptions!$H$54</f>
        <v>4.75</v>
      </c>
      <c r="L12" s="499">
        <f>Assumptions!$H$54</f>
        <v>4.75</v>
      </c>
      <c r="M12" s="499">
        <f>Assumptions!$H$54</f>
        <v>4.75</v>
      </c>
      <c r="N12" s="499">
        <f>Assumptions!$H$54</f>
        <v>4.75</v>
      </c>
      <c r="O12" s="499">
        <f>Assumptions!$H$54</f>
        <v>4.75</v>
      </c>
      <c r="P12" s="499">
        <f>Assumptions!$H$54</f>
        <v>4.75</v>
      </c>
      <c r="Q12" s="499">
        <f>Assumptions!$H$54</f>
        <v>4.75</v>
      </c>
      <c r="R12" s="499">
        <f>Assumptions!$H$54</f>
        <v>4.75</v>
      </c>
      <c r="S12" s="499">
        <f>Assumptions!$H$54</f>
        <v>4.75</v>
      </c>
      <c r="T12" s="499">
        <f>Assumptions!$H$54</f>
        <v>4.75</v>
      </c>
      <c r="U12" s="499">
        <f>Assumptions!$H$54</f>
        <v>4.75</v>
      </c>
      <c r="V12" s="499">
        <f>Assumptions!$H$54</f>
        <v>4.75</v>
      </c>
      <c r="W12" s="499">
        <f>Assumptions!$H$54</f>
        <v>4.75</v>
      </c>
      <c r="X12" s="499">
        <f>Assumptions!$H$54</f>
        <v>4.75</v>
      </c>
      <c r="Y12" s="499">
        <f>Assumptions!$H$54</f>
        <v>4.75</v>
      </c>
      <c r="Z12" s="499">
        <f>Assumptions!$H$54</f>
        <v>4.75</v>
      </c>
      <c r="AA12" s="499">
        <f>Assumptions!$H$54</f>
        <v>4.75</v>
      </c>
      <c r="AB12" s="499">
        <f>Assumptions!$H$54</f>
        <v>4.75</v>
      </c>
      <c r="AC12" s="499">
        <f>Assumptions!$H$54</f>
        <v>4.75</v>
      </c>
      <c r="AD12" s="499">
        <f>Assumptions!$H$54</f>
        <v>4.75</v>
      </c>
      <c r="AE12" s="499">
        <f>Assumptions!$H$54</f>
        <v>4.75</v>
      </c>
      <c r="AF12" s="499">
        <f>Assumptions!$H$54</f>
        <v>4.75</v>
      </c>
      <c r="AG12" s="499">
        <f>Assumptions!$H$54</f>
        <v>4.75</v>
      </c>
      <c r="AH12" s="499">
        <f>Assumptions!$H$54</f>
        <v>4.75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20"/>
      <c r="C13" s="1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3"/>
      <c r="R13" s="363"/>
      <c r="S13" s="363"/>
      <c r="T13" s="363"/>
      <c r="U13" s="363"/>
      <c r="V13" s="363"/>
      <c r="W13" s="363"/>
      <c r="X13" s="363"/>
      <c r="Y13" s="363"/>
      <c r="Z13" s="363"/>
      <c r="AA13" s="363"/>
      <c r="AB13" s="363"/>
      <c r="AC13" s="363"/>
      <c r="AD13" s="363"/>
      <c r="AE13" s="363"/>
      <c r="AF13" s="363"/>
      <c r="AG13" s="363"/>
      <c r="AH13" s="36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20" t="s">
        <v>320</v>
      </c>
      <c r="C14" s="13"/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/>
      <c r="AA14" s="363"/>
      <c r="AB14" s="363"/>
      <c r="AC14" s="363"/>
      <c r="AD14" s="363"/>
      <c r="AE14" s="363"/>
      <c r="AF14" s="363"/>
      <c r="AG14" s="363"/>
      <c r="AH14" s="36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247</v>
      </c>
      <c r="C15" s="12"/>
      <c r="D15" s="500">
        <v>5.4933333333333332</v>
      </c>
      <c r="E15" s="500">
        <v>5.6581333333333328</v>
      </c>
      <c r="F15" s="500">
        <v>5.6457561666666676</v>
      </c>
      <c r="G15" s="500">
        <v>5.7213364508333333</v>
      </c>
      <c r="H15" s="500">
        <v>5.6997641986416658</v>
      </c>
      <c r="I15" s="500">
        <v>5.7712527665568336</v>
      </c>
      <c r="J15" s="500">
        <v>5.8419008607681322</v>
      </c>
      <c r="K15" s="500">
        <v>5.9115937131422074</v>
      </c>
      <c r="L15" s="500">
        <v>6.088941524536474</v>
      </c>
      <c r="M15" s="500">
        <v>6.1596167386605574</v>
      </c>
      <c r="N15" s="500">
        <v>6.3444052408203753</v>
      </c>
      <c r="O15" s="500">
        <v>6.4159239908078041</v>
      </c>
      <c r="P15" s="500">
        <v>6.6084017105320383</v>
      </c>
      <c r="Q15" s="500">
        <v>6.680604618110074</v>
      </c>
      <c r="R15" s="500">
        <v>6.7511921386033125</v>
      </c>
      <c r="S15" s="500">
        <v>6.8200023661698452</v>
      </c>
      <c r="T15" s="500">
        <v>6.8868651344656273</v>
      </c>
      <c r="U15" s="500">
        <v>6.951601666729605</v>
      </c>
      <c r="V15" s="500">
        <v>7.014024212308402</v>
      </c>
      <c r="W15" s="500">
        <v>7.0739356691218687</v>
      </c>
      <c r="X15" s="500">
        <v>7.1311291915530655</v>
      </c>
      <c r="Y15" s="500">
        <v>7.1853877832279265</v>
      </c>
      <c r="Z15" s="500">
        <v>7.2396463749027831</v>
      </c>
      <c r="AA15" s="500">
        <v>7.2939049665776494</v>
      </c>
      <c r="AB15" s="500">
        <v>7.3481635582525087</v>
      </c>
      <c r="AC15" s="500">
        <v>7.402422149927367</v>
      </c>
      <c r="AD15" s="500">
        <v>7.4566807416022245</v>
      </c>
      <c r="AE15" s="500">
        <v>7.5109393332770908</v>
      </c>
      <c r="AF15" s="500">
        <v>7.5651979249519501</v>
      </c>
      <c r="AG15" s="500">
        <v>7.6194565166268085</v>
      </c>
      <c r="AH15" s="50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248</v>
      </c>
      <c r="C16" s="12"/>
      <c r="D16" s="500">
        <v>4.3775000000000004</v>
      </c>
      <c r="E16" s="500">
        <v>4.5088249999999999</v>
      </c>
      <c r="F16" s="500">
        <v>4.7351503333333334</v>
      </c>
      <c r="G16" s="500">
        <v>4.8772048433333328</v>
      </c>
      <c r="H16" s="500">
        <v>5.023520988633333</v>
      </c>
      <c r="I16" s="500">
        <v>5.1742266182923329</v>
      </c>
      <c r="J16" s="500">
        <v>5.3294534168411039</v>
      </c>
      <c r="K16" s="500">
        <v>5.2782086724483994</v>
      </c>
      <c r="L16" s="500">
        <v>5.2190927353169778</v>
      </c>
      <c r="M16" s="500">
        <v>5.0396864225404565</v>
      </c>
      <c r="N16" s="500">
        <v>4.9601713700959298</v>
      </c>
      <c r="O16" s="500">
        <v>4.8713496967244438</v>
      </c>
      <c r="P16" s="500">
        <v>4.8951123781718797</v>
      </c>
      <c r="Q16" s="500">
        <v>4.9159166057791106</v>
      </c>
      <c r="R16" s="500">
        <v>4.8037328678523572</v>
      </c>
      <c r="S16" s="500">
        <v>4.8141193172963614</v>
      </c>
      <c r="T16" s="500">
        <v>4.8208055941259396</v>
      </c>
      <c r="U16" s="500">
        <v>4.9654297619497179</v>
      </c>
      <c r="V16" s="500">
        <v>5.114392654808209</v>
      </c>
      <c r="W16" s="500">
        <v>5.117315164896671</v>
      </c>
      <c r="X16" s="500">
        <v>5.27083461984357</v>
      </c>
      <c r="Y16" s="500">
        <v>5.4289596584388775</v>
      </c>
      <c r="Z16" s="500">
        <v>5.5870846970341832</v>
      </c>
      <c r="AA16" s="500">
        <v>5.7452097356294916</v>
      </c>
      <c r="AB16" s="500">
        <v>5.9033347742247999</v>
      </c>
      <c r="AC16" s="500">
        <v>6.0614598128201083</v>
      </c>
      <c r="AD16" s="500">
        <v>6.2195848514154086</v>
      </c>
      <c r="AE16" s="500">
        <v>6.377709890010717</v>
      </c>
      <c r="AF16" s="500">
        <v>6.5358349286060253</v>
      </c>
      <c r="AG16" s="500">
        <v>6.6939599672013337</v>
      </c>
      <c r="AH16" s="50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245</v>
      </c>
      <c r="C17" s="12"/>
      <c r="D17" s="501">
        <v>0</v>
      </c>
      <c r="E17" s="501">
        <v>0</v>
      </c>
      <c r="F17" s="501">
        <v>0</v>
      </c>
      <c r="G17" s="501">
        <v>0</v>
      </c>
      <c r="H17" s="501">
        <v>0</v>
      </c>
      <c r="I17" s="501">
        <v>0</v>
      </c>
      <c r="J17" s="501">
        <v>0</v>
      </c>
      <c r="K17" s="501">
        <v>0</v>
      </c>
      <c r="L17" s="501">
        <v>0</v>
      </c>
      <c r="M17" s="501">
        <v>0</v>
      </c>
      <c r="N17" s="501">
        <v>0</v>
      </c>
      <c r="O17" s="501">
        <v>0</v>
      </c>
      <c r="P17" s="501">
        <v>0</v>
      </c>
      <c r="Q17" s="501">
        <v>0</v>
      </c>
      <c r="R17" s="501">
        <v>0</v>
      </c>
      <c r="S17" s="501">
        <v>0</v>
      </c>
      <c r="T17" s="501">
        <v>0</v>
      </c>
      <c r="U17" s="501">
        <v>0</v>
      </c>
      <c r="V17" s="501">
        <v>0</v>
      </c>
      <c r="W17" s="501">
        <v>0</v>
      </c>
      <c r="X17" s="501">
        <v>0</v>
      </c>
      <c r="Y17" s="501">
        <v>0</v>
      </c>
      <c r="Z17" s="501">
        <v>0</v>
      </c>
      <c r="AA17" s="501">
        <v>0</v>
      </c>
      <c r="AB17" s="501">
        <v>0</v>
      </c>
      <c r="AC17" s="501">
        <v>0</v>
      </c>
      <c r="AD17" s="501">
        <v>0</v>
      </c>
      <c r="AE17" s="501">
        <v>0</v>
      </c>
      <c r="AF17" s="501">
        <v>0</v>
      </c>
      <c r="AG17" s="501">
        <v>0</v>
      </c>
      <c r="AH17" s="501">
        <v>0</v>
      </c>
      <c r="AI17" s="502"/>
      <c r="AJ17" s="502"/>
      <c r="AK17" s="502"/>
      <c r="AL17" s="502"/>
      <c r="AM17" s="502"/>
      <c r="AN17" s="502"/>
      <c r="AO17" s="502"/>
      <c r="AP17" s="502"/>
      <c r="AQ17" s="502"/>
      <c r="AR17" s="50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503">
        <v>0</v>
      </c>
      <c r="E18" s="503">
        <v>0</v>
      </c>
      <c r="F18" s="503">
        <v>0</v>
      </c>
      <c r="G18" s="503">
        <v>0</v>
      </c>
      <c r="H18" s="503">
        <v>0</v>
      </c>
      <c r="I18" s="503">
        <v>0</v>
      </c>
      <c r="J18" s="503">
        <v>0</v>
      </c>
      <c r="K18" s="503">
        <v>0</v>
      </c>
      <c r="L18" s="503">
        <v>0</v>
      </c>
      <c r="M18" s="503">
        <v>0</v>
      </c>
      <c r="N18" s="503">
        <v>0</v>
      </c>
      <c r="O18" s="503">
        <v>0</v>
      </c>
      <c r="P18" s="503">
        <v>0</v>
      </c>
      <c r="Q18" s="503">
        <v>0</v>
      </c>
      <c r="R18" s="503">
        <v>0</v>
      </c>
      <c r="S18" s="503">
        <v>0</v>
      </c>
      <c r="T18" s="503">
        <v>0</v>
      </c>
      <c r="U18" s="503">
        <v>0</v>
      </c>
      <c r="V18" s="503">
        <v>0</v>
      </c>
      <c r="W18" s="503">
        <v>0</v>
      </c>
      <c r="X18" s="503">
        <v>0</v>
      </c>
      <c r="Y18" s="503">
        <v>0</v>
      </c>
      <c r="Z18" s="503">
        <v>0</v>
      </c>
      <c r="AA18" s="503">
        <v>0</v>
      </c>
      <c r="AB18" s="503">
        <v>0</v>
      </c>
      <c r="AC18" s="503">
        <v>0</v>
      </c>
      <c r="AD18" s="503">
        <v>0</v>
      </c>
      <c r="AE18" s="503">
        <v>0</v>
      </c>
      <c r="AF18" s="503">
        <v>0</v>
      </c>
      <c r="AG18" s="503">
        <v>0</v>
      </c>
      <c r="AH18" s="50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504">
        <f>Assumptions!V13</f>
        <v>1</v>
      </c>
      <c r="B19" s="13" t="s">
        <v>124</v>
      </c>
      <c r="C19" s="505"/>
      <c r="D19" s="506">
        <f t="shared" ref="D19:AH19" si="4">CHOOSE($A$19,D15,D16,D17,D18)</f>
        <v>5.4933333333333332</v>
      </c>
      <c r="E19" s="506">
        <f t="shared" si="4"/>
        <v>5.6581333333333328</v>
      </c>
      <c r="F19" s="506">
        <f t="shared" si="4"/>
        <v>5.6457561666666676</v>
      </c>
      <c r="G19" s="506">
        <f t="shared" si="4"/>
        <v>5.7213364508333333</v>
      </c>
      <c r="H19" s="506">
        <f t="shared" si="4"/>
        <v>5.6997641986416658</v>
      </c>
      <c r="I19" s="506">
        <f t="shared" si="4"/>
        <v>5.7712527665568336</v>
      </c>
      <c r="J19" s="506">
        <f t="shared" si="4"/>
        <v>5.8419008607681322</v>
      </c>
      <c r="K19" s="506">
        <f t="shared" si="4"/>
        <v>5.9115937131422074</v>
      </c>
      <c r="L19" s="506">
        <f t="shared" si="4"/>
        <v>6.088941524536474</v>
      </c>
      <c r="M19" s="506">
        <f t="shared" si="4"/>
        <v>6.1596167386605574</v>
      </c>
      <c r="N19" s="506">
        <f t="shared" si="4"/>
        <v>6.3444052408203753</v>
      </c>
      <c r="O19" s="506">
        <f t="shared" si="4"/>
        <v>6.4159239908078041</v>
      </c>
      <c r="P19" s="506">
        <f t="shared" si="4"/>
        <v>6.6084017105320383</v>
      </c>
      <c r="Q19" s="506">
        <f t="shared" si="4"/>
        <v>6.680604618110074</v>
      </c>
      <c r="R19" s="506">
        <f t="shared" si="4"/>
        <v>6.7511921386033125</v>
      </c>
      <c r="S19" s="506">
        <f t="shared" si="4"/>
        <v>6.8200023661698452</v>
      </c>
      <c r="T19" s="506">
        <f t="shared" si="4"/>
        <v>6.8868651344656273</v>
      </c>
      <c r="U19" s="506">
        <f t="shared" si="4"/>
        <v>6.951601666729605</v>
      </c>
      <c r="V19" s="506">
        <f t="shared" si="4"/>
        <v>7.014024212308402</v>
      </c>
      <c r="W19" s="506">
        <f t="shared" si="4"/>
        <v>7.0739356691218687</v>
      </c>
      <c r="X19" s="506">
        <f t="shared" si="4"/>
        <v>7.1311291915530655</v>
      </c>
      <c r="Y19" s="506">
        <f t="shared" si="4"/>
        <v>7.1853877832279265</v>
      </c>
      <c r="Z19" s="506">
        <f t="shared" si="4"/>
        <v>7.2396463749027831</v>
      </c>
      <c r="AA19" s="506">
        <f t="shared" si="4"/>
        <v>7.2939049665776494</v>
      </c>
      <c r="AB19" s="506">
        <f t="shared" si="4"/>
        <v>7.3481635582525087</v>
      </c>
      <c r="AC19" s="506">
        <f t="shared" si="4"/>
        <v>7.402422149927367</v>
      </c>
      <c r="AD19" s="506">
        <f t="shared" si="4"/>
        <v>7.4566807416022245</v>
      </c>
      <c r="AE19" s="506">
        <f t="shared" si="4"/>
        <v>7.5109393332770908</v>
      </c>
      <c r="AF19" s="506">
        <f t="shared" si="4"/>
        <v>7.5651979249519501</v>
      </c>
      <c r="AG19" s="506">
        <f t="shared" si="4"/>
        <v>7.6194565166268085</v>
      </c>
      <c r="AH19" s="50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505"/>
      <c r="D20" s="507"/>
      <c r="E20" s="507"/>
      <c r="F20" s="507"/>
      <c r="G20" s="507"/>
      <c r="H20" s="507"/>
      <c r="I20" s="507"/>
      <c r="J20" s="507"/>
      <c r="K20" s="507"/>
      <c r="L20" s="507"/>
      <c r="M20" s="507"/>
      <c r="N20" s="507"/>
      <c r="O20" s="507"/>
      <c r="P20" s="507"/>
      <c r="Q20" s="507"/>
      <c r="R20" s="507"/>
      <c r="S20" s="507"/>
      <c r="T20" s="507"/>
      <c r="U20" s="507"/>
      <c r="V20" s="507"/>
      <c r="W20" s="507"/>
      <c r="X20" s="507"/>
      <c r="Y20" s="508"/>
      <c r="Z20" s="509"/>
      <c r="AA20" s="50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314</v>
      </c>
      <c r="C21" s="505"/>
      <c r="D21" s="510">
        <f>IF(AND(C7&lt;$D$7+Assumptions!$H$53,D7&lt;$D$7+Assumptions!$H$53),D12,IF(AND(C7&lt;$D$7+Assumptions!$H$53,D7&gt;$D$7+Assumptions!$H$53),D12*(1-$D$7)+D19*$D$7,D19))</f>
        <v>4.75</v>
      </c>
      <c r="E21" s="511">
        <f>IF(AND(D7&lt;$D$7+Assumptions!$H$53,E7&lt;$D$7+Assumptions!$H$53),E12,IF(AND(D7&lt;$D$7+Assumptions!$H$53,E7&gt;=$D$7+Assumptions!$H$53),E12*(1-$D$7)+E19*$D$7,E19))</f>
        <v>4.75</v>
      </c>
      <c r="F21" s="511">
        <f>IF(AND(E7&lt;$D$7+Assumptions!$H$53,F7&lt;$D$7+Assumptions!$H$53),F12,IF(AND(E7&lt;$D$7+Assumptions!$H$53,F7&gt;=$D$7+Assumptions!$H$53),F12*(1-$D$7)+F19*$D$7,F19))</f>
        <v>4.75</v>
      </c>
      <c r="G21" s="511">
        <f>IF(AND(F7&lt;$D$7+Assumptions!$H$53,G7&lt;$D$7+Assumptions!$H$53),G12,IF(AND(F7&lt;$D$7+Assumptions!$H$53,G7&gt;=$D$7+Assumptions!$H$53),G12*(1-$D$7)+G19*$D$7,G19))</f>
        <v>5.316612929652778</v>
      </c>
      <c r="H21" s="511">
        <f>IF(AND(G7&lt;$D$7+Assumptions!$H$53,H7&lt;$D$7+Assumptions!$H$53),H12,IF(AND(G7&lt;$D$7+Assumptions!$H$53,H7&gt;=$D$7+Assumptions!$H$53),H12*(1-$D$7)+H19*$D$7,H19))</f>
        <v>5.6997641986416658</v>
      </c>
      <c r="I21" s="511">
        <f>IF(AND(H7&lt;$D$7+Assumptions!$H$53,I7&lt;$D$7+Assumptions!$H$53),I12,IF(AND(H7&lt;$D$7+Assumptions!$H$53,I7&gt;=$D$7+Assumptions!$H$53),I12*(1-$D$7)+I19*$D$7,I19))</f>
        <v>5.7712527665568336</v>
      </c>
      <c r="J21" s="511">
        <f>IF(AND(I7&lt;$D$7+Assumptions!$H$53,J7&lt;$D$7+Assumptions!$H$53),J12,IF(AND(I7&lt;$D$7+Assumptions!$H$53,J7&gt;=$D$7+Assumptions!$H$53),J12*(1-$D$7)+J19*$D$7,J19))</f>
        <v>5.8419008607681322</v>
      </c>
      <c r="K21" s="511">
        <f>IF(AND(J7&lt;$D$7+Assumptions!$H$53,K7&lt;$D$7+Assumptions!$H$53),K12,IF(AND(J7&lt;$D$7+Assumptions!$H$53,K7&gt;=$D$7+Assumptions!$H$53),K12*(1-$D$7)+K19*$D$7,K19))</f>
        <v>5.9115937131422074</v>
      </c>
      <c r="L21" s="511">
        <f>IF(AND(K7&lt;$D$7+Assumptions!$H$53,L7&lt;$D$7+Assumptions!$H$53),L12,IF(AND(K7&lt;$D$7+Assumptions!$H$53,L7&gt;=$D$7+Assumptions!$H$53),L12*(1-$D$7)+L19*$D$7,L19))</f>
        <v>6.088941524536474</v>
      </c>
      <c r="M21" s="511">
        <f>IF(AND(L7&lt;$D$7+Assumptions!$H$53,M7&lt;$D$7+Assumptions!$H$53),M12,IF(AND(L7&lt;$D$7+Assumptions!$H$53,M7&gt;=$D$7+Assumptions!$H$53),M12*(1-$D$7)+M19*$D$7,M19))</f>
        <v>6.1596167386605574</v>
      </c>
      <c r="N21" s="511">
        <f>IF(AND(M7&lt;$D$7+Assumptions!$H$53,N7&lt;$D$7+Assumptions!$H$53),N12,IF(AND(M7&lt;$D$7+Assumptions!$H$53,N7&gt;=$D$7+Assumptions!$H$53),N12*(1-$D$7)+N19*$D$7,N19))</f>
        <v>6.3444052408203753</v>
      </c>
      <c r="O21" s="511">
        <f>IF(AND(N7&lt;$D$7+Assumptions!$H$53,O7&lt;$D$7+Assumptions!$H$53),O12,IF(AND(N7&lt;$D$7+Assumptions!$H$53,O7&gt;=$D$7+Assumptions!$H$53),O12*(1-$D$7)+O19*$D$7,O19))</f>
        <v>6.4159239908078041</v>
      </c>
      <c r="P21" s="511">
        <f>IF(AND(O7&lt;$D$7+Assumptions!$H$53,P7&lt;$D$7+Assumptions!$H$53),P12,IF(AND(O7&lt;$D$7+Assumptions!$H$53,P7&gt;=$D$7+Assumptions!$H$53),P12*(1-$D$7)+P19*$D$7,P19))</f>
        <v>6.6084017105320383</v>
      </c>
      <c r="Q21" s="511">
        <f>IF(AND(P7&lt;$D$7+Assumptions!$H$53,Q7&lt;$D$7+Assumptions!$H$53),Q12,IF(AND(P7&lt;$D$7+Assumptions!$H$53,Q7&gt;=$D$7+Assumptions!$H$53),Q12*(1-$D$7)+Q19*$D$7,Q19))</f>
        <v>6.680604618110074</v>
      </c>
      <c r="R21" s="512">
        <f>IF(AND(Q7&lt;$D$7+Assumptions!$H$53,R7&lt;$D$7+Assumptions!$H$53),R12,IF(AND(Q7&lt;$D$7+Assumptions!$H$53,R7&gt;=$D$7+Assumptions!$H$53),R12*(1-$D$7)+R19*$D$7,R19))</f>
        <v>6.7511921386033125</v>
      </c>
      <c r="S21" s="510">
        <f>IF(AND(R7&lt;$D$7+Assumptions!$H$53,S7&lt;$D$7+Assumptions!$H$53),S12,IF(AND(R7&lt;$D$7+Assumptions!$H$53,S7&gt;=$D$7+Assumptions!$H$53),S12*(1-$D$7)+S19*$D$7,S19))</f>
        <v>6.8200023661698452</v>
      </c>
      <c r="T21" s="511">
        <f>IF(AND(S7&lt;$D$7+Assumptions!$H$53,T7&lt;$D$7+Assumptions!$H$53),T12,IF(AND(S7&lt;$D$7+Assumptions!$H$53,T7&gt;=$D$7+Assumptions!$H$53),T12*(1-$D$7)+T19*$D$7,T19))</f>
        <v>6.8868651344656273</v>
      </c>
      <c r="U21" s="511">
        <f>IF(AND(T7&lt;$D$7+Assumptions!$H$53,U7&lt;$D$7+Assumptions!$H$53),U12,IF(AND(T7&lt;$D$7+Assumptions!$H$53,U7&gt;=$D$7+Assumptions!$H$53),U12*(1-$D$7)+U19*$D$7,U19))</f>
        <v>6.951601666729605</v>
      </c>
      <c r="V21" s="511">
        <f>IF(AND(U7&lt;$D$7+Assumptions!$H$53,V7&lt;$D$7+Assumptions!$H$53),V12,IF(AND(U7&lt;$D$7+Assumptions!$H$53,V7&gt;=$D$7+Assumptions!$H$53),V12*(1-$D$7)+V19*$D$7,V19))</f>
        <v>7.014024212308402</v>
      </c>
      <c r="W21" s="511">
        <f>IF(AND(V7&lt;$D$7+Assumptions!$H$53,W7&lt;$D$7+Assumptions!$H$53),W12,IF(AND(V7&lt;$D$7+Assumptions!$H$53,W7&gt;=$D$7+Assumptions!$H$53),W12*(1-$D$7)+W19*$D$7,W19))</f>
        <v>7.0739356691218687</v>
      </c>
      <c r="X21" s="511">
        <f>IF(AND(W7&lt;$D$7+Assumptions!$H$53,X7&lt;$D$7+Assumptions!$H$53),X12,IF(AND(W7&lt;$D$7+Assumptions!$H$53,X7&gt;=$D$7+Assumptions!$H$53),X12*(1-$D$7)+X19*$D$7,X19))</f>
        <v>7.1311291915530655</v>
      </c>
      <c r="Y21" s="511">
        <f>IF(AND(X7&lt;$D$7+Assumptions!$H$53,Y7&lt;$D$7+Assumptions!$H$53),Y12,IF(AND(X7&lt;$D$7+Assumptions!$H$53,Y7&gt;=$D$7+Assumptions!$H$53),Y12*(1-$D$7)+Y19*$D$7,Y19))</f>
        <v>7.1853877832279265</v>
      </c>
      <c r="Z21" s="511">
        <f>IF(AND(Y7&lt;$D$7+Assumptions!$H$53,Z7&lt;$D$7+Assumptions!$H$53),Z12,IF(AND(Y7&lt;$D$7+Assumptions!$H$53,Z7&gt;=$D$7+Assumptions!$H$53),Z12*(1-$D$7)+Z19*$D$7,Z19))</f>
        <v>7.2396463749027831</v>
      </c>
      <c r="AA21" s="511">
        <f>IF(AND(Z7&lt;$D$7+Assumptions!$H$53,AA7&lt;$D$7+Assumptions!$H$53),AA12,IF(AND(Z7&lt;$D$7+Assumptions!$H$53,AA7&gt;=$D$7+Assumptions!$H$53),AA12*(1-$D$7)+AA19*$D$7,AA19))</f>
        <v>7.2939049665776494</v>
      </c>
      <c r="AB21" s="511">
        <f>IF(AND(AA7&lt;$D$7+Assumptions!$H$53,AB7&lt;$D$7+Assumptions!$H$53),AB12,IF(AND(AA7&lt;$D$7+Assumptions!$H$53,AB7&gt;=$D$7+Assumptions!$H$53),AB12*(1-$D$7)+AB19*$D$7,AB19))</f>
        <v>7.3481635582525087</v>
      </c>
      <c r="AC21" s="511">
        <f>IF(AND(AB7&lt;$D$7+Assumptions!$H$53,AC7&lt;$D$7+Assumptions!$H$53),AC12,IF(AND(AB7&lt;$D$7+Assumptions!$H$53,AC7&gt;=$D$7+Assumptions!$H$53),AC12*(1-$D$7)+AC19*$D$7,AC19))</f>
        <v>7.402422149927367</v>
      </c>
      <c r="AD21" s="511">
        <f>IF(AND(AC7&lt;$D$7+Assumptions!$H$53,AD7&lt;$D$7+Assumptions!$H$53),AD12,IF(AND(AC7&lt;$D$7+Assumptions!$H$53,AD7&gt;=$D$7+Assumptions!$H$53),AD12*(1-$D$7)+AD19*$D$7,AD19))</f>
        <v>7.4566807416022245</v>
      </c>
      <c r="AE21" s="511">
        <f>IF(AND(AD7&lt;$D$7+Assumptions!$H$53,AE7&lt;$D$7+Assumptions!$H$53),AE12,IF(AND(AD7&lt;$D$7+Assumptions!$H$53,AE7&gt;=$D$7+Assumptions!$H$53),AE12*(1-$D$7)+AE19*$D$7,AE19))</f>
        <v>7.5109393332770908</v>
      </c>
      <c r="AF21" s="511">
        <f>IF(AND(AE7&lt;$D$7+Assumptions!$H$53,AF7&lt;$D$7+Assumptions!$H$53),AF12,IF(AND(AE7&lt;$D$7+Assumptions!$H$53,AF7&gt;=$D$7+Assumptions!$H$53),AF12*(1-$D$7)+AF19*$D$7,AF19))</f>
        <v>7.5651979249519501</v>
      </c>
      <c r="AG21" s="511">
        <f>IF(AND(AF7&lt;$D$7+Assumptions!$H$53,AG7&lt;$D$7+Assumptions!$H$53),AG12,IF(AND(AF7&lt;$D$7+Assumptions!$H$53,AG7&gt;=$D$7+Assumptions!$H$53),AG12*(1-$D$7)+AG19*$D$7,AG19))</f>
        <v>7.6194565166268085</v>
      </c>
      <c r="AH21" s="512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505"/>
      <c r="D22" s="507"/>
      <c r="E22" s="507"/>
      <c r="F22" s="507"/>
      <c r="G22" s="507"/>
      <c r="H22" s="507"/>
      <c r="I22" s="507"/>
      <c r="J22" s="507"/>
      <c r="K22" s="507"/>
      <c r="L22" s="507"/>
      <c r="M22" s="507"/>
      <c r="N22" s="507"/>
      <c r="O22" s="507"/>
      <c r="P22" s="507"/>
      <c r="Q22" s="507"/>
      <c r="R22" s="507"/>
      <c r="S22" s="507"/>
      <c r="T22" s="507"/>
      <c r="U22" s="507"/>
      <c r="V22" s="507"/>
      <c r="W22" s="507"/>
      <c r="X22" s="507"/>
      <c r="Y22" s="508"/>
      <c r="Z22" s="509"/>
      <c r="AA22" s="50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50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7" t="s">
        <v>399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440</v>
      </c>
      <c r="C25" s="513"/>
      <c r="D25" s="501">
        <f>GCurve!I8</f>
        <v>3.2287916666666665</v>
      </c>
      <c r="E25" s="501">
        <f>GCurve!I9</f>
        <v>3.1855000000000007</v>
      </c>
      <c r="F25" s="501">
        <f>GCurve!I10</f>
        <v>3.1967083333333335</v>
      </c>
      <c r="G25" s="501">
        <f>GCurve!I11</f>
        <v>3.2458750000000003</v>
      </c>
      <c r="H25" s="501">
        <f>GCurve!I12</f>
        <v>3.3050416666666664</v>
      </c>
      <c r="I25" s="501">
        <f>GCurve!I13</f>
        <v>3.3679583333333336</v>
      </c>
      <c r="J25" s="501">
        <f>GCurve!I14</f>
        <v>3.4329583333333336</v>
      </c>
      <c r="K25" s="501">
        <f>GCurve!I15</f>
        <v>3.5029583333333334</v>
      </c>
      <c r="L25" s="501">
        <f>GCurve!I16</f>
        <v>3.5779583333333336</v>
      </c>
      <c r="M25" s="501">
        <f>GCurve!I17</f>
        <v>3.6579583333333332</v>
      </c>
      <c r="N25" s="501">
        <f>GCurve!I18</f>
        <v>3.7429583333333336</v>
      </c>
      <c r="O25" s="501">
        <f>GCurve!I19</f>
        <v>3.8329583333333335</v>
      </c>
      <c r="P25" s="501">
        <f>GCurve!I20</f>
        <v>3.9279583333333328</v>
      </c>
      <c r="Q25" s="501">
        <f>GCurve!I21</f>
        <v>4.0279583333333333</v>
      </c>
      <c r="R25" s="501">
        <f>GCurve!I22</f>
        <v>4.1329583333333337</v>
      </c>
      <c r="S25" s="501">
        <f>GCurve!I23</f>
        <v>4.2429583333333332</v>
      </c>
      <c r="T25" s="501">
        <f>GCurve!I24</f>
        <v>4.3579583333333334</v>
      </c>
      <c r="U25" s="501">
        <f>GCurve!I25</f>
        <v>4.4779583333333335</v>
      </c>
      <c r="V25" s="501">
        <f>GCurve!I26</f>
        <v>4.6029583333333335</v>
      </c>
      <c r="W25" s="501">
        <f>GCurve!I27</f>
        <v>4.7180322916666668</v>
      </c>
      <c r="X25" s="501">
        <f>GCurve!I28</f>
        <v>4.8359830989583328</v>
      </c>
      <c r="Y25" s="501">
        <v>2.2000000000000002</v>
      </c>
      <c r="Z25" s="501">
        <v>2.2000000000000002</v>
      </c>
      <c r="AA25" s="501">
        <v>2.2000000000000002</v>
      </c>
      <c r="AB25" s="501">
        <v>2.2000000000000002</v>
      </c>
      <c r="AC25" s="501">
        <v>2.2000000000000002</v>
      </c>
      <c r="AD25" s="501">
        <v>2.2000000000000002</v>
      </c>
      <c r="AE25" s="501">
        <v>2.2000000000000002</v>
      </c>
      <c r="AF25" s="501">
        <v>2.2000000000000002</v>
      </c>
      <c r="AG25" s="501">
        <v>2.2000000000000002</v>
      </c>
      <c r="AH25" s="50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242</v>
      </c>
      <c r="C26" s="13"/>
      <c r="D26" s="501">
        <v>2.5</v>
      </c>
      <c r="E26" s="501">
        <v>2.5</v>
      </c>
      <c r="F26" s="501">
        <v>2.5</v>
      </c>
      <c r="G26" s="501">
        <v>2.5</v>
      </c>
      <c r="H26" s="501">
        <v>2.5</v>
      </c>
      <c r="I26" s="501">
        <v>2.5</v>
      </c>
      <c r="J26" s="501">
        <v>2.5</v>
      </c>
      <c r="K26" s="501">
        <v>2.5</v>
      </c>
      <c r="L26" s="501">
        <v>2.5</v>
      </c>
      <c r="M26" s="501">
        <v>2.5</v>
      </c>
      <c r="N26" s="501">
        <v>2.5</v>
      </c>
      <c r="O26" s="501">
        <v>2.5</v>
      </c>
      <c r="P26" s="501">
        <v>2.5</v>
      </c>
      <c r="Q26" s="501">
        <v>2.5</v>
      </c>
      <c r="R26" s="501">
        <v>2.5</v>
      </c>
      <c r="S26" s="501">
        <v>2.5</v>
      </c>
      <c r="T26" s="501">
        <v>2.5</v>
      </c>
      <c r="U26" s="501">
        <v>2.5</v>
      </c>
      <c r="V26" s="501">
        <v>2.5</v>
      </c>
      <c r="W26" s="501">
        <v>2.5</v>
      </c>
      <c r="X26" s="501">
        <v>2.5</v>
      </c>
      <c r="Y26" s="501">
        <v>2.5</v>
      </c>
      <c r="Z26" s="501">
        <v>2.5</v>
      </c>
      <c r="AA26" s="501">
        <v>2.5</v>
      </c>
      <c r="AB26" s="501">
        <v>2.5</v>
      </c>
      <c r="AC26" s="501">
        <v>2.5</v>
      </c>
      <c r="AD26" s="501">
        <v>2.5</v>
      </c>
      <c r="AE26" s="501">
        <v>2.5</v>
      </c>
      <c r="AF26" s="501">
        <v>2.5</v>
      </c>
      <c r="AG26" s="501">
        <v>2.5</v>
      </c>
      <c r="AH26" s="50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14">
        <v>1.5</v>
      </c>
      <c r="E27" s="514">
        <v>1.5</v>
      </c>
      <c r="F27" s="514">
        <v>1.5</v>
      </c>
      <c r="G27" s="514">
        <v>1.5</v>
      </c>
      <c r="H27" s="514">
        <v>1.5</v>
      </c>
      <c r="I27" s="514">
        <v>1.5</v>
      </c>
      <c r="J27" s="514">
        <v>1.5</v>
      </c>
      <c r="K27" s="514">
        <v>1.5</v>
      </c>
      <c r="L27" s="514">
        <v>1.5</v>
      </c>
      <c r="M27" s="514">
        <v>1.5</v>
      </c>
      <c r="N27" s="514">
        <v>1.5</v>
      </c>
      <c r="O27" s="514">
        <v>1.5</v>
      </c>
      <c r="P27" s="514">
        <v>1.5</v>
      </c>
      <c r="Q27" s="514">
        <v>1.5</v>
      </c>
      <c r="R27" s="514">
        <v>1.5</v>
      </c>
      <c r="S27" s="514">
        <v>1.5</v>
      </c>
      <c r="T27" s="514">
        <v>1.5</v>
      </c>
      <c r="U27" s="514">
        <v>1.5</v>
      </c>
      <c r="V27" s="514">
        <v>1.5</v>
      </c>
      <c r="W27" s="514">
        <v>1.5</v>
      </c>
      <c r="X27" s="514">
        <v>1.5</v>
      </c>
      <c r="Y27" s="514">
        <v>1.5</v>
      </c>
      <c r="Z27" s="514">
        <v>1.5</v>
      </c>
      <c r="AA27" s="514">
        <v>1.5</v>
      </c>
      <c r="AB27" s="514">
        <v>1.5</v>
      </c>
      <c r="AC27" s="514">
        <v>1.5</v>
      </c>
      <c r="AD27" s="514">
        <v>1.5</v>
      </c>
      <c r="AE27" s="514">
        <v>1.5</v>
      </c>
      <c r="AF27" s="514">
        <v>1.5</v>
      </c>
      <c r="AG27" s="514">
        <v>1.5</v>
      </c>
      <c r="AH27" s="51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243</v>
      </c>
      <c r="C28" s="13"/>
      <c r="D28" s="515">
        <f>Assumptions!$N$54</f>
        <v>1.4999999999999999E-2</v>
      </c>
      <c r="E28" s="515">
        <f>Assumptions!$N$54</f>
        <v>1.4999999999999999E-2</v>
      </c>
      <c r="F28" s="515">
        <f>Assumptions!$N$54</f>
        <v>1.4999999999999999E-2</v>
      </c>
      <c r="G28" s="515">
        <f>Assumptions!$N$54</f>
        <v>1.4999999999999999E-2</v>
      </c>
      <c r="H28" s="515">
        <f>Assumptions!$N$54</f>
        <v>1.4999999999999999E-2</v>
      </c>
      <c r="I28" s="515">
        <f>Assumptions!$N$54</f>
        <v>1.4999999999999999E-2</v>
      </c>
      <c r="J28" s="515">
        <f>Assumptions!$N$54</f>
        <v>1.4999999999999999E-2</v>
      </c>
      <c r="K28" s="515">
        <f>Assumptions!$N$54</f>
        <v>1.4999999999999999E-2</v>
      </c>
      <c r="L28" s="515">
        <f>Assumptions!$N$54</f>
        <v>1.4999999999999999E-2</v>
      </c>
      <c r="M28" s="515">
        <f>Assumptions!$N$54</f>
        <v>1.4999999999999999E-2</v>
      </c>
      <c r="N28" s="515">
        <f>Assumptions!$N$54</f>
        <v>1.4999999999999999E-2</v>
      </c>
      <c r="O28" s="515">
        <f>Assumptions!$N$54</f>
        <v>1.4999999999999999E-2</v>
      </c>
      <c r="P28" s="515">
        <f>Assumptions!$N$54</f>
        <v>1.4999999999999999E-2</v>
      </c>
      <c r="Q28" s="515">
        <f>Assumptions!$N$54</f>
        <v>1.4999999999999999E-2</v>
      </c>
      <c r="R28" s="515">
        <f>Assumptions!$N$54</f>
        <v>1.4999999999999999E-2</v>
      </c>
      <c r="S28" s="515">
        <f>Assumptions!$N$54</f>
        <v>1.4999999999999999E-2</v>
      </c>
      <c r="T28" s="515">
        <f>Assumptions!$N$54</f>
        <v>1.4999999999999999E-2</v>
      </c>
      <c r="U28" s="515">
        <f>Assumptions!$N$54</f>
        <v>1.4999999999999999E-2</v>
      </c>
      <c r="V28" s="515">
        <f>Assumptions!$N$54</f>
        <v>1.4999999999999999E-2</v>
      </c>
      <c r="W28" s="515">
        <f>Assumptions!$N$54</f>
        <v>1.4999999999999999E-2</v>
      </c>
      <c r="X28" s="515">
        <f>Assumptions!$N$54</f>
        <v>1.4999999999999999E-2</v>
      </c>
      <c r="Y28" s="515">
        <f>Assumptions!$N$54</f>
        <v>1.4999999999999999E-2</v>
      </c>
      <c r="Z28" s="515">
        <f>Assumptions!$N$54</f>
        <v>1.4999999999999999E-2</v>
      </c>
      <c r="AA28" s="515">
        <f>Assumptions!$N$54</f>
        <v>1.4999999999999999E-2</v>
      </c>
      <c r="AB28" s="515">
        <f>Assumptions!$N$54</f>
        <v>1.4999999999999999E-2</v>
      </c>
      <c r="AC28" s="515">
        <f>Assumptions!$N$54</f>
        <v>1.4999999999999999E-2</v>
      </c>
      <c r="AD28" s="515">
        <f>Assumptions!$N$54</f>
        <v>1.4999999999999999E-2</v>
      </c>
      <c r="AE28" s="515">
        <f>Assumptions!$N$54</f>
        <v>1.4999999999999999E-2</v>
      </c>
      <c r="AF28" s="515">
        <f>Assumptions!$N$54</f>
        <v>1.4999999999999999E-2</v>
      </c>
      <c r="AG28" s="515">
        <f>Assumptions!$N$54</f>
        <v>1.4999999999999999E-2</v>
      </c>
      <c r="AH28" s="51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504">
        <f>Assumptions!U13</f>
        <v>1</v>
      </c>
      <c r="B30" s="43" t="s">
        <v>240</v>
      </c>
      <c r="C30" s="12"/>
      <c r="D30" s="516">
        <f>IF(Assumptions!$U$14="Index",'Price_Technical Assumption'!D25,IF(Assumptions!$U$14="Fixed",'Price_Technical Assumption'!D26*(1+'Price_Technical Assumption'!D28),'Price_Technical Assumption'!D27*(1+'Price_Technical Assumption'!D28)))</f>
        <v>3.2287916666666665</v>
      </c>
      <c r="E30" s="516">
        <f>IF(Assumptions!$U$14="Index",'Price_Technical Assumption'!E25,IF(Assumptions!$U$14="Fixed",'Price_Technical Assumption'!E26*(1+'Price_Technical Assumption'!E28),'Price_Technical Assumption'!E27*(1+'Price_Technical Assumption'!E28)))</f>
        <v>3.1855000000000007</v>
      </c>
      <c r="F30" s="516">
        <f>IF(Assumptions!$U$14="Index",'Price_Technical Assumption'!F25,IF(Assumptions!$U$14="Fixed",'Price_Technical Assumption'!F26*(1+'Price_Technical Assumption'!F28),'Price_Technical Assumption'!F27*(1+'Price_Technical Assumption'!F28)))</f>
        <v>3.1967083333333335</v>
      </c>
      <c r="G30" s="516">
        <f>IF(Assumptions!$U$14="Index",'Price_Technical Assumption'!G25,IF(Assumptions!$U$14="Fixed",'Price_Technical Assumption'!G26*(1+'Price_Technical Assumption'!G28),'Price_Technical Assumption'!G27*(1+'Price_Technical Assumption'!G28)))</f>
        <v>3.2458750000000003</v>
      </c>
      <c r="H30" s="516">
        <f>IF(Assumptions!$U$14="Index",'Price_Technical Assumption'!H25,IF(Assumptions!$U$14="Fixed",'Price_Technical Assumption'!H26*(1+'Price_Technical Assumption'!H28),'Price_Technical Assumption'!H27*(1+'Price_Technical Assumption'!H28)))</f>
        <v>3.3050416666666664</v>
      </c>
      <c r="I30" s="516">
        <f>IF(Assumptions!$U$14="Index",'Price_Technical Assumption'!I25,IF(Assumptions!$U$14="Fixed",'Price_Technical Assumption'!I26*(1+'Price_Technical Assumption'!I28),'Price_Technical Assumption'!I27*(1+'Price_Technical Assumption'!I28)))</f>
        <v>3.3679583333333336</v>
      </c>
      <c r="J30" s="516">
        <f>IF(Assumptions!$U$14="Index",'Price_Technical Assumption'!J25,IF(Assumptions!$U$14="Fixed",'Price_Technical Assumption'!J26*(1+'Price_Technical Assumption'!J28),'Price_Technical Assumption'!J27*(1+'Price_Technical Assumption'!J28)))</f>
        <v>3.4329583333333336</v>
      </c>
      <c r="K30" s="516">
        <f>IF(Assumptions!$U$14="Index",'Price_Technical Assumption'!K25,IF(Assumptions!$U$14="Fixed",'Price_Technical Assumption'!K26*(1+'Price_Technical Assumption'!K28),'Price_Technical Assumption'!K27*(1+'Price_Technical Assumption'!K28)))</f>
        <v>3.5029583333333334</v>
      </c>
      <c r="L30" s="516">
        <f>IF(Assumptions!$U$14="Index",'Price_Technical Assumption'!L25,IF(Assumptions!$U$14="Fixed",'Price_Technical Assumption'!L26*(1+'Price_Technical Assumption'!L28),'Price_Technical Assumption'!L27*(1+'Price_Technical Assumption'!L28)))</f>
        <v>3.5779583333333336</v>
      </c>
      <c r="M30" s="516">
        <f>IF(Assumptions!$U$14="Index",'Price_Technical Assumption'!M25,IF(Assumptions!$U$14="Fixed",'Price_Technical Assumption'!M26*(1+'Price_Technical Assumption'!M28),'Price_Technical Assumption'!M27*(1+'Price_Technical Assumption'!M28)))</f>
        <v>3.6579583333333332</v>
      </c>
      <c r="N30" s="516">
        <f>IF(Assumptions!$U$14="Index",'Price_Technical Assumption'!N25,IF(Assumptions!$U$14="Fixed",'Price_Technical Assumption'!N26*(1+'Price_Technical Assumption'!N28),'Price_Technical Assumption'!N27*(1+'Price_Technical Assumption'!N28)))</f>
        <v>3.7429583333333336</v>
      </c>
      <c r="O30" s="516">
        <f>IF(Assumptions!$U$14="Index",'Price_Technical Assumption'!O25,IF(Assumptions!$U$14="Fixed",'Price_Technical Assumption'!O26*(1+'Price_Technical Assumption'!O28),'Price_Technical Assumption'!O27*(1+'Price_Technical Assumption'!O28)))</f>
        <v>3.8329583333333335</v>
      </c>
      <c r="P30" s="516">
        <f>IF(Assumptions!$U$14="Index",'Price_Technical Assumption'!P25,IF(Assumptions!$U$14="Fixed",'Price_Technical Assumption'!P26*(1+'Price_Technical Assumption'!P28),'Price_Technical Assumption'!P27*(1+'Price_Technical Assumption'!P28)))</f>
        <v>3.9279583333333328</v>
      </c>
      <c r="Q30" s="516">
        <f>IF(Assumptions!$U$14="Index",'Price_Technical Assumption'!Q25,IF(Assumptions!$U$14="Fixed",'Price_Technical Assumption'!Q26*(1+'Price_Technical Assumption'!Q28),'Price_Technical Assumption'!Q27*(1+'Price_Technical Assumption'!Q28)))</f>
        <v>4.0279583333333333</v>
      </c>
      <c r="R30" s="516">
        <f>IF(Assumptions!$U$14="Index",'Price_Technical Assumption'!R25,IF(Assumptions!$U$14="Fixed",'Price_Technical Assumption'!R26*(1+'Price_Technical Assumption'!R28),'Price_Technical Assumption'!R27*(1+'Price_Technical Assumption'!R28)))</f>
        <v>4.1329583333333337</v>
      </c>
      <c r="S30" s="516">
        <f>IF(Assumptions!$U$14="Index",'Price_Technical Assumption'!S25,IF(Assumptions!$U$14="Fixed",'Price_Technical Assumption'!S26*(1+'Price_Technical Assumption'!S28),'Price_Technical Assumption'!S27*(1+'Price_Technical Assumption'!S28)))</f>
        <v>4.2429583333333332</v>
      </c>
      <c r="T30" s="516">
        <f>IF(Assumptions!$U$14="Index",'Price_Technical Assumption'!T25,IF(Assumptions!$U$14="Fixed",'Price_Technical Assumption'!T26*(1+'Price_Technical Assumption'!T28),'Price_Technical Assumption'!T27*(1+'Price_Technical Assumption'!T28)))</f>
        <v>4.3579583333333334</v>
      </c>
      <c r="U30" s="516">
        <f>IF(Assumptions!$U$14="Index",'Price_Technical Assumption'!U25,IF(Assumptions!$U$14="Fixed",'Price_Technical Assumption'!U26*(1+'Price_Technical Assumption'!U28),'Price_Technical Assumption'!U27*(1+'Price_Technical Assumption'!U28)))</f>
        <v>4.4779583333333335</v>
      </c>
      <c r="V30" s="516">
        <f>IF(Assumptions!$U$14="Index",'Price_Technical Assumption'!V25,IF(Assumptions!$U$14="Fixed",'Price_Technical Assumption'!V26*(1+'Price_Technical Assumption'!V28),'Price_Technical Assumption'!V27*(1+'Price_Technical Assumption'!V28)))</f>
        <v>4.6029583333333335</v>
      </c>
      <c r="W30" s="516">
        <f>IF(Assumptions!$U$14="Index",'Price_Technical Assumption'!W25,IF(Assumptions!$U$14="Fixed",'Price_Technical Assumption'!W26*(1+'Price_Technical Assumption'!W28),'Price_Technical Assumption'!W27*(1+'Price_Technical Assumption'!W28)))</f>
        <v>4.7180322916666668</v>
      </c>
      <c r="X30" s="516">
        <f>IF(Assumptions!$U$14="Index",'Price_Technical Assumption'!X25,IF(Assumptions!$U$14="Fixed",'Price_Technical Assumption'!X26*(1+'Price_Technical Assumption'!X28),'Price_Technical Assumption'!X27*(1+'Price_Technical Assumption'!X28)))</f>
        <v>4.8359830989583328</v>
      </c>
      <c r="Y30" s="516">
        <f>IF(Assumptions!$U$14="Index",'Price_Technical Assumption'!Y25,IF(Assumptions!$U$14="Fixed",'Price_Technical Assumption'!Y26*(1+'Price_Technical Assumption'!Y28),'Price_Technical Assumption'!Y27*(1+'Price_Technical Assumption'!Y28)))</f>
        <v>2.2000000000000002</v>
      </c>
      <c r="Z30" s="516">
        <f>IF(Assumptions!$U$14="Index",'Price_Technical Assumption'!Z25,IF(Assumptions!$U$14="Fixed",'Price_Technical Assumption'!Z26*(1+'Price_Technical Assumption'!Z28),'Price_Technical Assumption'!Z27*(1+'Price_Technical Assumption'!Z28)))</f>
        <v>2.2000000000000002</v>
      </c>
      <c r="AA30" s="516">
        <f>IF(Assumptions!$U$14="Index",'Price_Technical Assumption'!AA25,IF(Assumptions!$U$14="Fixed",'Price_Technical Assumption'!AA26*(1+'Price_Technical Assumption'!AA28),'Price_Technical Assumption'!AA27*(1+'Price_Technical Assumption'!AA28)))</f>
        <v>2.2000000000000002</v>
      </c>
      <c r="AB30" s="516">
        <f>IF(Assumptions!$U$14="Index",'Price_Technical Assumption'!AB25,IF(Assumptions!$U$14="Fixed",'Price_Technical Assumption'!AB26*(1+'Price_Technical Assumption'!AB28),'Price_Technical Assumption'!AB27*(1+'Price_Technical Assumption'!AB28)))</f>
        <v>2.2000000000000002</v>
      </c>
      <c r="AC30" s="516">
        <f>IF(Assumptions!$U$14="Index",'Price_Technical Assumption'!AC25,IF(Assumptions!$U$14="Fixed",'Price_Technical Assumption'!AC26*(1+'Price_Technical Assumption'!AC28),'Price_Technical Assumption'!AC27*(1+'Price_Technical Assumption'!AC28)))</f>
        <v>2.2000000000000002</v>
      </c>
      <c r="AD30" s="516">
        <f>IF(Assumptions!$U$14="Index",'Price_Technical Assumption'!AD25,IF(Assumptions!$U$14="Fixed",'Price_Technical Assumption'!AD26*(1+'Price_Technical Assumption'!AD28),'Price_Technical Assumption'!AD27*(1+'Price_Technical Assumption'!AD28)))</f>
        <v>2.2000000000000002</v>
      </c>
      <c r="AE30" s="516">
        <f>IF(Assumptions!$U$14="Index",'Price_Technical Assumption'!AE25,IF(Assumptions!$U$14="Fixed",'Price_Technical Assumption'!AE26*(1+'Price_Technical Assumption'!AE28),'Price_Technical Assumption'!AE27*(1+'Price_Technical Assumption'!AE28)))</f>
        <v>2.2000000000000002</v>
      </c>
      <c r="AF30" s="516">
        <f>IF(Assumptions!$U$14="Index",'Price_Technical Assumption'!AF25,IF(Assumptions!$U$14="Fixed",'Price_Technical Assumption'!AF26*(1+'Price_Technical Assumption'!AF28),'Price_Technical Assumption'!AF27*(1+'Price_Technical Assumption'!AF28)))</f>
        <v>2.2000000000000002</v>
      </c>
      <c r="AG30" s="516">
        <f>IF(Assumptions!$U$14="Index",'Price_Technical Assumption'!AG25,IF(Assumptions!$U$14="Fixed",'Price_Technical Assumption'!AG26*(1+'Price_Technical Assumption'!AG28),'Price_Technical Assumption'!AG27*(1+'Price_Technical Assumption'!AG28)))</f>
        <v>2.2000000000000002</v>
      </c>
      <c r="AH30" s="516">
        <f>IF(Assumptions!$U$14="Index",'Price_Technical Assumption'!AH25,IF(Assumptions!$U$14="Fixed",'Price_Technical Assumption'!AH26*(1+'Price_Technical Assumption'!AH28),'Price_Technical Assumption'!AH27*(1+'Price_Technical Assumption'!AH28)))</f>
        <v>2.2000000000000002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7" t="s">
        <v>400</v>
      </c>
      <c r="C33" s="1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63"/>
      <c r="AD33" s="363"/>
      <c r="AE33" s="363"/>
      <c r="AF33" s="363"/>
      <c r="AG33" s="363"/>
      <c r="AH33" s="363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241</v>
      </c>
      <c r="C34" s="12"/>
      <c r="D34" s="502">
        <f>D44*'Price_Technical Assumption'!D30/1000</f>
        <v>33.921685249999996</v>
      </c>
      <c r="E34" s="502">
        <f>E44*'Price_Technical Assumption'!E30/1000</f>
        <v>33.466863000000004</v>
      </c>
      <c r="F34" s="502">
        <f>F44*'Price_Technical Assumption'!F30/1000</f>
        <v>33.584617750000007</v>
      </c>
      <c r="G34" s="502">
        <f>G44*'Price_Technical Assumption'!G30/1000</f>
        <v>34.10116275</v>
      </c>
      <c r="H34" s="502">
        <f>H44*'Price_Technical Assumption'!H30/1000</f>
        <v>34.722767749999996</v>
      </c>
      <c r="I34" s="502">
        <f>I44*'Price_Technical Assumption'!I30/1000</f>
        <v>35.383770250000005</v>
      </c>
      <c r="J34" s="502">
        <f>J44*'Price_Technical Assumption'!J30/1000</f>
        <v>36.066660249999998</v>
      </c>
      <c r="K34" s="502">
        <f>K44*'Price_Technical Assumption'!K30/1000</f>
        <v>36.802080249999996</v>
      </c>
      <c r="L34" s="502">
        <f>L44*'Price_Technical Assumption'!L30/1000</f>
        <v>37.590030250000005</v>
      </c>
      <c r="M34" s="502">
        <f>M44*'Price_Technical Assumption'!M30/1000</f>
        <v>38.430510249999998</v>
      </c>
      <c r="N34" s="502">
        <f>N44*'Price_Technical Assumption'!N30/1000</f>
        <v>39.323520250000001</v>
      </c>
      <c r="O34" s="502">
        <f>O44*'Price_Technical Assumption'!O30/1000</f>
        <v>40.269060250000003</v>
      </c>
      <c r="P34" s="502">
        <f>P44*'Price_Technical Assumption'!P30/1000</f>
        <v>41.267130249999994</v>
      </c>
      <c r="Q34" s="502">
        <f>Q44*'Price_Technical Assumption'!Q30/1000</f>
        <v>42.317730250000004</v>
      </c>
      <c r="R34" s="502">
        <f>R44*'Price_Technical Assumption'!R30/1000</f>
        <v>43.420860250000004</v>
      </c>
      <c r="S34" s="502">
        <f>S44*'Price_Technical Assumption'!S30/1000</f>
        <v>44.576520250000002</v>
      </c>
      <c r="T34" s="502">
        <f>T44*'Price_Technical Assumption'!T30/1000</f>
        <v>45.784710250000003</v>
      </c>
      <c r="U34" s="502">
        <f>U44*'Price_Technical Assumption'!U30/1000</f>
        <v>47.045430250000003</v>
      </c>
      <c r="V34" s="502">
        <f>V44*'Price_Technical Assumption'!V30/1000</f>
        <v>48.358680250000006</v>
      </c>
      <c r="W34" s="502">
        <f>W44*'Price_Technical Assumption'!W30/1000</f>
        <v>49.567647256249998</v>
      </c>
      <c r="X34" s="502">
        <f>X44*'Price_Technical Assumption'!X30/1000</f>
        <v>50.806838437656246</v>
      </c>
      <c r="Y34" s="502">
        <f>Y44*'Price_Technical Assumption'!Y30/1000</f>
        <v>23.113199999999999</v>
      </c>
      <c r="Z34" s="502">
        <f>Z44*'Price_Technical Assumption'!Z30/1000</f>
        <v>23.113199999999999</v>
      </c>
      <c r="AA34" s="502">
        <f>AA44*'Price_Technical Assumption'!AA30/1000</f>
        <v>23.113199999999999</v>
      </c>
      <c r="AB34" s="502">
        <f>AB44*'Price_Technical Assumption'!AB30/1000</f>
        <v>23.113199999999999</v>
      </c>
      <c r="AC34" s="502">
        <f>AC44*'Price_Technical Assumption'!AC30/1000</f>
        <v>23.113199999999999</v>
      </c>
      <c r="AD34" s="502">
        <f>AD44*'Price_Technical Assumption'!AD30/1000</f>
        <v>23.113199999999999</v>
      </c>
      <c r="AE34" s="502">
        <f>AE44*'Price_Technical Assumption'!AE30/1000</f>
        <v>23.113199999999999</v>
      </c>
      <c r="AF34" s="502">
        <f>AF44*'Price_Technical Assumption'!AF30/1000</f>
        <v>23.113199999999999</v>
      </c>
      <c r="AG34" s="502">
        <f>AG44*'Price_Technical Assumption'!AG30/1000</f>
        <v>23.113199999999999</v>
      </c>
      <c r="AH34" s="502">
        <f>AH44*'Price_Technical Assumption'!AH30/1000</f>
        <v>23.113199999999999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419</v>
      </c>
      <c r="C35" s="482"/>
      <c r="D35" s="519">
        <f>Assumptions!$H$60*(1+Assumptions!$N$11)^(D7)</f>
        <v>0</v>
      </c>
      <c r="E35" s="519">
        <f>Assumptions!$H$60*(1+Assumptions!$N$11)^(E7)</f>
        <v>0</v>
      </c>
      <c r="F35" s="519">
        <f>Assumptions!$H$60*(1+Assumptions!$N$11)^(F7)</f>
        <v>0</v>
      </c>
      <c r="G35" s="519">
        <f>Assumptions!$H$60*(1+Assumptions!$N$11)^(G7)</f>
        <v>0</v>
      </c>
      <c r="H35" s="519">
        <f>Assumptions!$H$60*(1+Assumptions!$N$11)^(H7)</f>
        <v>0</v>
      </c>
      <c r="I35" s="519">
        <f>Assumptions!$H$60*(1+Assumptions!$N$11)^(I7)</f>
        <v>0</v>
      </c>
      <c r="J35" s="519">
        <f>Assumptions!$H$60*(1+Assumptions!$N$11)^(J7)</f>
        <v>0</v>
      </c>
      <c r="K35" s="519">
        <f>Assumptions!$H$60*(1+Assumptions!$N$11)^(K7)</f>
        <v>0</v>
      </c>
      <c r="L35" s="519">
        <f>Assumptions!$H$60*(1+Assumptions!$N$11)^(L7)</f>
        <v>0</v>
      </c>
      <c r="M35" s="519">
        <f>Assumptions!$H$60*(1+Assumptions!$N$11)^(M7)</f>
        <v>0</v>
      </c>
      <c r="N35" s="519">
        <f>Assumptions!$H$60*(1+Assumptions!$N$11)^(N7)</f>
        <v>0</v>
      </c>
      <c r="O35" s="519">
        <f>Assumptions!$H$60*(1+Assumptions!$N$11)^(O7)</f>
        <v>0</v>
      </c>
      <c r="P35" s="519">
        <f>Assumptions!$H$60*(1+Assumptions!$N$11)^(P7)</f>
        <v>0</v>
      </c>
      <c r="Q35" s="519">
        <f>Assumptions!$H$60*(1+Assumptions!$N$11)^(Q7)</f>
        <v>0</v>
      </c>
      <c r="R35" s="519">
        <f>Assumptions!$H$60*(1+Assumptions!$N$11)^(R7)</f>
        <v>0</v>
      </c>
      <c r="S35" s="519">
        <f>Assumptions!$H$60*(1+Assumptions!$N$11)^(S7)</f>
        <v>0</v>
      </c>
      <c r="T35" s="519">
        <f>Assumptions!$H$60*(1+Assumptions!$N$11)^(T7)</f>
        <v>0</v>
      </c>
      <c r="U35" s="519">
        <f>Assumptions!$H$60*(1+Assumptions!$N$11)^(U7)</f>
        <v>0</v>
      </c>
      <c r="V35" s="519">
        <f>Assumptions!$H$60*(1+Assumptions!$N$11)^(V7)</f>
        <v>0</v>
      </c>
      <c r="W35" s="519">
        <f>Assumptions!$H$60*(1+Assumptions!$N$11)^(W7)</f>
        <v>0</v>
      </c>
      <c r="X35" s="519">
        <f>Assumptions!$H$60*(1+Assumptions!$N$11)^(X7)</f>
        <v>0</v>
      </c>
      <c r="Y35" s="519">
        <f>Assumptions!$H$60*(1+Assumptions!$N$11)^(Y7)</f>
        <v>0</v>
      </c>
      <c r="Z35" s="519">
        <f>Assumptions!$H$60*(1+Assumptions!$N$11)^(Z7)</f>
        <v>0</v>
      </c>
      <c r="AA35" s="519">
        <f>Assumptions!$H$60*(1+Assumptions!$N$11)^(AA7)</f>
        <v>0</v>
      </c>
      <c r="AB35" s="519">
        <f>Assumptions!$H$60*(1+Assumptions!$N$11)^(AB7)</f>
        <v>0</v>
      </c>
      <c r="AC35" s="519">
        <f>Assumptions!$H$60*(1+Assumptions!$N$11)^(AC7)</f>
        <v>0</v>
      </c>
      <c r="AD35" s="519">
        <f>Assumptions!$H$60*(1+Assumptions!$N$11)^(AD7)</f>
        <v>0</v>
      </c>
      <c r="AE35" s="519">
        <f>Assumptions!$H$60*(1+Assumptions!$N$11)^(AE7)</f>
        <v>0</v>
      </c>
      <c r="AF35" s="519">
        <f>Assumptions!$H$60*(1+Assumptions!$N$11)^(AF7)</f>
        <v>0</v>
      </c>
      <c r="AG35" s="519">
        <f>Assumptions!$H$60*(1+Assumptions!$N$11)^(AG7)</f>
        <v>0</v>
      </c>
      <c r="AH35" s="519">
        <f>Assumptions!$H$60*(1+Assumptions!$N$11)^(AH7)</f>
        <v>0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428</v>
      </c>
      <c r="C36" s="12"/>
      <c r="D36" s="499">
        <f>SUM(D34:D35)</f>
        <v>33.921685249999996</v>
      </c>
      <c r="E36" s="499">
        <f t="shared" ref="E36:AH36" si="5">SUM(E34:E35)</f>
        <v>33.466863000000004</v>
      </c>
      <c r="F36" s="499">
        <f t="shared" si="5"/>
        <v>33.584617750000007</v>
      </c>
      <c r="G36" s="499">
        <f t="shared" si="5"/>
        <v>34.10116275</v>
      </c>
      <c r="H36" s="499">
        <f t="shared" si="5"/>
        <v>34.722767749999996</v>
      </c>
      <c r="I36" s="499">
        <f t="shared" si="5"/>
        <v>35.383770250000005</v>
      </c>
      <c r="J36" s="499">
        <f t="shared" si="5"/>
        <v>36.066660249999998</v>
      </c>
      <c r="K36" s="499">
        <f t="shared" si="5"/>
        <v>36.802080249999996</v>
      </c>
      <c r="L36" s="499">
        <f t="shared" si="5"/>
        <v>37.590030250000005</v>
      </c>
      <c r="M36" s="499">
        <f t="shared" si="5"/>
        <v>38.430510249999998</v>
      </c>
      <c r="N36" s="499">
        <f t="shared" si="5"/>
        <v>39.323520250000001</v>
      </c>
      <c r="O36" s="499">
        <f t="shared" si="5"/>
        <v>40.269060250000003</v>
      </c>
      <c r="P36" s="499">
        <f t="shared" si="5"/>
        <v>41.267130249999994</v>
      </c>
      <c r="Q36" s="499">
        <f t="shared" si="5"/>
        <v>42.317730250000004</v>
      </c>
      <c r="R36" s="499">
        <f t="shared" si="5"/>
        <v>43.420860250000004</v>
      </c>
      <c r="S36" s="499">
        <f t="shared" si="5"/>
        <v>44.576520250000002</v>
      </c>
      <c r="T36" s="499">
        <f t="shared" si="5"/>
        <v>45.784710250000003</v>
      </c>
      <c r="U36" s="499">
        <f t="shared" si="5"/>
        <v>47.045430250000003</v>
      </c>
      <c r="V36" s="499">
        <f t="shared" si="5"/>
        <v>48.358680250000006</v>
      </c>
      <c r="W36" s="499">
        <f t="shared" si="5"/>
        <v>49.567647256249998</v>
      </c>
      <c r="X36" s="499">
        <f t="shared" si="5"/>
        <v>50.806838437656246</v>
      </c>
      <c r="Y36" s="499">
        <f t="shared" si="5"/>
        <v>23.113199999999999</v>
      </c>
      <c r="Z36" s="499">
        <f t="shared" si="5"/>
        <v>23.113199999999999</v>
      </c>
      <c r="AA36" s="499">
        <f t="shared" si="5"/>
        <v>23.113199999999999</v>
      </c>
      <c r="AB36" s="499">
        <f t="shared" si="5"/>
        <v>23.113199999999999</v>
      </c>
      <c r="AC36" s="499">
        <f t="shared" si="5"/>
        <v>23.113199999999999</v>
      </c>
      <c r="AD36" s="499">
        <f t="shared" si="5"/>
        <v>23.113199999999999</v>
      </c>
      <c r="AE36" s="499">
        <f t="shared" si="5"/>
        <v>23.113199999999999</v>
      </c>
      <c r="AF36" s="499">
        <f t="shared" si="5"/>
        <v>23.113199999999999</v>
      </c>
      <c r="AG36" s="499">
        <f t="shared" si="5"/>
        <v>23.113199999999999</v>
      </c>
      <c r="AH36" s="499">
        <f t="shared" si="5"/>
        <v>23.113199999999999</v>
      </c>
      <c r="AI36" s="502"/>
      <c r="AJ36" s="50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502"/>
      <c r="E37" s="502"/>
      <c r="F37" s="502"/>
      <c r="G37" s="502"/>
      <c r="H37" s="502"/>
      <c r="I37" s="502"/>
      <c r="J37" s="502"/>
      <c r="K37" s="502"/>
      <c r="L37" s="502"/>
      <c r="M37" s="502"/>
      <c r="N37" s="502"/>
      <c r="O37" s="502"/>
      <c r="P37" s="502"/>
      <c r="Q37" s="502"/>
      <c r="R37" s="502"/>
      <c r="S37" s="502"/>
      <c r="T37" s="502"/>
      <c r="U37" s="502"/>
      <c r="V37" s="502"/>
      <c r="W37" s="502"/>
      <c r="X37" s="502"/>
      <c r="Y37" s="502"/>
      <c r="Z37" s="502"/>
      <c r="AA37" s="502"/>
      <c r="AB37" s="502"/>
      <c r="AC37" s="502"/>
      <c r="AD37" s="502"/>
      <c r="AE37" s="502"/>
      <c r="AF37" s="502"/>
      <c r="AG37" s="502"/>
      <c r="AH37" s="50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504" t="str">
        <f>Assumptions!W14</f>
        <v>Pass-through</v>
      </c>
      <c r="B38" s="43" t="s">
        <v>249</v>
      </c>
      <c r="C38" s="12"/>
      <c r="D38" s="516">
        <f>IF($A$38="Pass-through",D36,D34)</f>
        <v>33.921685249999996</v>
      </c>
      <c r="E38" s="517">
        <f t="shared" ref="E38:AH38" si="6">IF($A$38="Pass-through",E36,E34)</f>
        <v>33.466863000000004</v>
      </c>
      <c r="F38" s="517">
        <f t="shared" si="6"/>
        <v>33.584617750000007</v>
      </c>
      <c r="G38" s="517">
        <f t="shared" si="6"/>
        <v>34.10116275</v>
      </c>
      <c r="H38" s="517">
        <f t="shared" si="6"/>
        <v>34.722767749999996</v>
      </c>
      <c r="I38" s="517">
        <f t="shared" si="6"/>
        <v>35.383770250000005</v>
      </c>
      <c r="J38" s="517">
        <f t="shared" si="6"/>
        <v>36.066660249999998</v>
      </c>
      <c r="K38" s="517">
        <f t="shared" si="6"/>
        <v>36.802080249999996</v>
      </c>
      <c r="L38" s="517">
        <f t="shared" si="6"/>
        <v>37.590030250000005</v>
      </c>
      <c r="M38" s="517">
        <f t="shared" si="6"/>
        <v>38.430510249999998</v>
      </c>
      <c r="N38" s="517">
        <f t="shared" si="6"/>
        <v>39.323520250000001</v>
      </c>
      <c r="O38" s="517">
        <f t="shared" si="6"/>
        <v>40.269060250000003</v>
      </c>
      <c r="P38" s="517">
        <f t="shared" si="6"/>
        <v>41.267130249999994</v>
      </c>
      <c r="Q38" s="517">
        <f t="shared" si="6"/>
        <v>42.317730250000004</v>
      </c>
      <c r="R38" s="518">
        <f t="shared" si="6"/>
        <v>43.420860250000004</v>
      </c>
      <c r="S38" s="516">
        <f t="shared" si="6"/>
        <v>44.576520250000002</v>
      </c>
      <c r="T38" s="517">
        <f t="shared" si="6"/>
        <v>45.784710250000003</v>
      </c>
      <c r="U38" s="517">
        <f t="shared" si="6"/>
        <v>47.045430250000003</v>
      </c>
      <c r="V38" s="517">
        <f t="shared" si="6"/>
        <v>48.358680250000006</v>
      </c>
      <c r="W38" s="517">
        <f t="shared" si="6"/>
        <v>49.567647256249998</v>
      </c>
      <c r="X38" s="517">
        <f t="shared" si="6"/>
        <v>50.806838437656246</v>
      </c>
      <c r="Y38" s="517">
        <f t="shared" si="6"/>
        <v>23.113199999999999</v>
      </c>
      <c r="Z38" s="517">
        <f t="shared" si="6"/>
        <v>23.113199999999999</v>
      </c>
      <c r="AA38" s="517">
        <f t="shared" si="6"/>
        <v>23.113199999999999</v>
      </c>
      <c r="AB38" s="517">
        <f t="shared" si="6"/>
        <v>23.113199999999999</v>
      </c>
      <c r="AC38" s="517">
        <f t="shared" si="6"/>
        <v>23.113199999999999</v>
      </c>
      <c r="AD38" s="517">
        <f t="shared" si="6"/>
        <v>23.113199999999999</v>
      </c>
      <c r="AE38" s="517">
        <f t="shared" si="6"/>
        <v>23.113199999999999</v>
      </c>
      <c r="AF38" s="517">
        <f t="shared" si="6"/>
        <v>23.113199999999999</v>
      </c>
      <c r="AG38" s="517">
        <f t="shared" si="6"/>
        <v>23.113199999999999</v>
      </c>
      <c r="AH38" s="518">
        <f t="shared" si="6"/>
        <v>23.113199999999999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7" t="s">
        <v>410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411</v>
      </c>
      <c r="C42" s="12"/>
      <c r="D42" s="65">
        <f>Assumptions!$H$14</f>
        <v>10300</v>
      </c>
      <c r="E42" s="65">
        <f>Assumptions!$H$14</f>
        <v>10300</v>
      </c>
      <c r="F42" s="65">
        <f>Assumptions!$H$14</f>
        <v>10300</v>
      </c>
      <c r="G42" s="65">
        <f>Assumptions!$H$14</f>
        <v>10300</v>
      </c>
      <c r="H42" s="65">
        <f>Assumptions!$H$14</f>
        <v>10300</v>
      </c>
      <c r="I42" s="65">
        <f>Assumptions!$H$14</f>
        <v>10300</v>
      </c>
      <c r="J42" s="65">
        <f>Assumptions!$H$14</f>
        <v>10300</v>
      </c>
      <c r="K42" s="65">
        <f>Assumptions!$H$14</f>
        <v>10300</v>
      </c>
      <c r="L42" s="65">
        <f>Assumptions!$H$14</f>
        <v>10300</v>
      </c>
      <c r="M42" s="65">
        <f>Assumptions!$H$14</f>
        <v>10300</v>
      </c>
      <c r="N42" s="65">
        <f>Assumptions!$H$14</f>
        <v>10300</v>
      </c>
      <c r="O42" s="65">
        <f>Assumptions!$H$14</f>
        <v>10300</v>
      </c>
      <c r="P42" s="65">
        <f>Assumptions!$H$14</f>
        <v>10300</v>
      </c>
      <c r="Q42" s="65">
        <f>Assumptions!$H$14</f>
        <v>10300</v>
      </c>
      <c r="R42" s="65">
        <f>Assumptions!$H$14</f>
        <v>10300</v>
      </c>
      <c r="S42" s="65">
        <f>Assumptions!$H$14</f>
        <v>10300</v>
      </c>
      <c r="T42" s="65">
        <f>Assumptions!$H$14</f>
        <v>10300</v>
      </c>
      <c r="U42" s="65">
        <f>Assumptions!$H$14</f>
        <v>10300</v>
      </c>
      <c r="V42" s="65">
        <f>Assumptions!$H$14</f>
        <v>10300</v>
      </c>
      <c r="W42" s="65">
        <f>Assumptions!$H$14</f>
        <v>10300</v>
      </c>
      <c r="X42" s="65">
        <f>Assumptions!$H$14</f>
        <v>10300</v>
      </c>
      <c r="Y42" s="65">
        <f>Assumptions!$H$14</f>
        <v>10300</v>
      </c>
      <c r="Z42" s="65">
        <f>Assumptions!$H$14</f>
        <v>10300</v>
      </c>
      <c r="AA42" s="65">
        <f>Assumptions!$H$14</f>
        <v>10300</v>
      </c>
      <c r="AB42" s="65">
        <f>Assumptions!$H$14</f>
        <v>10300</v>
      </c>
      <c r="AC42" s="65">
        <f>Assumptions!$H$14</f>
        <v>10300</v>
      </c>
      <c r="AD42" s="65">
        <f>Assumptions!$H$14</f>
        <v>10300</v>
      </c>
      <c r="AE42" s="65">
        <f>Assumptions!$H$14</f>
        <v>10300</v>
      </c>
      <c r="AF42" s="65">
        <f>Assumptions!$H$14</f>
        <v>10300</v>
      </c>
      <c r="AG42" s="65">
        <f>Assumptions!$H$14</f>
        <v>10300</v>
      </c>
      <c r="AH42" s="65">
        <f>Assumptions!$H$14</f>
        <v>10300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413</v>
      </c>
      <c r="C43" s="12"/>
      <c r="D43" s="524">
        <v>0.02</v>
      </c>
      <c r="E43" s="524">
        <v>0.02</v>
      </c>
      <c r="F43" s="524">
        <v>0.02</v>
      </c>
      <c r="G43" s="524">
        <v>0.02</v>
      </c>
      <c r="H43" s="524">
        <v>0.02</v>
      </c>
      <c r="I43" s="524">
        <v>0.02</v>
      </c>
      <c r="J43" s="524">
        <v>0.02</v>
      </c>
      <c r="K43" s="524">
        <v>0.02</v>
      </c>
      <c r="L43" s="524">
        <v>0.02</v>
      </c>
      <c r="M43" s="524">
        <v>0.02</v>
      </c>
      <c r="N43" s="524">
        <v>0.02</v>
      </c>
      <c r="O43" s="524">
        <v>0.02</v>
      </c>
      <c r="P43" s="524">
        <v>0.02</v>
      </c>
      <c r="Q43" s="524">
        <v>0.02</v>
      </c>
      <c r="R43" s="524">
        <v>0.02</v>
      </c>
      <c r="S43" s="524">
        <v>0.02</v>
      </c>
      <c r="T43" s="524">
        <v>0.02</v>
      </c>
      <c r="U43" s="524">
        <v>0.02</v>
      </c>
      <c r="V43" s="524">
        <v>0.02</v>
      </c>
      <c r="W43" s="524">
        <v>0.02</v>
      </c>
      <c r="X43" s="524">
        <v>0.02</v>
      </c>
      <c r="Y43" s="524">
        <v>0.02</v>
      </c>
      <c r="Z43" s="524">
        <v>0.02</v>
      </c>
      <c r="AA43" s="524">
        <v>0.02</v>
      </c>
      <c r="AB43" s="524">
        <v>0.02</v>
      </c>
      <c r="AC43" s="524">
        <v>0.02</v>
      </c>
      <c r="AD43" s="524">
        <v>0.02</v>
      </c>
      <c r="AE43" s="524">
        <v>0.02</v>
      </c>
      <c r="AF43" s="524">
        <v>0.02</v>
      </c>
      <c r="AG43" s="524">
        <v>0.02</v>
      </c>
      <c r="AH43" s="524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412</v>
      </c>
      <c r="C44" s="12"/>
      <c r="D44" s="521">
        <f>D42*(1+D43)</f>
        <v>10506</v>
      </c>
      <c r="E44" s="522">
        <f t="shared" ref="E44:AH44" si="7">E42*(1+E43)</f>
        <v>10506</v>
      </c>
      <c r="F44" s="522">
        <f t="shared" si="7"/>
        <v>10506</v>
      </c>
      <c r="G44" s="522">
        <f t="shared" si="7"/>
        <v>10506</v>
      </c>
      <c r="H44" s="522">
        <f t="shared" si="7"/>
        <v>10506</v>
      </c>
      <c r="I44" s="522">
        <f t="shared" si="7"/>
        <v>10506</v>
      </c>
      <c r="J44" s="522">
        <f t="shared" si="7"/>
        <v>10506</v>
      </c>
      <c r="K44" s="522">
        <f t="shared" si="7"/>
        <v>10506</v>
      </c>
      <c r="L44" s="522">
        <f t="shared" si="7"/>
        <v>10506</v>
      </c>
      <c r="M44" s="522">
        <f t="shared" si="7"/>
        <v>10506</v>
      </c>
      <c r="N44" s="522">
        <f t="shared" si="7"/>
        <v>10506</v>
      </c>
      <c r="O44" s="522">
        <f t="shared" si="7"/>
        <v>10506</v>
      </c>
      <c r="P44" s="522">
        <f t="shared" si="7"/>
        <v>10506</v>
      </c>
      <c r="Q44" s="522">
        <f t="shared" si="7"/>
        <v>10506</v>
      </c>
      <c r="R44" s="523">
        <f t="shared" si="7"/>
        <v>10506</v>
      </c>
      <c r="S44" s="521">
        <f t="shared" si="7"/>
        <v>10506</v>
      </c>
      <c r="T44" s="522">
        <f t="shared" si="7"/>
        <v>10506</v>
      </c>
      <c r="U44" s="522">
        <f t="shared" si="7"/>
        <v>10506</v>
      </c>
      <c r="V44" s="522">
        <f t="shared" si="7"/>
        <v>10506</v>
      </c>
      <c r="W44" s="522">
        <f t="shared" si="7"/>
        <v>10506</v>
      </c>
      <c r="X44" s="522">
        <f t="shared" si="7"/>
        <v>10506</v>
      </c>
      <c r="Y44" s="522">
        <f t="shared" si="7"/>
        <v>10506</v>
      </c>
      <c r="Z44" s="522">
        <f t="shared" si="7"/>
        <v>10506</v>
      </c>
      <c r="AA44" s="522">
        <f t="shared" si="7"/>
        <v>10506</v>
      </c>
      <c r="AB44" s="522">
        <f t="shared" si="7"/>
        <v>10506</v>
      </c>
      <c r="AC44" s="522">
        <f t="shared" si="7"/>
        <v>10506</v>
      </c>
      <c r="AD44" s="522">
        <f t="shared" si="7"/>
        <v>10506</v>
      </c>
      <c r="AE44" s="522">
        <f t="shared" si="7"/>
        <v>10506</v>
      </c>
      <c r="AF44" s="522">
        <f t="shared" si="7"/>
        <v>10506</v>
      </c>
      <c r="AG44" s="522">
        <f t="shared" si="7"/>
        <v>10506</v>
      </c>
      <c r="AH44" s="523">
        <f t="shared" si="7"/>
        <v>10506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44"/>
  <sheetViews>
    <sheetView workbookViewId="0">
      <selection activeCell="I27" sqref="I27:I28"/>
    </sheetView>
  </sheetViews>
  <sheetFormatPr defaultRowHeight="12.75"/>
  <cols>
    <col min="3" max="3" width="10.140625" bestFit="1" customWidth="1"/>
    <col min="4" max="4" width="14.5703125" customWidth="1"/>
  </cols>
  <sheetData>
    <row r="3" spans="3:9">
      <c r="C3" s="535"/>
      <c r="D3" s="535" t="s">
        <v>437</v>
      </c>
    </row>
    <row r="4" spans="3:9">
      <c r="C4" s="535" t="s">
        <v>187</v>
      </c>
      <c r="D4" s="535" t="s">
        <v>438</v>
      </c>
    </row>
    <row r="5" spans="3:9">
      <c r="C5" s="536">
        <v>36586</v>
      </c>
      <c r="D5" s="537">
        <v>3.1789999999999998</v>
      </c>
    </row>
    <row r="6" spans="3:9">
      <c r="C6" s="536">
        <v>36617</v>
      </c>
      <c r="D6" s="537">
        <v>3.0345</v>
      </c>
    </row>
    <row r="7" spans="3:9">
      <c r="C7" s="536">
        <v>36647</v>
      </c>
      <c r="D7" s="537">
        <v>2.8849999999999998</v>
      </c>
      <c r="H7" s="538" t="s">
        <v>23</v>
      </c>
      <c r="I7" s="538" t="s">
        <v>439</v>
      </c>
    </row>
    <row r="8" spans="3:9">
      <c r="C8" s="536">
        <v>36678</v>
      </c>
      <c r="D8" s="537">
        <v>2.8755000000000002</v>
      </c>
      <c r="G8">
        <v>1</v>
      </c>
      <c r="H8">
        <v>2001</v>
      </c>
      <c r="I8" s="537">
        <f>E26</f>
        <v>3.2287916666666665</v>
      </c>
    </row>
    <row r="9" spans="3:9">
      <c r="C9" s="536">
        <v>36708</v>
      </c>
      <c r="D9" s="537">
        <v>2.948</v>
      </c>
      <c r="G9">
        <v>2</v>
      </c>
      <c r="H9">
        <v>2002</v>
      </c>
      <c r="I9" s="537">
        <f>E38</f>
        <v>3.1855000000000007</v>
      </c>
    </row>
    <row r="10" spans="3:9">
      <c r="C10" s="536">
        <v>36739</v>
      </c>
      <c r="D10" s="537">
        <v>2.9860000000000002</v>
      </c>
      <c r="G10">
        <v>3</v>
      </c>
      <c r="H10">
        <v>2003</v>
      </c>
      <c r="I10" s="537">
        <f>E50</f>
        <v>3.1967083333333335</v>
      </c>
    </row>
    <row r="11" spans="3:9">
      <c r="C11" s="536">
        <v>36770</v>
      </c>
      <c r="D11" s="537">
        <v>2.9119999999999999</v>
      </c>
      <c r="G11">
        <v>4</v>
      </c>
      <c r="H11">
        <v>2004</v>
      </c>
      <c r="I11" s="537">
        <f>E62</f>
        <v>3.2458750000000003</v>
      </c>
    </row>
    <row r="12" spans="3:9">
      <c r="C12" s="536">
        <v>36800</v>
      </c>
      <c r="D12" s="537">
        <v>2.9530000000000003</v>
      </c>
      <c r="G12">
        <v>5</v>
      </c>
      <c r="H12">
        <v>2005</v>
      </c>
      <c r="I12" s="537">
        <f>E74</f>
        <v>3.3050416666666664</v>
      </c>
    </row>
    <row r="13" spans="3:9">
      <c r="C13" s="536">
        <v>36831</v>
      </c>
      <c r="D13" s="537">
        <v>3.4805000000000001</v>
      </c>
      <c r="G13">
        <v>6</v>
      </c>
      <c r="H13">
        <v>2006</v>
      </c>
      <c r="I13" s="537">
        <f>E86</f>
        <v>3.3679583333333336</v>
      </c>
    </row>
    <row r="14" spans="3:9">
      <c r="C14" s="536">
        <v>36861</v>
      </c>
      <c r="D14" s="537">
        <v>3.9580000000000002</v>
      </c>
      <c r="G14">
        <v>7</v>
      </c>
      <c r="H14">
        <v>2007</v>
      </c>
      <c r="I14" s="537">
        <f>E98</f>
        <v>3.4329583333333336</v>
      </c>
    </row>
    <row r="15" spans="3:9">
      <c r="C15" s="536">
        <v>36892</v>
      </c>
      <c r="D15" s="537">
        <v>4.2229999999999999</v>
      </c>
      <c r="G15">
        <v>8</v>
      </c>
      <c r="H15">
        <v>2008</v>
      </c>
      <c r="I15" s="537">
        <f>E110</f>
        <v>3.5029583333333334</v>
      </c>
    </row>
    <row r="16" spans="3:9">
      <c r="C16" s="536">
        <v>36923</v>
      </c>
      <c r="D16" s="537">
        <v>4.0955000000000004</v>
      </c>
      <c r="G16">
        <v>9</v>
      </c>
      <c r="H16">
        <v>2009</v>
      </c>
      <c r="I16" s="537">
        <f>E122</f>
        <v>3.5779583333333336</v>
      </c>
    </row>
    <row r="17" spans="3:9">
      <c r="C17" s="536">
        <v>36951</v>
      </c>
      <c r="D17" s="537">
        <v>3.5080000000000005</v>
      </c>
      <c r="G17">
        <v>10</v>
      </c>
      <c r="H17">
        <v>2010</v>
      </c>
      <c r="I17" s="537">
        <f>E134</f>
        <v>3.6579583333333332</v>
      </c>
    </row>
    <row r="18" spans="3:9">
      <c r="C18" s="536">
        <v>36982</v>
      </c>
      <c r="D18" s="537">
        <v>2.9380000000000002</v>
      </c>
      <c r="G18">
        <v>11</v>
      </c>
      <c r="H18">
        <v>2011</v>
      </c>
      <c r="I18" s="537">
        <f>E146</f>
        <v>3.7429583333333336</v>
      </c>
    </row>
    <row r="19" spans="3:9">
      <c r="C19" s="536">
        <v>37012</v>
      </c>
      <c r="D19" s="537">
        <v>2.7885</v>
      </c>
      <c r="G19">
        <v>12</v>
      </c>
      <c r="H19">
        <v>2012</v>
      </c>
      <c r="I19" s="537">
        <f>E158</f>
        <v>3.8329583333333335</v>
      </c>
    </row>
    <row r="20" spans="3:9">
      <c r="C20" s="536">
        <v>37043</v>
      </c>
      <c r="D20" s="537">
        <v>2.7905000000000002</v>
      </c>
      <c r="G20">
        <v>13</v>
      </c>
      <c r="H20">
        <v>2013</v>
      </c>
      <c r="I20" s="537">
        <f>E170</f>
        <v>3.9279583333333328</v>
      </c>
    </row>
    <row r="21" spans="3:9">
      <c r="C21" s="536">
        <v>37073</v>
      </c>
      <c r="D21" s="537">
        <v>2.8034999999999997</v>
      </c>
      <c r="G21">
        <v>14</v>
      </c>
      <c r="H21">
        <v>2014</v>
      </c>
      <c r="I21" s="537">
        <f>E182</f>
        <v>4.0279583333333333</v>
      </c>
    </row>
    <row r="22" spans="3:9">
      <c r="C22" s="536">
        <v>37104</v>
      </c>
      <c r="D22" s="537">
        <v>2.8405</v>
      </c>
      <c r="G22">
        <v>15</v>
      </c>
      <c r="H22">
        <v>2015</v>
      </c>
      <c r="I22" s="537">
        <f>E194</f>
        <v>4.1329583333333337</v>
      </c>
    </row>
    <row r="23" spans="3:9">
      <c r="C23" s="536">
        <v>37135</v>
      </c>
      <c r="D23" s="537">
        <v>2.8134999999999999</v>
      </c>
      <c r="G23">
        <v>16</v>
      </c>
      <c r="H23">
        <v>2016</v>
      </c>
      <c r="I23" s="537">
        <f>E206</f>
        <v>4.2429583333333332</v>
      </c>
    </row>
    <row r="24" spans="3:9">
      <c r="C24" s="536">
        <v>37165</v>
      </c>
      <c r="D24" s="537">
        <v>2.8479999999999999</v>
      </c>
      <c r="G24">
        <v>17</v>
      </c>
      <c r="H24">
        <v>2017</v>
      </c>
      <c r="I24" s="537">
        <f>E218</f>
        <v>4.3579583333333334</v>
      </c>
    </row>
    <row r="25" spans="3:9">
      <c r="C25" s="536">
        <v>37196</v>
      </c>
      <c r="D25" s="537">
        <v>3.3245</v>
      </c>
      <c r="G25">
        <v>18</v>
      </c>
      <c r="H25">
        <v>2018</v>
      </c>
      <c r="I25" s="537">
        <f>E230</f>
        <v>4.4779583333333335</v>
      </c>
    </row>
    <row r="26" spans="3:9">
      <c r="C26" s="536">
        <v>37226</v>
      </c>
      <c r="D26" s="537">
        <v>3.7720000000000002</v>
      </c>
      <c r="E26" s="537">
        <f>AVERAGE(D15:D26)</f>
        <v>3.2287916666666665</v>
      </c>
      <c r="G26">
        <v>19</v>
      </c>
      <c r="H26">
        <v>2019</v>
      </c>
      <c r="I26" s="537">
        <f>E242</f>
        <v>4.6029583333333335</v>
      </c>
    </row>
    <row r="27" spans="3:9">
      <c r="C27" s="536">
        <v>37257</v>
      </c>
      <c r="D27" s="537">
        <v>4.2</v>
      </c>
      <c r="G27">
        <v>20</v>
      </c>
      <c r="H27">
        <v>2020</v>
      </c>
      <c r="I27" s="537">
        <f>I26*(1+0.025)</f>
        <v>4.7180322916666668</v>
      </c>
    </row>
    <row r="28" spans="3:9">
      <c r="C28" s="536">
        <v>37288</v>
      </c>
      <c r="D28" s="537">
        <v>3.9950000000000001</v>
      </c>
      <c r="G28">
        <v>21</v>
      </c>
      <c r="H28">
        <v>2021</v>
      </c>
      <c r="I28" s="537">
        <f>I27*(1+0.025)</f>
        <v>4.8359830989583328</v>
      </c>
    </row>
    <row r="29" spans="3:9">
      <c r="C29" s="536">
        <v>37316</v>
      </c>
      <c r="D29" s="537">
        <v>3.3730000000000002</v>
      </c>
    </row>
    <row r="30" spans="3:9">
      <c r="C30" s="536">
        <v>37347</v>
      </c>
      <c r="D30" s="537">
        <v>2.9039999999999999</v>
      </c>
    </row>
    <row r="31" spans="3:9">
      <c r="C31" s="536">
        <v>37377</v>
      </c>
      <c r="D31" s="537">
        <v>2.7774999999999999</v>
      </c>
    </row>
    <row r="32" spans="3:9">
      <c r="C32" s="536">
        <v>37408</v>
      </c>
      <c r="D32" s="537">
        <v>2.7795000000000001</v>
      </c>
    </row>
    <row r="33" spans="3:5">
      <c r="C33" s="536">
        <v>37438</v>
      </c>
      <c r="D33" s="537">
        <v>2.7864999999999998</v>
      </c>
    </row>
    <row r="34" spans="3:5">
      <c r="C34" s="536">
        <v>37469</v>
      </c>
      <c r="D34" s="537">
        <v>2.8275000000000001</v>
      </c>
    </row>
    <row r="35" spans="3:5">
      <c r="C35" s="536">
        <v>37500</v>
      </c>
      <c r="D35" s="537">
        <v>2.7995000000000001</v>
      </c>
    </row>
    <row r="36" spans="3:5">
      <c r="C36" s="536">
        <v>37530</v>
      </c>
      <c r="D36" s="537">
        <v>2.8330000000000002</v>
      </c>
    </row>
    <row r="37" spans="3:5">
      <c r="C37" s="536">
        <v>37561</v>
      </c>
      <c r="D37" s="537">
        <v>3.2790000000000004</v>
      </c>
    </row>
    <row r="38" spans="3:5">
      <c r="C38" s="536">
        <v>37591</v>
      </c>
      <c r="D38" s="537">
        <v>3.6715000000000009</v>
      </c>
      <c r="E38" s="537">
        <f>AVERAGE(D27:D38)</f>
        <v>3.1855000000000007</v>
      </c>
    </row>
    <row r="39" spans="3:5">
      <c r="C39" s="536">
        <v>37622</v>
      </c>
      <c r="D39" s="537">
        <v>4.1025</v>
      </c>
    </row>
    <row r="40" spans="3:5">
      <c r="C40" s="536">
        <v>37653</v>
      </c>
      <c r="D40" s="537">
        <v>3.9045000000000001</v>
      </c>
    </row>
    <row r="41" spans="3:5">
      <c r="C41" s="536">
        <v>37681</v>
      </c>
      <c r="D41" s="537">
        <v>3.3654999999999999</v>
      </c>
    </row>
    <row r="42" spans="3:5">
      <c r="C42" s="536">
        <v>37712</v>
      </c>
      <c r="D42" s="537">
        <v>2.9390000000000001</v>
      </c>
    </row>
    <row r="43" spans="3:5">
      <c r="C43" s="536">
        <v>37742</v>
      </c>
      <c r="D43" s="537">
        <v>2.8125</v>
      </c>
    </row>
    <row r="44" spans="3:5">
      <c r="C44" s="536">
        <v>37773</v>
      </c>
      <c r="D44" s="537">
        <v>2.8145000000000002</v>
      </c>
    </row>
    <row r="45" spans="3:5">
      <c r="C45" s="536">
        <v>37803</v>
      </c>
      <c r="D45" s="537">
        <v>2.8214999999999999</v>
      </c>
    </row>
    <row r="46" spans="3:5">
      <c r="C46" s="536">
        <v>37834</v>
      </c>
      <c r="D46" s="537">
        <v>2.8624999999999998</v>
      </c>
    </row>
    <row r="47" spans="3:5">
      <c r="C47" s="536">
        <v>37865</v>
      </c>
      <c r="D47" s="537">
        <v>2.8344999999999998</v>
      </c>
    </row>
    <row r="48" spans="3:5">
      <c r="C48" s="536">
        <v>37895</v>
      </c>
      <c r="D48" s="537">
        <v>2.8679999999999999</v>
      </c>
    </row>
    <row r="49" spans="3:5">
      <c r="C49" s="536">
        <v>37926</v>
      </c>
      <c r="D49" s="537">
        <v>3.319</v>
      </c>
    </row>
    <row r="50" spans="3:5">
      <c r="C50" s="536">
        <v>37956</v>
      </c>
      <c r="D50" s="537">
        <v>3.7165000000000008</v>
      </c>
      <c r="E50" s="537">
        <f>AVERAGE(D39:D50)</f>
        <v>3.1967083333333335</v>
      </c>
    </row>
    <row r="51" spans="3:5">
      <c r="C51" s="536">
        <v>37987</v>
      </c>
      <c r="D51" s="537">
        <v>4.1624999999999996</v>
      </c>
    </row>
    <row r="52" spans="3:5">
      <c r="C52" s="536">
        <v>38018</v>
      </c>
      <c r="D52" s="537">
        <v>3.9645000000000001</v>
      </c>
    </row>
    <row r="53" spans="3:5">
      <c r="C53" s="536">
        <v>38047</v>
      </c>
      <c r="D53" s="537">
        <v>3.4154999999999998</v>
      </c>
    </row>
    <row r="54" spans="3:5">
      <c r="C54" s="536">
        <v>38078</v>
      </c>
      <c r="D54" s="537">
        <v>2.9839999999999995</v>
      </c>
    </row>
    <row r="55" spans="3:5">
      <c r="C55" s="536">
        <v>38108</v>
      </c>
      <c r="D55" s="537">
        <v>2.8574999999999999</v>
      </c>
    </row>
    <row r="56" spans="3:5">
      <c r="C56" s="536">
        <v>38139</v>
      </c>
      <c r="D56" s="537">
        <v>2.8594999999999997</v>
      </c>
    </row>
    <row r="57" spans="3:5">
      <c r="C57" s="536">
        <v>38169</v>
      </c>
      <c r="D57" s="537">
        <v>2.8664999999999998</v>
      </c>
    </row>
    <row r="58" spans="3:5">
      <c r="C58" s="536">
        <v>38200</v>
      </c>
      <c r="D58" s="537">
        <v>2.9075000000000002</v>
      </c>
    </row>
    <row r="59" spans="3:5">
      <c r="C59" s="536">
        <v>38231</v>
      </c>
      <c r="D59" s="537">
        <v>2.8794999999999997</v>
      </c>
    </row>
    <row r="60" spans="3:5">
      <c r="C60" s="536">
        <v>38261</v>
      </c>
      <c r="D60" s="537">
        <v>2.9130000000000003</v>
      </c>
    </row>
    <row r="61" spans="3:5">
      <c r="C61" s="536">
        <v>38292</v>
      </c>
      <c r="D61" s="537">
        <v>3.3690000000000007</v>
      </c>
    </row>
    <row r="62" spans="3:5">
      <c r="C62" s="536">
        <v>38322</v>
      </c>
      <c r="D62" s="537">
        <v>3.7715000000000005</v>
      </c>
      <c r="E62" s="537">
        <f>AVERAGE(D51:D62)</f>
        <v>3.2458750000000003</v>
      </c>
    </row>
    <row r="63" spans="3:5">
      <c r="C63" s="536">
        <v>38353</v>
      </c>
      <c r="D63" s="537">
        <v>4.2324999999999999</v>
      </c>
    </row>
    <row r="64" spans="3:5">
      <c r="C64" s="536">
        <v>38384</v>
      </c>
      <c r="D64" s="537">
        <v>4.0344999999999995</v>
      </c>
    </row>
    <row r="65" spans="3:5">
      <c r="C65" s="536">
        <v>38412</v>
      </c>
      <c r="D65" s="537">
        <v>3.4755000000000003</v>
      </c>
    </row>
    <row r="66" spans="3:5">
      <c r="C66" s="536">
        <v>38443</v>
      </c>
      <c r="D66" s="537">
        <v>3.0389999999999997</v>
      </c>
    </row>
    <row r="67" spans="3:5">
      <c r="C67" s="536">
        <v>38473</v>
      </c>
      <c r="D67" s="537">
        <v>2.9125000000000001</v>
      </c>
    </row>
    <row r="68" spans="3:5">
      <c r="C68" s="536">
        <v>38504</v>
      </c>
      <c r="D68" s="537">
        <v>2.9144999999999999</v>
      </c>
    </row>
    <row r="69" spans="3:5">
      <c r="C69" s="536">
        <v>38534</v>
      </c>
      <c r="D69" s="537">
        <v>2.9214999999999995</v>
      </c>
    </row>
    <row r="70" spans="3:5">
      <c r="C70" s="536">
        <v>38565</v>
      </c>
      <c r="D70" s="537">
        <v>2.9624999999999999</v>
      </c>
    </row>
    <row r="71" spans="3:5">
      <c r="C71" s="536">
        <v>38596</v>
      </c>
      <c r="D71" s="537">
        <v>2.9344999999999999</v>
      </c>
    </row>
    <row r="72" spans="3:5">
      <c r="C72" s="536">
        <v>38626</v>
      </c>
      <c r="D72" s="537">
        <v>2.968</v>
      </c>
    </row>
    <row r="73" spans="3:5">
      <c r="C73" s="536">
        <v>38657</v>
      </c>
      <c r="D73" s="537">
        <v>3.4290000000000003</v>
      </c>
    </row>
    <row r="74" spans="3:5">
      <c r="C74" s="536">
        <v>38687</v>
      </c>
      <c r="D74" s="537">
        <v>3.8365000000000005</v>
      </c>
      <c r="E74" s="537">
        <f>AVERAGE(D63:D74)</f>
        <v>3.3050416666666664</v>
      </c>
    </row>
    <row r="75" spans="3:5">
      <c r="C75" s="536">
        <v>38718</v>
      </c>
      <c r="D75" s="537">
        <v>4.3075000000000001</v>
      </c>
    </row>
    <row r="76" spans="3:5">
      <c r="C76" s="536">
        <v>38749</v>
      </c>
      <c r="D76" s="537">
        <v>4.1094999999999997</v>
      </c>
    </row>
    <row r="77" spans="3:5">
      <c r="C77" s="536">
        <v>38777</v>
      </c>
      <c r="D77" s="537">
        <v>3.5405000000000002</v>
      </c>
    </row>
    <row r="78" spans="3:5">
      <c r="C78" s="536">
        <v>38808</v>
      </c>
      <c r="D78" s="537">
        <v>3.0989999999999998</v>
      </c>
    </row>
    <row r="79" spans="3:5">
      <c r="C79" s="536">
        <v>38838</v>
      </c>
      <c r="D79" s="537">
        <v>2.9725000000000001</v>
      </c>
    </row>
    <row r="80" spans="3:5">
      <c r="C80" s="536">
        <v>38869</v>
      </c>
      <c r="D80" s="537">
        <v>2.9744999999999999</v>
      </c>
    </row>
    <row r="81" spans="3:5">
      <c r="C81" s="536">
        <v>38899</v>
      </c>
      <c r="D81" s="537">
        <v>2.9814999999999996</v>
      </c>
    </row>
    <row r="82" spans="3:5">
      <c r="C82" s="536">
        <v>38930</v>
      </c>
      <c r="D82" s="537">
        <v>3.0225</v>
      </c>
    </row>
    <row r="83" spans="3:5">
      <c r="C83" s="536">
        <v>38961</v>
      </c>
      <c r="D83" s="537">
        <v>2.9944999999999999</v>
      </c>
    </row>
    <row r="84" spans="3:5">
      <c r="C84" s="536">
        <v>38991</v>
      </c>
      <c r="D84" s="537">
        <v>3.028</v>
      </c>
    </row>
    <row r="85" spans="3:5">
      <c r="C85" s="536">
        <v>39022</v>
      </c>
      <c r="D85" s="537">
        <v>3.4890000000000003</v>
      </c>
    </row>
    <row r="86" spans="3:5">
      <c r="C86" s="536">
        <v>39052</v>
      </c>
      <c r="D86" s="537">
        <v>3.8965000000000005</v>
      </c>
      <c r="E86" s="537">
        <f>AVERAGE(D75:D86)</f>
        <v>3.3679583333333336</v>
      </c>
    </row>
    <row r="87" spans="3:5">
      <c r="C87" s="536">
        <v>39083</v>
      </c>
      <c r="D87" s="537">
        <v>4.3724999999999996</v>
      </c>
    </row>
    <row r="88" spans="3:5">
      <c r="C88" s="536">
        <v>39114</v>
      </c>
      <c r="D88" s="537">
        <v>4.1744999999999992</v>
      </c>
    </row>
    <row r="89" spans="3:5">
      <c r="C89" s="536">
        <v>39142</v>
      </c>
      <c r="D89" s="537">
        <v>3.6055000000000001</v>
      </c>
    </row>
    <row r="90" spans="3:5">
      <c r="C90" s="536">
        <v>39173</v>
      </c>
      <c r="D90" s="537">
        <v>3.1640000000000001</v>
      </c>
    </row>
    <row r="91" spans="3:5">
      <c r="C91" s="536">
        <v>39203</v>
      </c>
      <c r="D91" s="537">
        <v>3.0375000000000001</v>
      </c>
    </row>
    <row r="92" spans="3:5">
      <c r="C92" s="536">
        <v>39234</v>
      </c>
      <c r="D92" s="537">
        <v>3.0394999999999999</v>
      </c>
    </row>
    <row r="93" spans="3:5">
      <c r="C93" s="536">
        <v>39264</v>
      </c>
      <c r="D93" s="537">
        <v>3.0465000000000004</v>
      </c>
    </row>
    <row r="94" spans="3:5">
      <c r="C94" s="536">
        <v>39295</v>
      </c>
      <c r="D94" s="537">
        <v>3.0874999999999999</v>
      </c>
    </row>
    <row r="95" spans="3:5">
      <c r="C95" s="536">
        <v>39326</v>
      </c>
      <c r="D95" s="537">
        <v>3.0594999999999999</v>
      </c>
    </row>
    <row r="96" spans="3:5">
      <c r="C96" s="536">
        <v>39356</v>
      </c>
      <c r="D96" s="537">
        <v>3.093</v>
      </c>
    </row>
    <row r="97" spans="3:5">
      <c r="C97" s="536">
        <v>39387</v>
      </c>
      <c r="D97" s="537">
        <v>3.5540000000000003</v>
      </c>
    </row>
    <row r="98" spans="3:5">
      <c r="C98" s="536">
        <v>39417</v>
      </c>
      <c r="D98" s="537">
        <v>3.9615000000000009</v>
      </c>
      <c r="E98" s="537">
        <f>AVERAGE(D87:D98)</f>
        <v>3.4329583333333336</v>
      </c>
    </row>
    <row r="99" spans="3:5">
      <c r="C99" s="536">
        <v>39448</v>
      </c>
      <c r="D99" s="537">
        <v>4.4424999999999999</v>
      </c>
    </row>
    <row r="100" spans="3:5">
      <c r="C100" s="536">
        <v>39479</v>
      </c>
      <c r="D100" s="537">
        <v>4.2444999999999995</v>
      </c>
    </row>
    <row r="101" spans="3:5">
      <c r="C101" s="536">
        <v>39508</v>
      </c>
      <c r="D101" s="537">
        <v>3.6755</v>
      </c>
    </row>
    <row r="102" spans="3:5">
      <c r="C102" s="536">
        <v>39539</v>
      </c>
      <c r="D102" s="537">
        <v>3.2340000000000004</v>
      </c>
    </row>
    <row r="103" spans="3:5">
      <c r="C103" s="536">
        <v>39569</v>
      </c>
      <c r="D103" s="537">
        <v>3.1074999999999999</v>
      </c>
    </row>
    <row r="104" spans="3:5">
      <c r="C104" s="536">
        <v>39600</v>
      </c>
      <c r="D104" s="537">
        <v>3.1094999999999997</v>
      </c>
    </row>
    <row r="105" spans="3:5">
      <c r="C105" s="536">
        <v>39630</v>
      </c>
      <c r="D105" s="537">
        <v>3.1165000000000003</v>
      </c>
    </row>
    <row r="106" spans="3:5">
      <c r="C106" s="536">
        <v>39661</v>
      </c>
      <c r="D106" s="537">
        <v>3.1575000000000002</v>
      </c>
    </row>
    <row r="107" spans="3:5">
      <c r="C107" s="536">
        <v>39692</v>
      </c>
      <c r="D107" s="537">
        <v>3.1294999999999997</v>
      </c>
    </row>
    <row r="108" spans="3:5">
      <c r="C108" s="536">
        <v>39722</v>
      </c>
      <c r="D108" s="537">
        <v>3.1630000000000003</v>
      </c>
    </row>
    <row r="109" spans="3:5">
      <c r="C109" s="536">
        <v>39753</v>
      </c>
      <c r="D109" s="537">
        <v>3.6240000000000006</v>
      </c>
    </row>
    <row r="110" spans="3:5">
      <c r="C110" s="536">
        <v>39783</v>
      </c>
      <c r="D110" s="537">
        <v>4.0315000000000003</v>
      </c>
      <c r="E110" s="537">
        <f>AVERAGE(D99:D110)</f>
        <v>3.5029583333333334</v>
      </c>
    </row>
    <row r="111" spans="3:5">
      <c r="C111" s="536">
        <v>39814</v>
      </c>
      <c r="D111" s="537">
        <v>4.5175000000000001</v>
      </c>
    </row>
    <row r="112" spans="3:5">
      <c r="C112" s="536">
        <v>39845</v>
      </c>
      <c r="D112" s="537">
        <v>4.3194999999999997</v>
      </c>
    </row>
    <row r="113" spans="3:5">
      <c r="C113" s="536">
        <v>39873</v>
      </c>
      <c r="D113" s="537">
        <v>3.7505000000000002</v>
      </c>
    </row>
    <row r="114" spans="3:5">
      <c r="C114" s="536">
        <v>39904</v>
      </c>
      <c r="D114" s="537">
        <v>3.3090000000000002</v>
      </c>
    </row>
    <row r="115" spans="3:5">
      <c r="C115" s="536">
        <v>39934</v>
      </c>
      <c r="D115" s="537">
        <v>3.1825000000000001</v>
      </c>
    </row>
    <row r="116" spans="3:5">
      <c r="C116" s="536">
        <v>39965</v>
      </c>
      <c r="D116" s="537">
        <v>3.1844999999999999</v>
      </c>
    </row>
    <row r="117" spans="3:5">
      <c r="C117" s="536">
        <v>39995</v>
      </c>
      <c r="D117" s="537">
        <v>3.1915000000000004</v>
      </c>
    </row>
    <row r="118" spans="3:5">
      <c r="C118" s="536">
        <v>40026</v>
      </c>
      <c r="D118" s="537">
        <v>3.2324999999999999</v>
      </c>
    </row>
    <row r="119" spans="3:5">
      <c r="C119" s="536">
        <v>40057</v>
      </c>
      <c r="D119" s="537">
        <v>3.2044999999999999</v>
      </c>
    </row>
    <row r="120" spans="3:5">
      <c r="C120" s="536">
        <v>40087</v>
      </c>
      <c r="D120" s="537">
        <v>3.238</v>
      </c>
    </row>
    <row r="121" spans="3:5">
      <c r="C121" s="536">
        <v>40118</v>
      </c>
      <c r="D121" s="537">
        <v>3.6990000000000003</v>
      </c>
    </row>
    <row r="122" spans="3:5">
      <c r="C122" s="536">
        <v>40148</v>
      </c>
      <c r="D122" s="537">
        <v>4.1065000000000005</v>
      </c>
      <c r="E122" s="537">
        <f>AVERAGE(D111:D122)</f>
        <v>3.5779583333333336</v>
      </c>
    </row>
    <row r="123" spans="3:5">
      <c r="C123" s="536">
        <v>40179</v>
      </c>
      <c r="D123" s="537">
        <v>4.5975000000000001</v>
      </c>
    </row>
    <row r="124" spans="3:5">
      <c r="C124" s="536">
        <v>40210</v>
      </c>
      <c r="D124" s="537">
        <v>4.3994999999999997</v>
      </c>
    </row>
    <row r="125" spans="3:5">
      <c r="C125" s="536">
        <v>40238</v>
      </c>
      <c r="D125" s="537">
        <v>3.8305000000000002</v>
      </c>
    </row>
    <row r="126" spans="3:5">
      <c r="C126" s="536">
        <v>40269</v>
      </c>
      <c r="D126" s="537">
        <v>3.3890000000000002</v>
      </c>
    </row>
    <row r="127" spans="3:5">
      <c r="C127" s="536">
        <v>40299</v>
      </c>
      <c r="D127" s="537">
        <v>3.2625000000000002</v>
      </c>
    </row>
    <row r="128" spans="3:5">
      <c r="C128" s="536">
        <v>40330</v>
      </c>
      <c r="D128" s="537">
        <v>3.2645</v>
      </c>
    </row>
    <row r="129" spans="3:5">
      <c r="C129" s="536">
        <v>40360</v>
      </c>
      <c r="D129" s="537">
        <v>3.2715000000000001</v>
      </c>
    </row>
    <row r="130" spans="3:5">
      <c r="C130" s="536">
        <v>40391</v>
      </c>
      <c r="D130" s="537">
        <v>3.3125</v>
      </c>
    </row>
    <row r="131" spans="3:5">
      <c r="C131" s="536">
        <v>40422</v>
      </c>
      <c r="D131" s="537">
        <v>3.2845</v>
      </c>
    </row>
    <row r="132" spans="3:5">
      <c r="C132" s="536">
        <v>40452</v>
      </c>
      <c r="D132" s="537">
        <v>3.3180000000000001</v>
      </c>
    </row>
    <row r="133" spans="3:5">
      <c r="C133" s="536">
        <v>40483</v>
      </c>
      <c r="D133" s="537">
        <v>3.7790000000000004</v>
      </c>
    </row>
    <row r="134" spans="3:5">
      <c r="C134" s="536">
        <v>40513</v>
      </c>
      <c r="D134" s="537">
        <v>4.1865000000000006</v>
      </c>
      <c r="E134" s="537">
        <f>AVERAGE(D123:D134)</f>
        <v>3.6579583333333332</v>
      </c>
    </row>
    <row r="135" spans="3:5">
      <c r="C135" s="536">
        <v>40544</v>
      </c>
      <c r="D135" s="537">
        <v>4.6825000000000001</v>
      </c>
    </row>
    <row r="136" spans="3:5">
      <c r="C136" s="536">
        <v>40575</v>
      </c>
      <c r="D136" s="537">
        <v>4.4844999999999997</v>
      </c>
    </row>
    <row r="137" spans="3:5">
      <c r="C137" s="536">
        <v>40603</v>
      </c>
      <c r="D137" s="537">
        <v>3.9155000000000002</v>
      </c>
    </row>
    <row r="138" spans="3:5">
      <c r="C138" s="536">
        <v>40634</v>
      </c>
      <c r="D138" s="537">
        <v>3.4740000000000002</v>
      </c>
    </row>
    <row r="139" spans="3:5">
      <c r="C139" s="536">
        <v>40664</v>
      </c>
      <c r="D139" s="537">
        <v>3.3475000000000001</v>
      </c>
    </row>
    <row r="140" spans="3:5">
      <c r="C140" s="536">
        <v>40695</v>
      </c>
      <c r="D140" s="537">
        <v>3.3494999999999999</v>
      </c>
    </row>
    <row r="141" spans="3:5">
      <c r="C141" s="536">
        <v>40725</v>
      </c>
      <c r="D141" s="537">
        <v>3.3565000000000005</v>
      </c>
    </row>
    <row r="142" spans="3:5">
      <c r="C142" s="536">
        <v>40756</v>
      </c>
      <c r="D142" s="537">
        <v>3.3975</v>
      </c>
    </row>
    <row r="143" spans="3:5">
      <c r="C143" s="536">
        <v>40787</v>
      </c>
      <c r="D143" s="537">
        <v>3.3694999999999999</v>
      </c>
    </row>
    <row r="144" spans="3:5">
      <c r="C144" s="536">
        <v>40817</v>
      </c>
      <c r="D144" s="537">
        <v>3.403</v>
      </c>
    </row>
    <row r="145" spans="3:5">
      <c r="C145" s="536">
        <v>40848</v>
      </c>
      <c r="D145" s="537">
        <v>3.8640000000000003</v>
      </c>
    </row>
    <row r="146" spans="3:5">
      <c r="C146" s="536">
        <v>40878</v>
      </c>
      <c r="D146" s="537">
        <v>4.2715000000000005</v>
      </c>
      <c r="E146" s="537">
        <f>AVERAGE(D135:D146)</f>
        <v>3.7429583333333336</v>
      </c>
    </row>
    <row r="147" spans="3:5">
      <c r="C147" s="536">
        <v>40909</v>
      </c>
      <c r="D147" s="537">
        <v>4.7725</v>
      </c>
    </row>
    <row r="148" spans="3:5">
      <c r="C148" s="536">
        <v>40940</v>
      </c>
      <c r="D148" s="537">
        <v>4.5744999999999996</v>
      </c>
    </row>
    <row r="149" spans="3:5">
      <c r="C149" s="536">
        <v>40969</v>
      </c>
      <c r="D149" s="537">
        <v>4.0054999999999996</v>
      </c>
    </row>
    <row r="150" spans="3:5">
      <c r="C150" s="536">
        <v>41000</v>
      </c>
      <c r="D150" s="537">
        <v>3.5640000000000005</v>
      </c>
    </row>
    <row r="151" spans="3:5">
      <c r="C151" s="536">
        <v>41030</v>
      </c>
      <c r="D151" s="537">
        <v>3.4375</v>
      </c>
    </row>
    <row r="152" spans="3:5">
      <c r="C152" s="536">
        <v>41061</v>
      </c>
      <c r="D152" s="537">
        <v>3.4394999999999998</v>
      </c>
    </row>
    <row r="153" spans="3:5">
      <c r="C153" s="536">
        <v>41091</v>
      </c>
      <c r="D153" s="537">
        <v>3.4465000000000003</v>
      </c>
    </row>
    <row r="154" spans="3:5">
      <c r="C154" s="536">
        <v>41122</v>
      </c>
      <c r="D154" s="537">
        <v>3.4874999999999998</v>
      </c>
    </row>
    <row r="155" spans="3:5">
      <c r="C155" s="536">
        <v>41153</v>
      </c>
      <c r="D155" s="537">
        <v>3.4594999999999998</v>
      </c>
    </row>
    <row r="156" spans="3:5">
      <c r="C156" s="536">
        <v>41183</v>
      </c>
      <c r="D156" s="537">
        <v>3.4929999999999999</v>
      </c>
    </row>
    <row r="157" spans="3:5">
      <c r="C157" s="536">
        <v>41214</v>
      </c>
      <c r="D157" s="537">
        <v>3.9540000000000006</v>
      </c>
    </row>
    <row r="158" spans="3:5">
      <c r="C158" s="536">
        <v>41244</v>
      </c>
      <c r="D158" s="537">
        <v>4.3615000000000004</v>
      </c>
      <c r="E158" s="537">
        <f>AVERAGE(D147:D158)</f>
        <v>3.8329583333333335</v>
      </c>
    </row>
    <row r="159" spans="3:5">
      <c r="C159" s="536">
        <v>41275</v>
      </c>
      <c r="D159" s="537">
        <v>4.8674999999999997</v>
      </c>
    </row>
    <row r="160" spans="3:5">
      <c r="C160" s="536">
        <v>41306</v>
      </c>
      <c r="D160" s="537">
        <v>4.6694999999999993</v>
      </c>
    </row>
    <row r="161" spans="3:5">
      <c r="C161" s="536">
        <v>41334</v>
      </c>
      <c r="D161" s="537">
        <v>4.1005000000000003</v>
      </c>
    </row>
    <row r="162" spans="3:5">
      <c r="C162" s="536">
        <v>41365</v>
      </c>
      <c r="D162" s="537">
        <v>3.6590000000000003</v>
      </c>
    </row>
    <row r="163" spans="3:5">
      <c r="C163" s="536">
        <v>41395</v>
      </c>
      <c r="D163" s="537">
        <v>3.5325000000000002</v>
      </c>
    </row>
    <row r="164" spans="3:5">
      <c r="C164" s="536">
        <v>41426</v>
      </c>
      <c r="D164" s="537">
        <v>3.5345</v>
      </c>
    </row>
    <row r="165" spans="3:5">
      <c r="C165" s="536">
        <v>41456</v>
      </c>
      <c r="D165" s="537">
        <v>3.5415000000000001</v>
      </c>
    </row>
    <row r="166" spans="3:5">
      <c r="C166" s="536">
        <v>41487</v>
      </c>
      <c r="D166" s="537">
        <v>3.5825</v>
      </c>
    </row>
    <row r="167" spans="3:5">
      <c r="C167" s="536">
        <v>41518</v>
      </c>
      <c r="D167" s="537">
        <v>3.5545</v>
      </c>
    </row>
    <row r="168" spans="3:5">
      <c r="C168" s="536">
        <v>41548</v>
      </c>
      <c r="D168" s="537">
        <v>3.5880000000000001</v>
      </c>
    </row>
    <row r="169" spans="3:5">
      <c r="C169" s="536">
        <v>41579</v>
      </c>
      <c r="D169" s="537">
        <v>4.0490000000000004</v>
      </c>
    </row>
    <row r="170" spans="3:5">
      <c r="C170" s="536">
        <v>41609</v>
      </c>
      <c r="D170" s="537">
        <v>4.4565000000000001</v>
      </c>
      <c r="E170" s="537">
        <f>AVERAGE(D159:D170)</f>
        <v>3.9279583333333328</v>
      </c>
    </row>
    <row r="171" spans="3:5">
      <c r="C171" s="536">
        <v>41640</v>
      </c>
      <c r="D171" s="537">
        <v>4.9675000000000002</v>
      </c>
    </row>
    <row r="172" spans="3:5">
      <c r="C172" s="536">
        <v>41671</v>
      </c>
      <c r="D172" s="537">
        <v>4.7694999999999999</v>
      </c>
    </row>
    <row r="173" spans="3:5">
      <c r="C173" s="536">
        <v>41699</v>
      </c>
      <c r="D173" s="537">
        <v>4.2005000000000008</v>
      </c>
    </row>
    <row r="174" spans="3:5">
      <c r="C174" s="536">
        <v>41730</v>
      </c>
      <c r="D174" s="537">
        <v>3.7590000000000003</v>
      </c>
    </row>
    <row r="175" spans="3:5">
      <c r="C175" s="536">
        <v>41760</v>
      </c>
      <c r="D175" s="537">
        <v>3.6324999999999998</v>
      </c>
    </row>
    <row r="176" spans="3:5">
      <c r="C176" s="536">
        <v>41791</v>
      </c>
      <c r="D176" s="537">
        <v>3.6345000000000001</v>
      </c>
    </row>
    <row r="177" spans="3:5">
      <c r="C177" s="536">
        <v>41821</v>
      </c>
      <c r="D177" s="537">
        <v>3.6415000000000002</v>
      </c>
    </row>
    <row r="178" spans="3:5">
      <c r="C178" s="536">
        <v>41852</v>
      </c>
      <c r="D178" s="537">
        <v>3.6825000000000001</v>
      </c>
    </row>
    <row r="179" spans="3:5">
      <c r="C179" s="536">
        <v>41883</v>
      </c>
      <c r="D179" s="537">
        <v>3.6545000000000001</v>
      </c>
    </row>
    <row r="180" spans="3:5">
      <c r="C180" s="536">
        <v>41913</v>
      </c>
      <c r="D180" s="537">
        <v>3.6880000000000002</v>
      </c>
    </row>
    <row r="181" spans="3:5">
      <c r="C181" s="536">
        <v>41944</v>
      </c>
      <c r="D181" s="537">
        <v>4.149</v>
      </c>
    </row>
    <row r="182" spans="3:5">
      <c r="C182" s="536">
        <v>41974</v>
      </c>
      <c r="D182" s="537">
        <v>4.5565000000000007</v>
      </c>
      <c r="E182" s="537">
        <f>AVERAGE(D171:D182)</f>
        <v>4.0279583333333333</v>
      </c>
    </row>
    <row r="183" spans="3:5">
      <c r="C183" s="536">
        <v>42005</v>
      </c>
      <c r="D183" s="537">
        <v>5.0724999999999998</v>
      </c>
    </row>
    <row r="184" spans="3:5">
      <c r="C184" s="536">
        <v>42036</v>
      </c>
      <c r="D184" s="537">
        <v>4.8744999999999994</v>
      </c>
    </row>
    <row r="185" spans="3:5">
      <c r="C185" s="536">
        <v>42064</v>
      </c>
      <c r="D185" s="537">
        <v>4.3055000000000003</v>
      </c>
    </row>
    <row r="186" spans="3:5">
      <c r="C186" s="536">
        <v>42095</v>
      </c>
      <c r="D186" s="537">
        <v>3.8640000000000003</v>
      </c>
    </row>
    <row r="187" spans="3:5">
      <c r="C187" s="536">
        <v>42125</v>
      </c>
      <c r="D187" s="537">
        <v>3.7374999999999998</v>
      </c>
    </row>
    <row r="188" spans="3:5">
      <c r="C188" s="536">
        <v>42156</v>
      </c>
      <c r="D188" s="537">
        <v>3.7395</v>
      </c>
    </row>
    <row r="189" spans="3:5">
      <c r="C189" s="536">
        <v>42186</v>
      </c>
      <c r="D189" s="537">
        <v>3.7465000000000002</v>
      </c>
    </row>
    <row r="190" spans="3:5">
      <c r="C190" s="536">
        <v>42217</v>
      </c>
      <c r="D190" s="537">
        <v>3.7875000000000001</v>
      </c>
    </row>
    <row r="191" spans="3:5">
      <c r="C191" s="536">
        <v>42248</v>
      </c>
      <c r="D191" s="537">
        <v>3.7595000000000001</v>
      </c>
    </row>
    <row r="192" spans="3:5">
      <c r="C192" s="536">
        <v>42278</v>
      </c>
      <c r="D192" s="537">
        <v>3.7930000000000001</v>
      </c>
    </row>
    <row r="193" spans="3:5">
      <c r="C193" s="536">
        <v>42309</v>
      </c>
      <c r="D193" s="537">
        <v>4.2540000000000004</v>
      </c>
    </row>
    <row r="194" spans="3:5">
      <c r="C194" s="536">
        <v>42339</v>
      </c>
      <c r="D194" s="537">
        <v>4.6615000000000002</v>
      </c>
      <c r="E194" s="537">
        <f>AVERAGE(D183:D194)</f>
        <v>4.1329583333333337</v>
      </c>
    </row>
    <row r="195" spans="3:5">
      <c r="C195" s="536">
        <v>42370</v>
      </c>
      <c r="D195" s="537">
        <v>5.1825000000000001</v>
      </c>
    </row>
    <row r="196" spans="3:5">
      <c r="C196" s="536">
        <v>42401</v>
      </c>
      <c r="D196" s="537">
        <v>4.9844999999999997</v>
      </c>
    </row>
    <row r="197" spans="3:5">
      <c r="C197" s="536">
        <v>42430</v>
      </c>
      <c r="D197" s="537">
        <v>4.4155000000000006</v>
      </c>
    </row>
    <row r="198" spans="3:5">
      <c r="C198" s="536">
        <v>42461</v>
      </c>
      <c r="D198" s="537">
        <v>3.9740000000000002</v>
      </c>
    </row>
    <row r="199" spans="3:5">
      <c r="C199" s="536">
        <v>42491</v>
      </c>
      <c r="D199" s="537">
        <v>3.8475000000000001</v>
      </c>
    </row>
    <row r="200" spans="3:5">
      <c r="C200" s="536">
        <v>42522</v>
      </c>
      <c r="D200" s="537">
        <v>3.8494999999999999</v>
      </c>
    </row>
    <row r="201" spans="3:5">
      <c r="C201" s="536">
        <v>42552</v>
      </c>
      <c r="D201" s="537">
        <v>3.8565000000000005</v>
      </c>
    </row>
    <row r="202" spans="3:5">
      <c r="C202" s="536">
        <v>42583</v>
      </c>
      <c r="D202" s="537">
        <v>3.8975</v>
      </c>
    </row>
    <row r="203" spans="3:5">
      <c r="C203" s="536">
        <v>42614</v>
      </c>
      <c r="D203" s="537">
        <v>3.8694999999999999</v>
      </c>
    </row>
    <row r="204" spans="3:5">
      <c r="C204" s="536">
        <v>42644</v>
      </c>
      <c r="D204" s="537">
        <v>3.903</v>
      </c>
    </row>
    <row r="205" spans="3:5">
      <c r="C205" s="536">
        <v>42675</v>
      </c>
      <c r="D205" s="537">
        <v>4.3639999999999999</v>
      </c>
    </row>
    <row r="206" spans="3:5">
      <c r="C206" s="536">
        <v>42705</v>
      </c>
      <c r="D206" s="537">
        <v>4.7715000000000005</v>
      </c>
      <c r="E206" s="537">
        <f>AVERAGE(D195:D206)</f>
        <v>4.2429583333333332</v>
      </c>
    </row>
    <row r="207" spans="3:5">
      <c r="C207" s="536">
        <v>42736</v>
      </c>
      <c r="D207" s="537">
        <v>5.2975000000000003</v>
      </c>
    </row>
    <row r="208" spans="3:5">
      <c r="C208" s="536">
        <v>42767</v>
      </c>
      <c r="D208" s="537">
        <v>5.0994999999999999</v>
      </c>
    </row>
    <row r="209" spans="3:5">
      <c r="C209" s="536">
        <v>42795</v>
      </c>
      <c r="D209" s="537">
        <v>4.5305000000000009</v>
      </c>
    </row>
    <row r="210" spans="3:5">
      <c r="C210" s="536">
        <v>42826</v>
      </c>
      <c r="D210" s="537">
        <v>4.0890000000000004</v>
      </c>
    </row>
    <row r="211" spans="3:5">
      <c r="C211" s="536">
        <v>42856</v>
      </c>
      <c r="D211" s="537">
        <v>3.9624999999999999</v>
      </c>
    </row>
    <row r="212" spans="3:5">
      <c r="C212" s="536">
        <v>42887</v>
      </c>
      <c r="D212" s="537">
        <v>3.9645000000000001</v>
      </c>
    </row>
    <row r="213" spans="3:5">
      <c r="C213" s="536">
        <v>42917</v>
      </c>
      <c r="D213" s="537">
        <v>3.9715000000000003</v>
      </c>
    </row>
    <row r="214" spans="3:5">
      <c r="C214" s="536">
        <v>42948</v>
      </c>
      <c r="D214" s="537">
        <v>4.0125000000000002</v>
      </c>
    </row>
    <row r="215" spans="3:5">
      <c r="C215" s="536">
        <v>42979</v>
      </c>
      <c r="D215" s="537">
        <v>3.9844999999999997</v>
      </c>
    </row>
    <row r="216" spans="3:5">
      <c r="C216" s="536">
        <v>43009</v>
      </c>
      <c r="D216" s="537">
        <v>4.0179999999999998</v>
      </c>
    </row>
    <row r="217" spans="3:5">
      <c r="C217" s="536">
        <v>43040</v>
      </c>
      <c r="D217" s="537">
        <v>4.4790000000000001</v>
      </c>
    </row>
    <row r="218" spans="3:5">
      <c r="C218" s="536">
        <v>43070</v>
      </c>
      <c r="D218" s="537">
        <v>4.8865000000000007</v>
      </c>
      <c r="E218" s="537">
        <f>AVERAGE(D207:D218)</f>
        <v>4.3579583333333334</v>
      </c>
    </row>
    <row r="219" spans="3:5">
      <c r="C219" s="536">
        <v>43101</v>
      </c>
      <c r="D219" s="537">
        <v>5.4175000000000004</v>
      </c>
    </row>
    <row r="220" spans="3:5">
      <c r="C220" s="536">
        <v>43132</v>
      </c>
      <c r="D220" s="537">
        <v>5.2194999999999991</v>
      </c>
    </row>
    <row r="221" spans="3:5">
      <c r="C221" s="536">
        <v>43160</v>
      </c>
      <c r="D221" s="537">
        <v>4.6505000000000001</v>
      </c>
    </row>
    <row r="222" spans="3:5">
      <c r="C222" s="536">
        <v>43191</v>
      </c>
      <c r="D222" s="537">
        <v>4.2090000000000005</v>
      </c>
    </row>
    <row r="223" spans="3:5">
      <c r="C223" s="536">
        <v>43221</v>
      </c>
      <c r="D223" s="537">
        <v>4.0824999999999996</v>
      </c>
    </row>
    <row r="224" spans="3:5">
      <c r="C224" s="536">
        <v>43252</v>
      </c>
      <c r="D224" s="537">
        <v>4.0844999999999994</v>
      </c>
    </row>
    <row r="225" spans="3:5">
      <c r="C225" s="536">
        <v>43282</v>
      </c>
      <c r="D225" s="537">
        <v>4.0914999999999999</v>
      </c>
    </row>
    <row r="226" spans="3:5">
      <c r="C226" s="536">
        <v>43313</v>
      </c>
      <c r="D226" s="537">
        <v>4.1325000000000003</v>
      </c>
    </row>
    <row r="227" spans="3:5">
      <c r="C227" s="536">
        <v>43344</v>
      </c>
      <c r="D227" s="537">
        <v>4.1044999999999998</v>
      </c>
    </row>
    <row r="228" spans="3:5">
      <c r="C228" s="536">
        <v>43374</v>
      </c>
      <c r="D228" s="537">
        <v>4.1379999999999999</v>
      </c>
    </row>
    <row r="229" spans="3:5">
      <c r="C229" s="536">
        <v>43405</v>
      </c>
      <c r="D229" s="537">
        <v>4.5990000000000002</v>
      </c>
    </row>
    <row r="230" spans="3:5">
      <c r="C230" s="536">
        <v>43435</v>
      </c>
      <c r="D230" s="537">
        <v>5.0065000000000008</v>
      </c>
      <c r="E230" s="537">
        <f>AVERAGE(D219:D230)</f>
        <v>4.4779583333333335</v>
      </c>
    </row>
    <row r="231" spans="3:5">
      <c r="C231" s="536">
        <v>43466</v>
      </c>
      <c r="D231" s="537">
        <v>5.5425000000000004</v>
      </c>
    </row>
    <row r="232" spans="3:5">
      <c r="C232" s="536">
        <v>43497</v>
      </c>
      <c r="D232" s="537">
        <v>5.3444999999999991</v>
      </c>
    </row>
    <row r="233" spans="3:5">
      <c r="C233" s="536">
        <v>43525</v>
      </c>
      <c r="D233" s="537">
        <v>4.7755000000000001</v>
      </c>
    </row>
    <row r="234" spans="3:5">
      <c r="C234" s="536">
        <v>43556</v>
      </c>
      <c r="D234" s="537">
        <v>4.3340000000000005</v>
      </c>
    </row>
    <row r="235" spans="3:5">
      <c r="C235" s="536">
        <v>43586</v>
      </c>
      <c r="D235" s="537">
        <v>4.2074999999999996</v>
      </c>
    </row>
    <row r="236" spans="3:5">
      <c r="C236" s="536">
        <v>43617</v>
      </c>
      <c r="D236" s="537">
        <v>4.2094999999999994</v>
      </c>
    </row>
    <row r="237" spans="3:5">
      <c r="C237" s="536">
        <v>43647</v>
      </c>
      <c r="D237" s="537">
        <v>4.2164999999999999</v>
      </c>
    </row>
    <row r="238" spans="3:5">
      <c r="C238" s="536">
        <v>43678</v>
      </c>
      <c r="D238" s="537">
        <v>4.2575000000000003</v>
      </c>
    </row>
    <row r="239" spans="3:5">
      <c r="C239" s="536">
        <v>43709</v>
      </c>
      <c r="D239" s="537">
        <v>4.2294999999999998</v>
      </c>
    </row>
    <row r="240" spans="3:5">
      <c r="C240" s="536">
        <v>43739</v>
      </c>
      <c r="D240" s="537">
        <v>4.2629999999999999</v>
      </c>
    </row>
    <row r="241" spans="3:5">
      <c r="C241" s="536">
        <v>43770</v>
      </c>
      <c r="D241" s="537">
        <v>4.7240000000000002</v>
      </c>
    </row>
    <row r="242" spans="3:5">
      <c r="C242" s="536">
        <v>43800</v>
      </c>
      <c r="D242" s="537">
        <v>5.1315000000000008</v>
      </c>
      <c r="E242" s="537">
        <f>AVERAGE(D231:D242)</f>
        <v>4.6029583333333335</v>
      </c>
    </row>
    <row r="243" spans="3:5">
      <c r="C243" s="536">
        <v>43831</v>
      </c>
      <c r="D243" s="537">
        <v>5.6725000000000003</v>
      </c>
    </row>
    <row r="244" spans="3:5">
      <c r="C244" s="536">
        <v>43862</v>
      </c>
      <c r="D244" s="537">
        <v>5.474499999999999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C23" sqref="C23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7" t="str">
        <f>Assumptions!A3</f>
        <v>PROJECT NAME: Calpine</v>
      </c>
    </row>
    <row r="4" spans="1:33" ht="18.75">
      <c r="A4" s="60" t="s">
        <v>93</v>
      </c>
      <c r="B4" s="5"/>
    </row>
    <row r="6" spans="1:33"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72">
        <v>37256</v>
      </c>
      <c r="D8" s="372">
        <v>37621</v>
      </c>
      <c r="E8" s="372">
        <v>37986</v>
      </c>
      <c r="F8" s="372">
        <v>38352</v>
      </c>
      <c r="G8" s="372">
        <v>38717</v>
      </c>
      <c r="H8" s="372">
        <v>39082</v>
      </c>
      <c r="I8" s="372">
        <v>39447</v>
      </c>
      <c r="J8" s="372">
        <v>39813</v>
      </c>
      <c r="K8" s="372">
        <v>40178</v>
      </c>
      <c r="L8" s="372">
        <v>40543</v>
      </c>
      <c r="M8" s="372">
        <v>40908</v>
      </c>
      <c r="N8" s="372">
        <v>41274</v>
      </c>
      <c r="O8" s="372">
        <v>41639</v>
      </c>
      <c r="P8" s="372">
        <v>42004</v>
      </c>
      <c r="Q8" s="372">
        <v>42369</v>
      </c>
      <c r="R8" s="372">
        <v>42735</v>
      </c>
      <c r="S8" s="372">
        <v>43100</v>
      </c>
      <c r="T8" s="372">
        <v>43465</v>
      </c>
      <c r="U8" s="372">
        <v>43830</v>
      </c>
      <c r="V8" s="372">
        <v>44196</v>
      </c>
      <c r="W8" s="372">
        <v>44561</v>
      </c>
      <c r="X8" s="372">
        <v>44926</v>
      </c>
      <c r="Y8" s="372">
        <v>45291</v>
      </c>
      <c r="Z8" s="372">
        <v>45657</v>
      </c>
      <c r="AA8" s="372">
        <v>46022</v>
      </c>
      <c r="AB8" s="372">
        <v>46387</v>
      </c>
      <c r="AC8" s="372">
        <v>46752</v>
      </c>
      <c r="AD8" s="372">
        <v>47118</v>
      </c>
      <c r="AE8" s="372">
        <v>47483</v>
      </c>
      <c r="AF8" s="372">
        <v>47848</v>
      </c>
      <c r="AG8" s="372">
        <v>48213</v>
      </c>
    </row>
    <row r="9" spans="1:3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121</v>
      </c>
      <c r="C10" s="74">
        <f>IF(C6&lt;Assumptions!$H$19,C6*12*'Price_Technical Assumption'!D21*Assumptions!$H$68,IF(AND(B6&lt;Assumptions!$H$19,C6&gt;Assumptions!$H$19),(1-$C$6)*12*'Price_Technical Assumption'!D21*Assumptions!$H$68,0))</f>
        <v>6317.5</v>
      </c>
      <c r="D10" s="74">
        <f>IF(D6&lt;Assumptions!$H$19,12*'Price_Technical Assumption'!E21*Assumptions!$H$68,IF(AND(C6&lt;Assumptions!$H$19,D6&gt;Assumptions!$H$19),(1-$C$6)*12*'Price_Technical Assumption'!E21*Assumptions!$H$68,0))</f>
        <v>10830</v>
      </c>
      <c r="E10" s="74">
        <f>IF(E6&lt;Assumptions!$H$19,12*'Price_Technical Assumption'!F21*Assumptions!$H$68,IF(AND(D6&lt;Assumptions!$H$19,E6&gt;Assumptions!$H$19),(1-$C$6)*12*'Price_Technical Assumption'!F21*Assumptions!$H$68,0))</f>
        <v>10830</v>
      </c>
      <c r="F10" s="74">
        <f>IF(F6&lt;Assumptions!$H$19,12*'Price_Technical Assumption'!G21*Assumptions!$H$68,IF(AND(E6&lt;Assumptions!$H$19,F6&gt;Assumptions!$H$19),(1-$C$6)*12*'Price_Technical Assumption'!G21*Assumptions!$H$68,0))</f>
        <v>12121.877479608334</v>
      </c>
      <c r="G10" s="74">
        <f>IF(G6&lt;Assumptions!$H$19,12*'Price_Technical Assumption'!H21*Assumptions!$H$68,IF(AND(F6&lt;Assumptions!$H$19,G6&gt;Assumptions!$H$19),(1-$C$6)*12*'Price_Technical Assumption'!H21*Assumptions!$H$68,0))</f>
        <v>12995.462372902997</v>
      </c>
      <c r="H10" s="74">
        <f>IF(H6&lt;Assumptions!$H$19,12*'Price_Technical Assumption'!I21*Assumptions!$H$68,IF(AND(G6&lt;Assumptions!$H$19,H6&gt;Assumptions!$H$19),(1-$C$6)*12*'Price_Technical Assumption'!I21*Assumptions!$H$68,0))</f>
        <v>13158.45630774958</v>
      </c>
      <c r="I10" s="74">
        <f>IF(I6&lt;Assumptions!$H$19,12*'Price_Technical Assumption'!J21*Assumptions!$H$68,IF(AND(H6&lt;Assumptions!$H$19,I6&gt;Assumptions!$H$19),(1-$C$6)*12*'Price_Technical Assumption'!J21*Assumptions!$H$68,0))</f>
        <v>13319.533962551342</v>
      </c>
      <c r="J10" s="74">
        <f>IF(J6&lt;Assumptions!$H$19,12*'Price_Technical Assumption'!K21*Assumptions!$H$68,IF(AND(I6&lt;Assumptions!$H$19,J6&gt;Assumptions!$H$19),(1-$C$6)*12*'Price_Technical Assumption'!K21*Assumptions!$H$68,0))</f>
        <v>13478.433665964234</v>
      </c>
      <c r="K10" s="74">
        <f>IF(K6&lt;Assumptions!$H$19,12*'Price_Technical Assumption'!L21*Assumptions!$H$68,IF(AND(J6&lt;Assumptions!$H$19,K6&gt;Assumptions!$H$19),(1-$C$6)*12*'Price_Technical Assumption'!L21*Assumptions!$H$68,0))</f>
        <v>13882.786675943162</v>
      </c>
      <c r="L10" s="74">
        <f>IF(L6&lt;Assumptions!$H$19,12*'Price_Technical Assumption'!M21*Assumptions!$H$68,IF(AND(K6&lt;Assumptions!$H$19,L6&gt;Assumptions!$H$19),(1-$C$6)*12*'Price_Technical Assumption'!M21*Assumptions!$H$68,0))</f>
        <v>14043.926164146071</v>
      </c>
      <c r="M10" s="74">
        <f>IF(M6&lt;Assumptions!$H$19,12*'Price_Technical Assumption'!N21*Assumptions!$H$68,IF(AND(L6&lt;Assumptions!$H$19,M6&gt;Assumptions!$H$19),(1-$C$6)*12*'Price_Technical Assumption'!N21*Assumptions!$H$68,0))</f>
        <v>14465.243949070456</v>
      </c>
      <c r="N10" s="74">
        <f>IF(N6&lt;Assumptions!$H$19,12*'Price_Technical Assumption'!O21*Assumptions!$H$68,IF(AND(M6&lt;Assumptions!$H$19,N6&gt;Assumptions!$H$19),(1-$C$6)*12*'Price_Technical Assumption'!O21*Assumptions!$H$68,0))</f>
        <v>14628.306699041792</v>
      </c>
      <c r="O10" s="74">
        <f>IF(O6&lt;Assumptions!$H$19,12*'Price_Technical Assumption'!P21*Assumptions!$H$68,IF(AND(N6&lt;Assumptions!$H$19,O6&gt;Assumptions!$H$19),(1-$C$6)*12*'Price_Technical Assumption'!P21*Assumptions!$H$68,0))</f>
        <v>15067.155900013047</v>
      </c>
      <c r="P10" s="74">
        <f>IF(P6&lt;Assumptions!$H$19,12*'Price_Technical Assumption'!Q21*Assumptions!$H$68,IF(AND(O6&lt;Assumptions!$H$19,P6&gt;Assumptions!$H$19),(1-$C$6)*12*'Price_Technical Assumption'!Q21*Assumptions!$H$68,0))</f>
        <v>15231.778529290968</v>
      </c>
      <c r="Q10" s="74">
        <f>IF(Q6&lt;Assumptions!$H$19,12*'Price_Technical Assumption'!R21*Assumptions!$H$68,IF(AND(P6&lt;Assumptions!$H$19,Q6&gt;Assumptions!$H$19),(1-$C$6)*12*'Price_Technical Assumption'!R21*Assumptions!$H$68,0))</f>
        <v>15392.718076015553</v>
      </c>
      <c r="R10" s="74">
        <f>IF(R6&lt;Assumptions!$H$19,12*'Price_Technical Assumption'!S21*Assumptions!$H$68,IF(AND(Q6&lt;Assumptions!$H$19,R6&gt;Assumptions!$H$19),(1-$C$6)*12*'Price_Technical Assumption'!S21*Assumptions!$H$68,0))</f>
        <v>15549.605394867247</v>
      </c>
      <c r="S10" s="74">
        <f>IF(S6&lt;Assumptions!$H$19,12*'Price_Technical Assumption'!T21*Assumptions!$H$68,IF(AND(R6&lt;Assumptions!$H$19,S6&gt;Assumptions!$H$19),(1-$C$6)*12*'Price_Technical Assumption'!T21*Assumptions!$H$68,0))</f>
        <v>15702.052506581631</v>
      </c>
      <c r="T10" s="74">
        <f>IF(T6&lt;Assumptions!$H$19,12*'Price_Technical Assumption'!U21*Assumptions!$H$68,IF(AND(S6&lt;Assumptions!$H$19,T6&gt;Assumptions!$H$19),(1-$C$6)*12*'Price_Technical Assumption'!U21*Assumptions!$H$68,0))</f>
        <v>15849.6518001435</v>
      </c>
      <c r="U10" s="74">
        <f>IF(U6&lt;Assumptions!$H$19,12*'Price_Technical Assumption'!V21*Assumptions!$H$68,IF(AND(T6&lt;Assumptions!$H$19,U6&gt;Assumptions!$H$19),(1-$C$6)*12*'Price_Technical Assumption'!V21*Assumptions!$H$68,0))</f>
        <v>15991.975204063156</v>
      </c>
      <c r="V10" s="74">
        <f>IF(V6&lt;Assumptions!$H$19,12*'Price_Technical Assumption'!W21*Assumptions!$H$68,IF(AND(U6&lt;Assumptions!$H$19,V6&gt;Assumptions!$H$19),(1-$C$6)*12*'Price_Technical Assumption'!W21*Assumptions!$H$68,0))</f>
        <v>16128.573325597859</v>
      </c>
      <c r="W10" s="74">
        <f>IF(W6&lt;Assumptions!$H$19,12*'Price_Technical Assumption'!X21*Assumptions!$H$68,IF(AND(V6&lt;Assumptions!$H$19,W6&gt;Assumptions!$H$19),(1-$C$6)*12*'Price_Technical Assumption'!X21*Assumptions!$H$68,0))</f>
        <v>6774.5727319754124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122</v>
      </c>
      <c r="C11" s="74">
        <f>'Price_Technical Assumption'!D38*Assumptions!$H$62/1000</f>
        <v>9667.6802962499987</v>
      </c>
      <c r="D11" s="74">
        <f>'Price_Technical Assumption'!E38*Assumptions!$H$62/1000</f>
        <v>9538.0559550000016</v>
      </c>
      <c r="E11" s="74">
        <f>'Price_Technical Assumption'!F38*Assumptions!$H$62/1000</f>
        <v>9571.6160587500017</v>
      </c>
      <c r="F11" s="74">
        <f>'Price_Technical Assumption'!G38*Assumptions!$H$62/1000</f>
        <v>9718.8313837500009</v>
      </c>
      <c r="G11" s="74">
        <f>'Price_Technical Assumption'!H38*Assumptions!$H$62/1000</f>
        <v>9895.9888087499985</v>
      </c>
      <c r="H11" s="74">
        <f>'Price_Technical Assumption'!I38*Assumptions!$H$62/1000</f>
        <v>10084.374521250002</v>
      </c>
      <c r="I11" s="74">
        <f>'Price_Technical Assumption'!J38*Assumptions!$H$62/1000</f>
        <v>10278.998171249999</v>
      </c>
      <c r="J11" s="74">
        <f>'Price_Technical Assumption'!K38*Assumptions!$H$62/1000</f>
        <v>10488.592871249997</v>
      </c>
      <c r="K11" s="74">
        <f>'Price_Technical Assumption'!L38*Assumptions!$H$62/1000</f>
        <v>10713.158621250002</v>
      </c>
      <c r="L11" s="74">
        <f>'Price_Technical Assumption'!M38*Assumptions!$H$62/1000</f>
        <v>10952.695421249999</v>
      </c>
      <c r="M11" s="74">
        <f>'Price_Technical Assumption'!N38*Assumptions!$H$62/1000</f>
        <v>11207.20327125</v>
      </c>
      <c r="N11" s="74">
        <f>'Price_Technical Assumption'!O38*Assumptions!$H$62/1000</f>
        <v>11476.68217125</v>
      </c>
      <c r="O11" s="74">
        <f>'Price_Technical Assumption'!P38*Assumptions!$H$62/1000</f>
        <v>11761.132121249999</v>
      </c>
      <c r="P11" s="74">
        <f>'Price_Technical Assumption'!Q38*Assumptions!$H$62/1000</f>
        <v>12060.553121250001</v>
      </c>
      <c r="Q11" s="74">
        <f>'Price_Technical Assumption'!R38*Assumptions!$H$62/1000</f>
        <v>12374.945171250001</v>
      </c>
      <c r="R11" s="74">
        <f>'Price_Technical Assumption'!S38*Assumptions!$H$62/1000</f>
        <v>12704.30827125</v>
      </c>
      <c r="S11" s="74">
        <f>'Price_Technical Assumption'!T38*Assumptions!$H$62/1000</f>
        <v>13048.642421250001</v>
      </c>
      <c r="T11" s="74">
        <f>'Price_Technical Assumption'!U38*Assumptions!$H$62/1000</f>
        <v>13407.947621249999</v>
      </c>
      <c r="U11" s="74">
        <f>'Price_Technical Assumption'!V38*Assumptions!$H$62/1000</f>
        <v>13782.223871250002</v>
      </c>
      <c r="V11" s="74">
        <f>'Price_Technical Assumption'!W38*Assumptions!$H$62/1000</f>
        <v>14126.779468031249</v>
      </c>
      <c r="W11" s="74">
        <f>'Price_Technical Assumption'!X38*Assumptions!$H$62/1000</f>
        <v>14479.94895473203</v>
      </c>
      <c r="X11" s="74">
        <f>'Price_Technical Assumption'!Y38*Assumptions!$H$62/1000</f>
        <v>6587.2619999999997</v>
      </c>
      <c r="Y11" s="74">
        <f>'Price_Technical Assumption'!Z38*Assumptions!$H$62/1000</f>
        <v>6587.2619999999997</v>
      </c>
      <c r="Z11" s="74">
        <f>'Price_Technical Assumption'!AA38*Assumptions!$H$62/1000</f>
        <v>6587.2619999999997</v>
      </c>
      <c r="AA11" s="74">
        <f>'Price_Technical Assumption'!AB38*Assumptions!$H$62/1000</f>
        <v>6587.2619999999997</v>
      </c>
      <c r="AB11" s="74">
        <f>'Price_Technical Assumption'!AC38*Assumptions!$H$62/1000</f>
        <v>6587.2619999999997</v>
      </c>
      <c r="AC11" s="74">
        <f>'Price_Technical Assumption'!AD38*Assumptions!$H$62/1000</f>
        <v>6587.2619999999997</v>
      </c>
      <c r="AD11" s="74">
        <f>'Price_Technical Assumption'!AE38*Assumptions!$H$62/1000</f>
        <v>6587.2619999999997</v>
      </c>
      <c r="AE11" s="74">
        <f>'Price_Technical Assumption'!AF38*Assumptions!$H$62/1000</f>
        <v>6587.2619999999997</v>
      </c>
      <c r="AF11" s="74">
        <f>'Price_Technical Assumption'!AG38*Assumptions!$H$62/1000</f>
        <v>6587.2619999999997</v>
      </c>
      <c r="AG11" s="74">
        <f>'Price_Technical Assumption'!AH38*Assumptions!$H$62/1000</f>
        <v>6587.2619999999997</v>
      </c>
    </row>
    <row r="12" spans="1:33">
      <c r="A12" s="211" t="s">
        <v>123</v>
      </c>
      <c r="C12" s="373">
        <v>0</v>
      </c>
      <c r="D12" s="373">
        <v>0</v>
      </c>
      <c r="E12" s="373">
        <v>0</v>
      </c>
      <c r="F12" s="373">
        <v>0</v>
      </c>
      <c r="G12" s="373">
        <v>0</v>
      </c>
      <c r="H12" s="373">
        <v>0</v>
      </c>
      <c r="I12" s="373">
        <v>0</v>
      </c>
      <c r="J12" s="373">
        <v>0</v>
      </c>
      <c r="K12" s="373">
        <v>0</v>
      </c>
      <c r="L12" s="373">
        <v>0</v>
      </c>
      <c r="M12" s="373">
        <v>0</v>
      </c>
      <c r="N12" s="373">
        <v>0</v>
      </c>
      <c r="O12" s="373">
        <v>0</v>
      </c>
      <c r="P12" s="373">
        <v>0</v>
      </c>
      <c r="Q12" s="373">
        <v>0</v>
      </c>
      <c r="R12" s="373">
        <v>0</v>
      </c>
      <c r="S12" s="373">
        <v>0</v>
      </c>
      <c r="T12" s="373">
        <v>0</v>
      </c>
      <c r="U12" s="373">
        <v>0</v>
      </c>
      <c r="V12" s="373">
        <v>0</v>
      </c>
      <c r="W12" s="373">
        <v>0</v>
      </c>
      <c r="X12" s="373">
        <v>0</v>
      </c>
      <c r="Y12" s="373">
        <v>0</v>
      </c>
      <c r="Z12" s="373">
        <v>0</v>
      </c>
      <c r="AA12" s="373">
        <v>0</v>
      </c>
      <c r="AB12" s="373">
        <v>0</v>
      </c>
      <c r="AC12" s="373">
        <v>0</v>
      </c>
      <c r="AD12" s="373">
        <v>0</v>
      </c>
      <c r="AE12" s="373">
        <v>0</v>
      </c>
      <c r="AF12" s="373">
        <v>0</v>
      </c>
      <c r="AG12" s="373">
        <v>0</v>
      </c>
    </row>
    <row r="13" spans="1:33">
      <c r="A13" s="174" t="s">
        <v>42</v>
      </c>
      <c r="C13" s="65">
        <f t="shared" ref="C13:AG13" si="0">SUM(C10:C12)</f>
        <v>15985.180296249999</v>
      </c>
      <c r="D13" s="65">
        <f t="shared" si="0"/>
        <v>20368.055955000003</v>
      </c>
      <c r="E13" s="65">
        <f t="shared" si="0"/>
        <v>20401.616058750002</v>
      </c>
      <c r="F13" s="65">
        <f t="shared" si="0"/>
        <v>21840.708863358333</v>
      </c>
      <c r="G13" s="65">
        <f t="shared" si="0"/>
        <v>22891.451181652996</v>
      </c>
      <c r="H13" s="65">
        <f t="shared" si="0"/>
        <v>23242.830828999584</v>
      </c>
      <c r="I13" s="65">
        <f t="shared" si="0"/>
        <v>23598.532133801342</v>
      </c>
      <c r="J13" s="65">
        <f t="shared" si="0"/>
        <v>23967.026537214231</v>
      </c>
      <c r="K13" s="65">
        <f t="shared" si="0"/>
        <v>24595.945297193164</v>
      </c>
      <c r="L13" s="65">
        <f t="shared" si="0"/>
        <v>24996.621585396068</v>
      </c>
      <c r="M13" s="65">
        <f t="shared" si="0"/>
        <v>25672.447220320457</v>
      </c>
      <c r="N13" s="65">
        <f t="shared" si="0"/>
        <v>26104.988870291792</v>
      </c>
      <c r="O13" s="65">
        <f t="shared" si="0"/>
        <v>26828.288021263048</v>
      </c>
      <c r="P13" s="65">
        <f t="shared" si="0"/>
        <v>27292.331650540968</v>
      </c>
      <c r="Q13" s="65">
        <f t="shared" si="0"/>
        <v>27767.663247265555</v>
      </c>
      <c r="R13" s="65">
        <f t="shared" si="0"/>
        <v>28253.913666117245</v>
      </c>
      <c r="S13" s="65">
        <f t="shared" si="0"/>
        <v>28750.694927831632</v>
      </c>
      <c r="T13" s="65">
        <f t="shared" si="0"/>
        <v>29257.599421393497</v>
      </c>
      <c r="U13" s="65">
        <f t="shared" si="0"/>
        <v>29774.199075313158</v>
      </c>
      <c r="V13" s="65">
        <f t="shared" si="0"/>
        <v>30255.352793629107</v>
      </c>
      <c r="W13" s="65">
        <f t="shared" si="0"/>
        <v>21254.521686707441</v>
      </c>
      <c r="X13" s="65">
        <f t="shared" si="0"/>
        <v>6587.2619999999997</v>
      </c>
      <c r="Y13" s="65">
        <f t="shared" si="0"/>
        <v>6587.2619999999997</v>
      </c>
      <c r="Z13" s="65">
        <f t="shared" si="0"/>
        <v>6587.2619999999997</v>
      </c>
      <c r="AA13" s="65">
        <f t="shared" si="0"/>
        <v>6587.2619999999997</v>
      </c>
      <c r="AB13" s="65">
        <f t="shared" si="0"/>
        <v>6587.2619999999997</v>
      </c>
      <c r="AC13" s="65">
        <f t="shared" si="0"/>
        <v>6587.2619999999997</v>
      </c>
      <c r="AD13" s="65">
        <f t="shared" si="0"/>
        <v>6587.2619999999997</v>
      </c>
      <c r="AE13" s="65">
        <f t="shared" si="0"/>
        <v>6587.2619999999997</v>
      </c>
      <c r="AF13" s="65">
        <f t="shared" si="0"/>
        <v>6587.2619999999997</v>
      </c>
      <c r="AG13" s="65">
        <f t="shared" si="0"/>
        <v>6587.2619999999997</v>
      </c>
    </row>
    <row r="14" spans="1:33">
      <c r="A14" s="6"/>
      <c r="Y14" s="12"/>
      <c r="Z14" s="12"/>
    </row>
    <row r="15" spans="1:33">
      <c r="A15" s="1" t="s">
        <v>43</v>
      </c>
      <c r="Y15" s="12"/>
      <c r="Z15" s="12"/>
    </row>
    <row r="16" spans="1:33">
      <c r="A16" s="3" t="s">
        <v>44</v>
      </c>
      <c r="C16" s="221">
        <f>Assumptions!$H$62*'Price_Technical Assumption'!D30*'Price_Technical Assumption'!D44/1000000</f>
        <v>9667.6802962500005</v>
      </c>
      <c r="D16" s="221">
        <f>Assumptions!$H$62*'Price_Technical Assumption'!E30*'Price_Technical Assumption'!E44/1000000</f>
        <v>9538.0559550000016</v>
      </c>
      <c r="E16" s="221">
        <f>Assumptions!$H$62*'Price_Technical Assumption'!F30*'Price_Technical Assumption'!F44/1000000</f>
        <v>9571.6160587499999</v>
      </c>
      <c r="F16" s="221">
        <f>Assumptions!$H$62*'Price_Technical Assumption'!G30*'Price_Technical Assumption'!G44/1000000</f>
        <v>9718.8313837500027</v>
      </c>
      <c r="G16" s="221">
        <f>Assumptions!$H$62*'Price_Technical Assumption'!H30*'Price_Technical Assumption'!H44/1000000</f>
        <v>9895.9888087499985</v>
      </c>
      <c r="H16" s="221">
        <f>Assumptions!$H$62*'Price_Technical Assumption'!I30*'Price_Technical Assumption'!I44/1000000</f>
        <v>10084.374521250002</v>
      </c>
      <c r="I16" s="221">
        <f>Assumptions!$H$62*'Price_Technical Assumption'!J30*'Price_Technical Assumption'!J44/1000000</f>
        <v>10278.998171250001</v>
      </c>
      <c r="J16" s="221">
        <f>Assumptions!$H$62*'Price_Technical Assumption'!K30*'Price_Technical Assumption'!K44/1000000</f>
        <v>10488.592871250001</v>
      </c>
      <c r="K16" s="221">
        <f>Assumptions!$H$62*'Price_Technical Assumption'!L30*'Price_Technical Assumption'!L44/1000000</f>
        <v>10713.158621250002</v>
      </c>
      <c r="L16" s="221">
        <f>Assumptions!$H$62*'Price_Technical Assumption'!M30*'Price_Technical Assumption'!M44/1000000</f>
        <v>10952.69542125</v>
      </c>
      <c r="M16" s="221">
        <f>Assumptions!$H$62*'Price_Technical Assumption'!N30*'Price_Technical Assumption'!N44/1000000</f>
        <v>11207.20327125</v>
      </c>
      <c r="N16" s="221">
        <f>Assumptions!$H$62*'Price_Technical Assumption'!O30*'Price_Technical Assumption'!O44/1000000</f>
        <v>11476.68217125</v>
      </c>
      <c r="O16" s="221">
        <f>Assumptions!$H$62*'Price_Technical Assumption'!P30*'Price_Technical Assumption'!P44/1000000</f>
        <v>11761.132121249999</v>
      </c>
      <c r="P16" s="221">
        <f>Assumptions!$H$62*'Price_Technical Assumption'!Q30*'Price_Technical Assumption'!Q44/1000000</f>
        <v>12060.553121249999</v>
      </c>
      <c r="Q16" s="221">
        <f>Assumptions!$H$62*'Price_Technical Assumption'!R30*'Price_Technical Assumption'!R44/1000000</f>
        <v>12374.945171249999</v>
      </c>
      <c r="R16" s="221">
        <f>Assumptions!$H$62*'Price_Technical Assumption'!S30*'Price_Technical Assumption'!S44/1000000</f>
        <v>12704.30827125</v>
      </c>
      <c r="S16" s="221">
        <f>Assumptions!$H$62*'Price_Technical Assumption'!T30*'Price_Technical Assumption'!T44/1000000</f>
        <v>13048.642421250001</v>
      </c>
      <c r="T16" s="221">
        <f>Assumptions!$H$62*'Price_Technical Assumption'!U30*'Price_Technical Assumption'!U44/1000000</f>
        <v>13407.947621249999</v>
      </c>
      <c r="U16" s="221">
        <f>Assumptions!$H$62*'Price_Technical Assumption'!V30*'Price_Technical Assumption'!V44/1000000</f>
        <v>13782.22387125</v>
      </c>
      <c r="V16" s="221">
        <f>Assumptions!$H$62*'Price_Technical Assumption'!W30*'Price_Technical Assumption'!W44/1000000</f>
        <v>14126.779468031251</v>
      </c>
      <c r="W16" s="221">
        <f>Assumptions!$H$62*'Price_Technical Assumption'!X30*'Price_Technical Assumption'!X44/1000000</f>
        <v>14479.94895473203</v>
      </c>
      <c r="X16" s="221">
        <f>Assumptions!$H$62*'Price_Technical Assumption'!Y30*'Price_Technical Assumption'!Y44/1000000</f>
        <v>6587.2619999999997</v>
      </c>
      <c r="Y16" s="221">
        <f>Assumptions!$H$62*'Price_Technical Assumption'!Z30*'Price_Technical Assumption'!Z44/1000000</f>
        <v>6587.2619999999997</v>
      </c>
      <c r="Z16" s="221">
        <f>Assumptions!$H$62*'Price_Technical Assumption'!AA30*'Price_Technical Assumption'!AA44/1000000</f>
        <v>6587.2619999999997</v>
      </c>
      <c r="AA16" s="221">
        <f>Assumptions!$H$62*'Price_Technical Assumption'!AB30*'Price_Technical Assumption'!AB44/1000000</f>
        <v>6587.2619999999997</v>
      </c>
      <c r="AB16" s="221">
        <f>Assumptions!$H$62*'Price_Technical Assumption'!AC30*'Price_Technical Assumption'!AC44/1000000</f>
        <v>6587.2619999999997</v>
      </c>
      <c r="AC16" s="221">
        <f>Assumptions!$H$62*'Price_Technical Assumption'!AD30*'Price_Technical Assumption'!AD44/1000000</f>
        <v>6587.2619999999997</v>
      </c>
      <c r="AD16" s="221">
        <f>Assumptions!$H$62*'Price_Technical Assumption'!AE30*'Price_Technical Assumption'!AE44/1000000</f>
        <v>6587.2619999999997</v>
      </c>
      <c r="AE16" s="221">
        <f>Assumptions!$H$62*'Price_Technical Assumption'!AF30*'Price_Technical Assumption'!AF44/1000000</f>
        <v>6587.2619999999997</v>
      </c>
      <c r="AF16" s="221">
        <f>Assumptions!$H$62*'Price_Technical Assumption'!AG30*'Price_Technical Assumption'!AG44/1000000</f>
        <v>6587.2619999999997</v>
      </c>
      <c r="AG16" s="221">
        <f>Assumptions!$H$62*'Price_Technical Assumption'!AH30*'Price_Technical Assumption'!AH44/1000000</f>
        <v>6587.2619999999997</v>
      </c>
    </row>
    <row r="17" spans="1:47">
      <c r="A17" s="3" t="s">
        <v>207</v>
      </c>
      <c r="C17" s="74">
        <f>Assumptions!$N19*C6</f>
        <v>380.33333333333337</v>
      </c>
      <c r="D17" s="74">
        <f>Assumptions!$N19*(1+Assumptions!$N$11)</f>
        <v>671.56000000000006</v>
      </c>
      <c r="E17" s="74">
        <f>D17*(1+Assumptions!$N$11)</f>
        <v>691.70680000000004</v>
      </c>
      <c r="F17" s="74">
        <f>E17*(1+Assumptions!$N$11)</f>
        <v>712.45800400000007</v>
      </c>
      <c r="G17" s="74">
        <f>F17*(1+Assumptions!$N$11)</f>
        <v>733.83174412000005</v>
      </c>
      <c r="H17" s="74">
        <f>G17*(1+Assumptions!$N$11)</f>
        <v>755.84669644360008</v>
      </c>
      <c r="I17" s="74">
        <f>H17*(1+Assumptions!$N$11)</f>
        <v>778.52209733690813</v>
      </c>
      <c r="J17" s="74">
        <f>I17*(1+Assumptions!$N$11)</f>
        <v>801.87776025701544</v>
      </c>
      <c r="K17" s="74">
        <f>J17*(1+Assumptions!$N$11)</f>
        <v>825.93409306472597</v>
      </c>
      <c r="L17" s="74">
        <f>K17*(1+Assumptions!$N$11)</f>
        <v>850.71211585666777</v>
      </c>
      <c r="M17" s="74">
        <f>L17*(1+Assumptions!$N$11)</f>
        <v>876.23347933236778</v>
      </c>
      <c r="N17" s="74">
        <f>M17*(1+Assumptions!$N$11)</f>
        <v>902.52048371233889</v>
      </c>
      <c r="O17" s="74">
        <f>N17*(1+Assumptions!$N$11)</f>
        <v>929.59609822370908</v>
      </c>
      <c r="P17" s="74">
        <f>O17*(1+Assumptions!$N$11)</f>
        <v>957.48398117042041</v>
      </c>
      <c r="Q17" s="74">
        <f>P17*(1+Assumptions!$N$11)</f>
        <v>986.208500605533</v>
      </c>
      <c r="R17" s="74">
        <f>Q17*(1+Assumptions!$N$11)</f>
        <v>1015.7947556236991</v>
      </c>
      <c r="S17" s="74">
        <f>R17*(1+Assumptions!$N$11)</f>
        <v>1046.2685982924102</v>
      </c>
      <c r="T17" s="74">
        <f>S17*(1+Assumptions!$N$11)</f>
        <v>1077.6566562411824</v>
      </c>
      <c r="U17" s="74">
        <f>T17*(1+Assumptions!$N$11)</f>
        <v>1109.9863559284179</v>
      </c>
      <c r="V17" s="74">
        <f>U17*(1+Assumptions!$N$11)</f>
        <v>1143.2859466062705</v>
      </c>
      <c r="W17" s="74">
        <f>V17*(1+Assumptions!$N$11)</f>
        <v>1177.5845250044586</v>
      </c>
      <c r="X17" s="74">
        <f>W17*(1+Assumptions!$N$11)</f>
        <v>1212.9120607545924</v>
      </c>
      <c r="Y17" s="74">
        <f>X17*(1+Assumptions!$N$11)</f>
        <v>1249.2994225772302</v>
      </c>
      <c r="Z17" s="74">
        <f>Y17*(1+Assumptions!$N$11)</f>
        <v>1286.7784052545471</v>
      </c>
      <c r="AA17" s="74">
        <f>Z17*(1+Assumptions!$N$11)</f>
        <v>1325.3817574121836</v>
      </c>
      <c r="AB17" s="74">
        <f>AA17*(1+Assumptions!$N$11)</f>
        <v>1365.143210134549</v>
      </c>
      <c r="AC17" s="74">
        <f>AB17*(1+Assumptions!$N$11)</f>
        <v>1406.0975064385855</v>
      </c>
      <c r="AD17" s="74">
        <f>AC17*(1+Assumptions!$N$11)</f>
        <v>1448.2804316317431</v>
      </c>
      <c r="AE17" s="74">
        <f>AD17*(1+Assumptions!$N$11)</f>
        <v>1491.7288445806955</v>
      </c>
      <c r="AF17" s="74">
        <f>AE17*(1+Assumptions!$N$11)</f>
        <v>1536.4807099181164</v>
      </c>
      <c r="AG17" s="74">
        <f>AF17*(1+Assumptions!$N$11)</f>
        <v>1582.5751312156599</v>
      </c>
    </row>
    <row r="18" spans="1:47">
      <c r="A18" s="3" t="s">
        <v>253</v>
      </c>
      <c r="C18" s="221">
        <f>+(Assumptions!$P$15*Assumptions!$H$62)/1000*(1+Assumptions!$N$11)^IS!C6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254</v>
      </c>
      <c r="C19" s="74">
        <f>Assumptions!$P$16*Assumptions!$H$62/1000*(1+Assumptions!$N$11)^IS!C6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65.333333333333329</v>
      </c>
      <c r="D20" s="74">
        <f>Assumptions!$N20*(1+Assumptions!$N$11)</f>
        <v>115.36</v>
      </c>
      <c r="E20" s="74">
        <f>D20*(1+Assumptions!$N$11)</f>
        <v>118.82080000000001</v>
      </c>
      <c r="F20" s="74">
        <f>E20*(1+Assumptions!$N$11)</f>
        <v>122.38542400000001</v>
      </c>
      <c r="G20" s="74">
        <f>F20*(1+Assumptions!$N$11)</f>
        <v>126.05698672000001</v>
      </c>
      <c r="H20" s="74">
        <f>G20*(1+Assumptions!$N$11)</f>
        <v>129.83869632160003</v>
      </c>
      <c r="I20" s="74">
        <f>H20*(1+Assumptions!$N$11)</f>
        <v>133.73385721124802</v>
      </c>
      <c r="J20" s="74">
        <f>I20*(1+Assumptions!$N$11)</f>
        <v>137.74587292758545</v>
      </c>
      <c r="K20" s="74">
        <f>J20*(1+Assumptions!$N$11)</f>
        <v>141.87824911541301</v>
      </c>
      <c r="L20" s="74">
        <f>K20*(1+Assumptions!$N$11)</f>
        <v>146.13459658887541</v>
      </c>
      <c r="M20" s="74">
        <f>L20*(1+Assumptions!$N$11)</f>
        <v>150.51863448654169</v>
      </c>
      <c r="N20" s="74">
        <f>M20*(1+Assumptions!$N$11)</f>
        <v>155.03419352113795</v>
      </c>
      <c r="O20" s="74">
        <f>N20*(1+Assumptions!$N$11)</f>
        <v>159.68521932677208</v>
      </c>
      <c r="P20" s="74">
        <f>O20*(1+Assumptions!$N$11)</f>
        <v>164.47577590657525</v>
      </c>
      <c r="Q20" s="74">
        <f>P20*(1+Assumptions!$N$11)</f>
        <v>169.41004918377251</v>
      </c>
      <c r="R20" s="74">
        <f>Q20*(1+Assumptions!$N$11)</f>
        <v>174.49235065928571</v>
      </c>
      <c r="S20" s="74">
        <f>R20*(1+Assumptions!$N$11)</f>
        <v>179.72712117906428</v>
      </c>
      <c r="T20" s="74">
        <f>S20*(1+Assumptions!$N$11)</f>
        <v>185.11893481443622</v>
      </c>
      <c r="U20" s="74">
        <f>T20*(1+Assumptions!$N$11)</f>
        <v>190.67250285886931</v>
      </c>
      <c r="V20" s="74">
        <f>U20*(1+Assumptions!$N$11)</f>
        <v>196.39267794463538</v>
      </c>
      <c r="W20" s="74">
        <f>V20*(1+Assumptions!$N$11)</f>
        <v>202.28445828297444</v>
      </c>
      <c r="X20" s="74">
        <f>W20*(1+Assumptions!$N$11)</f>
        <v>208.35299203146369</v>
      </c>
      <c r="Y20" s="74">
        <f>X20*(1+Assumptions!$N$11)</f>
        <v>214.6035817924076</v>
      </c>
      <c r="Z20" s="74">
        <f>Y20*(1+Assumptions!$N$11)</f>
        <v>221.04168924617983</v>
      </c>
      <c r="AA20" s="74">
        <f>Z20*(1+Assumptions!$N$11)</f>
        <v>227.67293992356522</v>
      </c>
      <c r="AB20" s="74">
        <f>AA20*(1+Assumptions!$N$11)</f>
        <v>234.5031281212722</v>
      </c>
      <c r="AC20" s="74">
        <f>AB20*(1+Assumptions!$N$11)</f>
        <v>241.53822196491038</v>
      </c>
      <c r="AD20" s="74">
        <f>AC20*(1+Assumptions!$N$11)</f>
        <v>248.78436862385769</v>
      </c>
      <c r="AE20" s="74">
        <f>AD20*(1+Assumptions!$N$11)</f>
        <v>256.2478996825734</v>
      </c>
      <c r="AF20" s="74">
        <f>AE20*(1+Assumptions!$N$11)</f>
        <v>263.93533667305059</v>
      </c>
      <c r="AG20" s="74">
        <f>AF20*(1+Assumptions!$N$11)</f>
        <v>271.85339677324208</v>
      </c>
    </row>
    <row r="21" spans="1:47">
      <c r="A21" s="3" t="s">
        <v>36</v>
      </c>
      <c r="C21" s="74">
        <f>Assumptions!$N21*Assumptions!H18/12</f>
        <v>105</v>
      </c>
      <c r="D21" s="74">
        <f>(Assumptions!$N21)*(1+Assumptions!$N$11)</f>
        <v>185.4</v>
      </c>
      <c r="E21" s="74">
        <f>D21*(1+Assumptions!$N$11)</f>
        <v>190.96200000000002</v>
      </c>
      <c r="F21" s="74">
        <f>E21*(1+Assumptions!$N$11)</f>
        <v>196.69086000000001</v>
      </c>
      <c r="G21" s="74">
        <f>F21*(1+Assumptions!$N$11)</f>
        <v>202.59158580000002</v>
      </c>
      <c r="H21" s="74">
        <f>G21*(1+Assumptions!$N$11)</f>
        <v>208.66933337400002</v>
      </c>
      <c r="I21" s="74">
        <f>H21*(1+Assumptions!$N$11)</f>
        <v>214.92941337522004</v>
      </c>
      <c r="J21" s="74">
        <f>I21*(1+Assumptions!$N$11)</f>
        <v>221.37729577647664</v>
      </c>
      <c r="K21" s="74">
        <f>J21*(1+Assumptions!$N$11)</f>
        <v>228.01861464977094</v>
      </c>
      <c r="L21" s="74">
        <f>K21*(1+Assumptions!$N$11)</f>
        <v>234.85917308926406</v>
      </c>
      <c r="M21" s="74">
        <f>L21*(1+Assumptions!$N$11)</f>
        <v>241.90494828194198</v>
      </c>
      <c r="N21" s="74">
        <f>M21*(1+Assumptions!$N$11)</f>
        <v>249.16209673040024</v>
      </c>
      <c r="O21" s="74">
        <f>N21*(1+Assumptions!$N$11)</f>
        <v>256.63695963231226</v>
      </c>
      <c r="P21" s="74">
        <f>O21*(1+Assumptions!$N$11)</f>
        <v>264.33606842128165</v>
      </c>
      <c r="Q21" s="74">
        <f>P21*(1+Assumptions!$N$11)</f>
        <v>272.26615047392011</v>
      </c>
      <c r="R21" s="74">
        <f>Q21*(1+Assumptions!$N$11)</f>
        <v>280.43413498813771</v>
      </c>
      <c r="S21" s="74">
        <f>R21*(1+Assumptions!$N$11)</f>
        <v>288.84715903778186</v>
      </c>
      <c r="T21" s="74">
        <f>S21*(1+Assumptions!$N$11)</f>
        <v>297.51257380891531</v>
      </c>
      <c r="U21" s="74">
        <f>T21*(1+Assumptions!$N$11)</f>
        <v>306.43795102318279</v>
      </c>
      <c r="V21" s="74">
        <f>U21*(1+Assumptions!$N$11)</f>
        <v>315.63108955387827</v>
      </c>
      <c r="W21" s="74">
        <f>V21*(1+Assumptions!$N$11)</f>
        <v>325.10002224049464</v>
      </c>
      <c r="X21" s="74">
        <f>W21*(1+Assumptions!$N$11)</f>
        <v>334.85302290770949</v>
      </c>
      <c r="Y21" s="74">
        <f>X21*(1+Assumptions!$N$11)</f>
        <v>344.8986135949408</v>
      </c>
      <c r="Z21" s="74">
        <f>Y21*(1+Assumptions!$N$11)</f>
        <v>355.245572002789</v>
      </c>
      <c r="AA21" s="74">
        <f>Z21*(1+Assumptions!$N$11)</f>
        <v>365.90293916287266</v>
      </c>
      <c r="AB21" s="74">
        <f>AA21*(1+Assumptions!$N$11)</f>
        <v>376.88002733775886</v>
      </c>
      <c r="AC21" s="74">
        <f>AB21*(1+Assumptions!$N$11)</f>
        <v>388.18642815789161</v>
      </c>
      <c r="AD21" s="74">
        <f>AC21*(1+Assumptions!$N$11)</f>
        <v>399.83202100262838</v>
      </c>
      <c r="AE21" s="74">
        <f>AD21*(1+Assumptions!$N$11)</f>
        <v>411.82698163270726</v>
      </c>
      <c r="AF21" s="74">
        <f>AE21*(1+Assumptions!$N$11)</f>
        <v>424.18179108168852</v>
      </c>
      <c r="AG21" s="74">
        <f>AF21*(1+Assumptions!$N$11)</f>
        <v>436.90724481413918</v>
      </c>
    </row>
    <row r="22" spans="1:47">
      <c r="A22" s="3" t="s">
        <v>358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219</v>
      </c>
      <c r="C23" s="195">
        <v>0</v>
      </c>
      <c r="D23" s="195">
        <v>0</v>
      </c>
      <c r="E23" s="195">
        <v>0</v>
      </c>
      <c r="F23" s="195">
        <v>0</v>
      </c>
      <c r="G23" s="195">
        <v>0</v>
      </c>
      <c r="H23" s="195">
        <v>0</v>
      </c>
      <c r="I23" s="195">
        <v>0</v>
      </c>
      <c r="J23" s="195">
        <v>0</v>
      </c>
      <c r="K23" s="195">
        <v>0</v>
      </c>
      <c r="L23" s="195">
        <v>0</v>
      </c>
      <c r="M23" s="195">
        <v>0</v>
      </c>
      <c r="N23" s="195">
        <v>0</v>
      </c>
      <c r="O23" s="195">
        <v>0</v>
      </c>
      <c r="P23" s="195">
        <v>0</v>
      </c>
      <c r="Q23" s="195">
        <v>0</v>
      </c>
      <c r="R23" s="195">
        <v>0</v>
      </c>
      <c r="S23" s="195">
        <v>0</v>
      </c>
      <c r="T23" s="195">
        <v>0</v>
      </c>
      <c r="U23" s="195">
        <v>0</v>
      </c>
      <c r="V23" s="195">
        <v>0</v>
      </c>
      <c r="W23" s="195">
        <v>0</v>
      </c>
      <c r="X23" s="195">
        <v>0</v>
      </c>
      <c r="Y23" s="195">
        <v>0</v>
      </c>
      <c r="Z23" s="195">
        <v>0</v>
      </c>
      <c r="AA23" s="195">
        <v>0</v>
      </c>
      <c r="AB23" s="195">
        <v>0</v>
      </c>
      <c r="AC23" s="195">
        <v>0</v>
      </c>
      <c r="AD23" s="195">
        <v>0</v>
      </c>
      <c r="AE23" s="195">
        <v>0</v>
      </c>
      <c r="AF23" s="195">
        <v>0</v>
      </c>
      <c r="AG23" s="195">
        <v>0</v>
      </c>
    </row>
    <row r="24" spans="1:47">
      <c r="A24" s="5" t="s">
        <v>209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213</v>
      </c>
      <c r="C25" s="195">
        <v>0</v>
      </c>
      <c r="D25" s="195">
        <v>0</v>
      </c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0</v>
      </c>
      <c r="P25" s="195">
        <v>0</v>
      </c>
      <c r="Q25" s="195">
        <v>0</v>
      </c>
      <c r="R25" s="195">
        <v>0</v>
      </c>
      <c r="S25" s="195">
        <v>0</v>
      </c>
      <c r="T25" s="195">
        <v>0</v>
      </c>
      <c r="U25" s="195">
        <v>0</v>
      </c>
      <c r="V25" s="195">
        <v>0</v>
      </c>
      <c r="W25" s="195">
        <v>0</v>
      </c>
      <c r="X25" s="195">
        <v>0</v>
      </c>
      <c r="Y25" s="195">
        <v>0</v>
      </c>
      <c r="Z25" s="195">
        <v>0</v>
      </c>
      <c r="AA25" s="195">
        <v>0</v>
      </c>
      <c r="AB25" s="195">
        <v>0</v>
      </c>
      <c r="AC25" s="195">
        <v>0</v>
      </c>
      <c r="AD25" s="195">
        <v>0</v>
      </c>
      <c r="AE25" s="195">
        <v>0</v>
      </c>
      <c r="AF25" s="195">
        <v>0</v>
      </c>
      <c r="AG25" s="195">
        <v>0</v>
      </c>
    </row>
    <row r="26" spans="1:47">
      <c r="A26" s="13" t="s">
        <v>20</v>
      </c>
      <c r="C26" s="74">
        <f>IF(C8&lt;Assumptions!$G$34,Assumptions!$G$42*Assumptions!$G$41*C6,0)</f>
        <v>47.001048714343462</v>
      </c>
      <c r="D26" s="74">
        <f>IF(D8&lt;Assumptions!$G$34,Assumptions!$G$42*Assumptions!$G$41,IF(AND(D8&gt;Assumptions!$G$34,C8&lt;Assumptions!$G$34),Assumptions!$G$42*Assumptions!$G$41*(1-$C$6),0))</f>
        <v>80.573226367445926</v>
      </c>
      <c r="E26" s="74">
        <f>IF(E8&lt;Assumptions!$G$34,Assumptions!$G$42*Assumptions!$G$41,IF(AND(E8&gt;Assumptions!$G$34,D8&lt;Assumptions!$G$34),Assumptions!$G$42*Assumptions!$G$41*(1-$C$6),0))</f>
        <v>80.573226367445926</v>
      </c>
      <c r="F26" s="74">
        <f>IF(F8&lt;Assumptions!$G$34,Assumptions!$G$42*Assumptions!$G$41,IF(AND(F8&gt;Assumptions!$G$34,E8&lt;Assumptions!$G$34),Assumptions!$G$42*Assumptions!$G$41*(1-$C$6),0))</f>
        <v>80.573226367445926</v>
      </c>
      <c r="G26" s="74">
        <f>IF(G8&lt;Assumptions!$G$34,Assumptions!$G$42*Assumptions!$G$41,IF(AND(G8&gt;Assumptions!$G$34,F8&lt;Assumptions!$G$34),Assumptions!$G$42*Assumptions!$G$41*(1-$C$6),0))</f>
        <v>80.573226367445926</v>
      </c>
      <c r="H26" s="74">
        <f>IF(H8&lt;Assumptions!$G$34,Assumptions!$G$42*Assumptions!$G$41,IF(AND(H8&gt;Assumptions!$G$34,G8&lt;Assumptions!$G$34),Assumptions!$G$42*Assumptions!$G$41*(1-$C$6),0))</f>
        <v>80.573226367445926</v>
      </c>
      <c r="I26" s="74">
        <f>IF(I8&lt;Assumptions!$G$34,Assumptions!$G$42*Assumptions!$G$41,IF(AND(I8&gt;Assumptions!$G$34,H8&lt;Assumptions!$G$34),Assumptions!$G$42*Assumptions!$G$41*(1-$C$6),0))</f>
        <v>80.573226367445926</v>
      </c>
      <c r="J26" s="74">
        <f>IF(J8&lt;Assumptions!$G$34,Assumptions!$G$42*Assumptions!$G$41,IF(AND(J8&gt;Assumptions!$G$34,I8&lt;Assumptions!$G$34),Assumptions!$G$42*Assumptions!$G$41*(1-$C$6),0))</f>
        <v>80.573226367445926</v>
      </c>
      <c r="K26" s="74">
        <f>IF(K8&lt;Assumptions!$G$34,Assumptions!$G$42*Assumptions!$G$41,IF(AND(K8&gt;Assumptions!$G$34,J8&lt;Assumptions!$G$34),Assumptions!$G$42*Assumptions!$G$41*(1-$C$6),0))</f>
        <v>80.573226367445926</v>
      </c>
      <c r="L26" s="74">
        <f>IF(L8&lt;Assumptions!$G$34,Assumptions!$G$42*Assumptions!$G$41,IF(AND(L8&gt;Assumptions!$G$34,K8&lt;Assumptions!$G$34),Assumptions!$G$42*Assumptions!$G$41*(1-$C$6),0))</f>
        <v>80.573226367445926</v>
      </c>
      <c r="M26" s="74">
        <f>IF(M8&lt;Assumptions!$G$34,Assumptions!$G$42*Assumptions!$G$41,IF(AND(M8&gt;Assumptions!$G$34,L8&lt;Assumptions!$G$34),Assumptions!$G$42*Assumptions!$G$41*(1-$C$6),0))</f>
        <v>80.573226367445926</v>
      </c>
      <c r="N26" s="74">
        <f>IF(N8&lt;Assumptions!$G$34,Assumptions!$G$42*Assumptions!$G$41,IF(AND(N8&gt;Assumptions!$G$34,M8&lt;Assumptions!$G$34),Assumptions!$G$42*Assumptions!$G$41*(1-$C$6),0))</f>
        <v>80.573226367445926</v>
      </c>
      <c r="O26" s="74">
        <f>IF(O8&lt;Assumptions!$G$34,Assumptions!$G$42*Assumptions!$G$41,IF(AND(O8&gt;Assumptions!$G$34,N8&lt;Assumptions!$G$34),Assumptions!$G$42*Assumptions!$G$41*(1-$C$6),0))</f>
        <v>80.573226367445926</v>
      </c>
      <c r="P26" s="74">
        <f>IF(P8&lt;Assumptions!$G$34,Assumptions!$G$42*Assumptions!$G$41,IF(AND(P8&gt;Assumptions!$G$34,O8&lt;Assumptions!$G$34),Assumptions!$G$42*Assumptions!$G$41*(1-$C$6),0))</f>
        <v>80.573226367445926</v>
      </c>
      <c r="Q26" s="74">
        <f>IF(Q8&lt;Assumptions!$G$34,Assumptions!$G$42*Assumptions!$G$41,IF(AND(Q8&gt;Assumptions!$G$34,P8&lt;Assumptions!$G$34),Assumptions!$G$42*Assumptions!$G$41*(1-$C$6),0))</f>
        <v>80.573226367445926</v>
      </c>
      <c r="R26" s="74">
        <f>IF(R8&lt;Assumptions!$G$34,Assumptions!$G$42*Assumptions!$G$41,IF(AND(R8&gt;Assumptions!$G$34,Q8&lt;Assumptions!$G$34),Assumptions!$G$42*Assumptions!$G$41*(1-$C$6),0))</f>
        <v>80.573226367445926</v>
      </c>
      <c r="S26" s="74">
        <f>IF(S8&lt;Assumptions!$G$34,Assumptions!$G$42*Assumptions!$G$41,IF(AND(S8&gt;Assumptions!$G$34,R8&lt;Assumptions!$G$34),Assumptions!$G$42*Assumptions!$G$41*(1-$C$6),0))</f>
        <v>33.572177653102464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45</v>
      </c>
      <c r="C27" s="74">
        <f>Assumptions!$O$23*Assumptions!$H$68*Assumptions!H18/12</f>
        <v>0</v>
      </c>
      <c r="D27" s="74">
        <f>Assumptions!$O$23*Assumptions!$H$68*(1+Assumptions!$N$11)</f>
        <v>0</v>
      </c>
      <c r="E27" s="74">
        <f>Assumptions!$O$23*Assumptions!$H$68*(1+Assumptions!$N$11)</f>
        <v>0</v>
      </c>
      <c r="F27" s="74">
        <f>Assumptions!$O$23*Assumptions!$H$68*(1+Assumptions!$N$11)</f>
        <v>0</v>
      </c>
      <c r="G27" s="74">
        <f>Assumptions!$O$23*Assumptions!$H$68*(1+Assumptions!$N$11)</f>
        <v>0</v>
      </c>
      <c r="H27" s="74">
        <f>Assumptions!$O$23*Assumptions!$H$68*(1+Assumptions!$N$11)</f>
        <v>0</v>
      </c>
      <c r="I27" s="74">
        <f>Assumptions!$O$23*Assumptions!$H$68*(1+Assumptions!$N$11)</f>
        <v>0</v>
      </c>
      <c r="J27" s="74">
        <f>Assumptions!$O$23*Assumptions!$H$68*(1+Assumptions!$N$11)</f>
        <v>0</v>
      </c>
      <c r="K27" s="74">
        <f>Assumptions!$O$23*Assumptions!$H$68*(1+Assumptions!$N$11)</f>
        <v>0</v>
      </c>
      <c r="L27" s="74">
        <f>Assumptions!$O$23*Assumptions!$H$68*(1+Assumptions!$N$11)</f>
        <v>0</v>
      </c>
      <c r="M27" s="74">
        <f>Assumptions!$O$23*Assumptions!$H$68*(1+Assumptions!$N$11)</f>
        <v>0</v>
      </c>
      <c r="N27" s="74">
        <f>Assumptions!$O$23*Assumptions!$H$68*(1+Assumptions!$N$11)</f>
        <v>0</v>
      </c>
      <c r="O27" s="74">
        <f>Assumptions!$O$23*Assumptions!$H$68*(1+Assumptions!$N$11)</f>
        <v>0</v>
      </c>
      <c r="P27" s="74">
        <f>Assumptions!$O$23*Assumptions!$H$68*(1+Assumptions!$N$11)</f>
        <v>0</v>
      </c>
      <c r="Q27" s="74">
        <f>Assumptions!$O$23*Assumptions!$H$68*(1+Assumptions!$N$11)</f>
        <v>0</v>
      </c>
      <c r="R27" s="74">
        <f>Assumptions!$O$23*Assumptions!$H$68*(1+Assumptions!$N$11)</f>
        <v>0</v>
      </c>
      <c r="S27" s="74">
        <f>Assumptions!$O$23*Assumptions!$H$68*(1+Assumptions!$N$11)</f>
        <v>0</v>
      </c>
      <c r="T27" s="74">
        <f>Assumptions!$O$23*Assumptions!$H$68*(1+Assumptions!$N$11)</f>
        <v>0</v>
      </c>
      <c r="U27" s="74">
        <f>Assumptions!$O$23*Assumptions!$H$68*(1+Assumptions!$N$11)</f>
        <v>0</v>
      </c>
      <c r="V27" s="74">
        <f>Assumptions!$O$23*Assumptions!$H$68*(1+Assumptions!$N$11)</f>
        <v>0</v>
      </c>
      <c r="W27" s="74">
        <f>Assumptions!$O$23*Assumptions!$H$68*(1+Assumptions!$N$11)</f>
        <v>0</v>
      </c>
      <c r="X27" s="74">
        <f>Assumptions!$O$23*Assumptions!$H$68*(1+Assumptions!$N$11)</f>
        <v>0</v>
      </c>
      <c r="Y27" s="74">
        <f>Assumptions!$O$23*Assumptions!$H$68*(1+Assumptions!$N$11)</f>
        <v>0</v>
      </c>
      <c r="Z27" s="74">
        <f>Assumptions!$O$23*Assumptions!$H$68*(1+Assumptions!$N$11)</f>
        <v>0</v>
      </c>
      <c r="AA27" s="74">
        <f>Assumptions!$O$23*Assumptions!$H$68*(1+Assumptions!$N$11)</f>
        <v>0</v>
      </c>
      <c r="AB27" s="74">
        <f>Assumptions!$O$23*Assumptions!$H$68*(1+Assumptions!$N$11)</f>
        <v>0</v>
      </c>
      <c r="AC27" s="74">
        <f>Assumptions!$O$23*Assumptions!$H$68*(1+Assumptions!$N$11)</f>
        <v>0</v>
      </c>
      <c r="AD27" s="74">
        <f>Assumptions!$O$23*Assumptions!$H$68*(1+Assumptions!$N$11)</f>
        <v>0</v>
      </c>
      <c r="AE27" s="74">
        <f>Assumptions!$O$23*Assumptions!$H$68*(1+Assumptions!$N$11)</f>
        <v>0</v>
      </c>
      <c r="AF27" s="74">
        <f>Assumptions!$O$23*Assumptions!$H$68*(1+Assumptions!$N$11)</f>
        <v>0</v>
      </c>
      <c r="AG27" s="74">
        <f>Assumptions!$O$23*Assumptions!$H$68*(1+Assumptions!$N$11)</f>
        <v>0</v>
      </c>
    </row>
    <row r="28" spans="1:47">
      <c r="A28" s="3" t="s">
        <v>46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47</v>
      </c>
      <c r="C29" s="75">
        <f>Assumptions!$N25*Assumptions!H18/12</f>
        <v>116.66666666666667</v>
      </c>
      <c r="D29" s="75">
        <f>Assumptions!$N25*(1+Assumptions!$N$11)</f>
        <v>206</v>
      </c>
      <c r="E29" s="75">
        <f>D29*(1+Assumptions!$N$11)</f>
        <v>212.18</v>
      </c>
      <c r="F29" s="75">
        <f>E29*(1+Assumptions!$N$11)</f>
        <v>218.5454</v>
      </c>
      <c r="G29" s="75">
        <f>F29*(1+Assumptions!$N$11)</f>
        <v>225.10176200000001</v>
      </c>
      <c r="H29" s="75">
        <f>G29*(1+Assumptions!$N$11)</f>
        <v>231.85481486</v>
      </c>
      <c r="I29" s="75">
        <f>H29*(1+Assumptions!$N$11)</f>
        <v>238.81045930580001</v>
      </c>
      <c r="J29" s="75">
        <f>I29*(1+Assumptions!$N$11)</f>
        <v>245.974773084974</v>
      </c>
      <c r="K29" s="75">
        <f>J29*(1+Assumptions!$N$11)</f>
        <v>253.35401627752324</v>
      </c>
      <c r="L29" s="75">
        <f>K29*(1+Assumptions!$N$11)</f>
        <v>260.95463676584893</v>
      </c>
      <c r="M29" s="75">
        <f>L29*(1+Assumptions!$N$11)</f>
        <v>268.78327586882443</v>
      </c>
      <c r="N29" s="75">
        <f>M29*(1+Assumptions!$N$11)</f>
        <v>276.8467741448892</v>
      </c>
      <c r="O29" s="75">
        <f>N29*(1+Assumptions!$N$11)</f>
        <v>285.15217736923586</v>
      </c>
      <c r="P29" s="75">
        <f>O29*(1+Assumptions!$N$11)</f>
        <v>293.70674269031292</v>
      </c>
      <c r="Q29" s="75">
        <f>P29*(1+Assumptions!$N$11)</f>
        <v>302.5179449710223</v>
      </c>
      <c r="R29" s="75">
        <f>Q29*(1+Assumptions!$N$11)</f>
        <v>311.59348332015298</v>
      </c>
      <c r="S29" s="75">
        <f>R29*(1+Assumptions!$N$11)</f>
        <v>320.94128781975758</v>
      </c>
      <c r="T29" s="75">
        <f>S29*(1+Assumptions!$N$11)</f>
        <v>330.5695264543503</v>
      </c>
      <c r="U29" s="75">
        <f>T29*(1+Assumptions!$N$11)</f>
        <v>340.48661224798082</v>
      </c>
      <c r="V29" s="75">
        <f>U29*(1+Assumptions!$N$11)</f>
        <v>350.70121061542022</v>
      </c>
      <c r="W29" s="75">
        <f>V29*(1+Assumptions!$N$11)</f>
        <v>361.22224693388284</v>
      </c>
      <c r="X29" s="75">
        <f>W29*(1+Assumptions!$N$11)</f>
        <v>372.05891434189931</v>
      </c>
      <c r="Y29" s="75">
        <f>X29*(1+Assumptions!$N$11)</f>
        <v>383.2206817721563</v>
      </c>
      <c r="Z29" s="75">
        <f>Y29*(1+Assumptions!$N$11)</f>
        <v>394.71730222532102</v>
      </c>
      <c r="AA29" s="75">
        <f>Z29*(1+Assumptions!$N$11)</f>
        <v>406.55882129208067</v>
      </c>
      <c r="AB29" s="75">
        <f>AA29*(1+Assumptions!$N$11)</f>
        <v>418.7555859308431</v>
      </c>
      <c r="AC29" s="75">
        <f>AB29*(1+Assumptions!$N$11)</f>
        <v>431.31825350876841</v>
      </c>
      <c r="AD29" s="75">
        <f>AC29*(1+Assumptions!$N$11)</f>
        <v>444.25780111403145</v>
      </c>
      <c r="AE29" s="75">
        <f>AD29*(1+Assumptions!$N$11)</f>
        <v>457.58553514745239</v>
      </c>
      <c r="AF29" s="75">
        <f>AE29*(1+Assumptions!$N$11)</f>
        <v>471.31310120187595</v>
      </c>
      <c r="AG29" s="75">
        <f>AF29*(1+Assumptions!$N$11)</f>
        <v>485.45249423793223</v>
      </c>
    </row>
    <row r="30" spans="1:47">
      <c r="A30" s="3" t="s">
        <v>48</v>
      </c>
      <c r="C30" s="65">
        <f t="shared" ref="C30:X30" si="1">SUM(C16:C29)</f>
        <v>10382.014678297677</v>
      </c>
      <c r="D30" s="65">
        <f t="shared" si="1"/>
        <v>10796.949181367447</v>
      </c>
      <c r="E30" s="65">
        <f t="shared" si="1"/>
        <v>10865.858885117445</v>
      </c>
      <c r="F30" s="65">
        <f t="shared" si="1"/>
        <v>11049.48429811745</v>
      </c>
      <c r="G30" s="65">
        <f t="shared" si="1"/>
        <v>11264.144113757444</v>
      </c>
      <c r="H30" s="65">
        <f t="shared" si="1"/>
        <v>11491.157288616647</v>
      </c>
      <c r="I30" s="65">
        <f t="shared" si="1"/>
        <v>11725.567224846622</v>
      </c>
      <c r="J30" s="65">
        <f t="shared" si="1"/>
        <v>11976.141799663497</v>
      </c>
      <c r="K30" s="65">
        <f t="shared" si="1"/>
        <v>12242.91682072488</v>
      </c>
      <c r="L30" s="65">
        <f t="shared" si="1"/>
        <v>12525.929169918103</v>
      </c>
      <c r="M30" s="65">
        <f t="shared" si="1"/>
        <v>12825.216835587122</v>
      </c>
      <c r="N30" s="65">
        <f t="shared" si="1"/>
        <v>13140.818945726212</v>
      </c>
      <c r="O30" s="65">
        <f t="shared" si="1"/>
        <v>13472.775802169474</v>
      </c>
      <c r="P30" s="65">
        <f t="shared" si="1"/>
        <v>13821.128915806035</v>
      </c>
      <c r="Q30" s="65">
        <f t="shared" si="1"/>
        <v>14185.921042851694</v>
      </c>
      <c r="R30" s="65">
        <f t="shared" si="1"/>
        <v>14567.196222208722</v>
      </c>
      <c r="S30" s="65">
        <f t="shared" si="1"/>
        <v>14917.998765232118</v>
      </c>
      <c r="T30" s="65">
        <f t="shared" si="1"/>
        <v>15298.805312568884</v>
      </c>
      <c r="U30" s="65">
        <f t="shared" si="1"/>
        <v>15729.807293308453</v>
      </c>
      <c r="V30" s="65">
        <f t="shared" si="1"/>
        <v>16132.790392751456</v>
      </c>
      <c r="W30" s="65">
        <f t="shared" si="1"/>
        <v>16546.140207193839</v>
      </c>
      <c r="X30" s="65">
        <f t="shared" si="1"/>
        <v>8715.4389900356655</v>
      </c>
      <c r="Y30" s="65">
        <f t="shared" ref="Y30:AG30" si="2">SUM(Y16:Y29)</f>
        <v>8779.2842997367334</v>
      </c>
      <c r="Z30" s="65">
        <f t="shared" si="2"/>
        <v>8845.0449687288365</v>
      </c>
      <c r="AA30" s="65">
        <f t="shared" si="2"/>
        <v>8912.7784577907023</v>
      </c>
      <c r="AB30" s="65">
        <f t="shared" si="2"/>
        <v>8982.5439515244234</v>
      </c>
      <c r="AC30" s="65">
        <f t="shared" si="2"/>
        <v>9054.4024100701554</v>
      </c>
      <c r="AD30" s="65">
        <f t="shared" si="2"/>
        <v>9128.4166223722623</v>
      </c>
      <c r="AE30" s="65">
        <f t="shared" si="2"/>
        <v>9204.6512610434274</v>
      </c>
      <c r="AF30" s="65">
        <f t="shared" si="2"/>
        <v>9283.1729388747317</v>
      </c>
      <c r="AG30" s="65">
        <f t="shared" si="2"/>
        <v>9364.0502670409733</v>
      </c>
    </row>
    <row r="31" spans="1:47">
      <c r="A31" s="4"/>
      <c r="C31" s="374"/>
      <c r="D31" s="374"/>
      <c r="E31" s="374"/>
      <c r="F31" s="374"/>
      <c r="G31" s="374"/>
      <c r="H31" s="374"/>
      <c r="I31" s="374"/>
      <c r="J31" s="374"/>
      <c r="K31" s="374"/>
      <c r="L31" s="374"/>
      <c r="M31" s="374"/>
      <c r="N31" s="374"/>
      <c r="O31" s="374"/>
      <c r="P31" s="374"/>
      <c r="Q31" s="374"/>
      <c r="R31" s="374"/>
      <c r="S31" s="374"/>
      <c r="T31" s="374"/>
      <c r="U31" s="374"/>
      <c r="V31" s="374"/>
      <c r="W31" s="374"/>
      <c r="X31" s="374"/>
      <c r="Y31" s="374"/>
      <c r="Z31" s="374"/>
      <c r="AA31" s="374"/>
      <c r="AB31" s="374"/>
      <c r="AC31" s="374"/>
      <c r="AD31" s="374"/>
      <c r="AE31" s="374"/>
      <c r="AF31" s="374"/>
      <c r="AG31" s="374"/>
    </row>
    <row r="32" spans="1:47">
      <c r="A32" s="1" t="s">
        <v>49</v>
      </c>
      <c r="C32" s="124">
        <f t="shared" ref="C32:X32" si="3">C13-C30</f>
        <v>5603.1656179523216</v>
      </c>
      <c r="D32" s="124">
        <f t="shared" si="3"/>
        <v>9571.1067736325567</v>
      </c>
      <c r="E32" s="124">
        <f t="shared" si="3"/>
        <v>9535.7571736325572</v>
      </c>
      <c r="F32" s="124">
        <f t="shared" si="3"/>
        <v>10791.224565240884</v>
      </c>
      <c r="G32" s="124">
        <f t="shared" si="3"/>
        <v>11627.307067895552</v>
      </c>
      <c r="H32" s="124">
        <f t="shared" si="3"/>
        <v>11751.673540382937</v>
      </c>
      <c r="I32" s="124">
        <f t="shared" si="3"/>
        <v>11872.96490895472</v>
      </c>
      <c r="J32" s="124">
        <f t="shared" si="3"/>
        <v>11990.884737550734</v>
      </c>
      <c r="K32" s="124">
        <f t="shared" si="3"/>
        <v>12353.028476468284</v>
      </c>
      <c r="L32" s="124">
        <f t="shared" si="3"/>
        <v>12470.692415477964</v>
      </c>
      <c r="M32" s="124">
        <f t="shared" si="3"/>
        <v>12847.230384733335</v>
      </c>
      <c r="N32" s="124">
        <f t="shared" si="3"/>
        <v>12964.16992456558</v>
      </c>
      <c r="O32" s="124">
        <f t="shared" si="3"/>
        <v>13355.512219093574</v>
      </c>
      <c r="P32" s="124">
        <f t="shared" si="3"/>
        <v>13471.202734734932</v>
      </c>
      <c r="Q32" s="124">
        <f t="shared" si="3"/>
        <v>13581.74220441386</v>
      </c>
      <c r="R32" s="124">
        <f t="shared" si="3"/>
        <v>13686.717443908523</v>
      </c>
      <c r="S32" s="124">
        <f t="shared" si="3"/>
        <v>13832.696162599514</v>
      </c>
      <c r="T32" s="124">
        <f t="shared" si="3"/>
        <v>13958.794108824613</v>
      </c>
      <c r="U32" s="124">
        <f t="shared" si="3"/>
        <v>14044.391782004705</v>
      </c>
      <c r="V32" s="124">
        <f t="shared" si="3"/>
        <v>14122.56240087765</v>
      </c>
      <c r="W32" s="124">
        <f t="shared" si="3"/>
        <v>4708.3814795136022</v>
      </c>
      <c r="X32" s="124">
        <f t="shared" si="3"/>
        <v>-2128.1769900356658</v>
      </c>
      <c r="Y32" s="124">
        <f t="shared" ref="Y32:AG32" si="4">Y13-Y30</f>
        <v>-2192.0222997367337</v>
      </c>
      <c r="Z32" s="124">
        <f t="shared" si="4"/>
        <v>-2257.7829687288367</v>
      </c>
      <c r="AA32" s="124">
        <f t="shared" si="4"/>
        <v>-2325.5164577907026</v>
      </c>
      <c r="AB32" s="124">
        <f t="shared" si="4"/>
        <v>-2395.2819515244237</v>
      </c>
      <c r="AC32" s="124">
        <f t="shared" si="4"/>
        <v>-2467.1404100701557</v>
      </c>
      <c r="AD32" s="124">
        <f t="shared" si="4"/>
        <v>-2541.1546223722626</v>
      </c>
      <c r="AE32" s="124">
        <f t="shared" si="4"/>
        <v>-2617.3892610434277</v>
      </c>
      <c r="AF32" s="124">
        <f t="shared" si="4"/>
        <v>-2695.910938874732</v>
      </c>
      <c r="AG32" s="124">
        <f t="shared" si="4"/>
        <v>-2776.7882670409736</v>
      </c>
    </row>
    <row r="33" spans="1:33">
      <c r="A33" s="1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4"/>
      <c r="O33" s="374"/>
      <c r="P33" s="374"/>
      <c r="Q33" s="374"/>
      <c r="R33" s="374"/>
      <c r="S33" s="374"/>
      <c r="T33" s="374"/>
      <c r="U33" s="374"/>
      <c r="V33" s="374"/>
      <c r="W33" s="374"/>
      <c r="X33" s="374"/>
      <c r="Y33" s="374"/>
      <c r="Z33" s="374"/>
      <c r="AA33" s="374"/>
      <c r="AB33" s="374"/>
      <c r="AC33" s="374"/>
      <c r="AD33" s="374"/>
      <c r="AE33" s="374"/>
      <c r="AF33" s="374"/>
      <c r="AG33" s="374"/>
    </row>
    <row r="34" spans="1:33">
      <c r="A34" s="3" t="s">
        <v>50</v>
      </c>
      <c r="C34" s="65">
        <f>Depreciation!D48</f>
        <v>2345.4316327675947</v>
      </c>
      <c r="D34" s="65">
        <f>Depreciation!E48</f>
        <v>4020.7399418873047</v>
      </c>
      <c r="E34" s="65">
        <f>Depreciation!F48</f>
        <v>4020.7399418873047</v>
      </c>
      <c r="F34" s="65">
        <f>Depreciation!G48</f>
        <v>4020.7399418873047</v>
      </c>
      <c r="G34" s="65">
        <f>Depreciation!H48</f>
        <v>4020.7399418873047</v>
      </c>
      <c r="H34" s="65">
        <f>Depreciation!I48</f>
        <v>3462.1399418873043</v>
      </c>
      <c r="I34" s="65">
        <f>Depreciation!J48</f>
        <v>3063.1399418873043</v>
      </c>
      <c r="J34" s="65">
        <f>Depreciation!K48</f>
        <v>3063.1399418873043</v>
      </c>
      <c r="K34" s="65">
        <f>Depreciation!L48</f>
        <v>3063.1399418873043</v>
      </c>
      <c r="L34" s="65">
        <f>Depreciation!M48</f>
        <v>3063.1399418873043</v>
      </c>
      <c r="M34" s="65">
        <f>Depreciation!N48</f>
        <v>3063.1399418873043</v>
      </c>
      <c r="N34" s="65">
        <f>Depreciation!O48</f>
        <v>3063.1399418873043</v>
      </c>
      <c r="O34" s="65">
        <f>Depreciation!P48</f>
        <v>3063.1399418873043</v>
      </c>
      <c r="P34" s="65">
        <f>Depreciation!Q48</f>
        <v>3063.1399418873043</v>
      </c>
      <c r="Q34" s="65">
        <f>Depreciation!R48</f>
        <v>3063.1399418873043</v>
      </c>
      <c r="R34" s="65">
        <f>Depreciation!S48</f>
        <v>3063.1399418873043</v>
      </c>
      <c r="S34" s="65">
        <f>Depreciation!T48</f>
        <v>3063.1399418873043</v>
      </c>
      <c r="T34" s="65">
        <f>Depreciation!U48</f>
        <v>3063.1399418873043</v>
      </c>
      <c r="U34" s="65">
        <f>Depreciation!V48</f>
        <v>3063.1399418873043</v>
      </c>
      <c r="V34" s="65">
        <f>Depreciation!W48</f>
        <v>3063.1399418873043</v>
      </c>
      <c r="W34" s="65">
        <f>Depreciation!X48</f>
        <v>3063.1399418873043</v>
      </c>
      <c r="X34" s="65">
        <f>Depreciation!Y48</f>
        <v>3063.1399418873043</v>
      </c>
      <c r="Y34" s="65">
        <f>Depreciation!Z48</f>
        <v>3063.1399418873043</v>
      </c>
      <c r="Z34" s="65">
        <f>Depreciation!AA48</f>
        <v>3063.1399418873043</v>
      </c>
      <c r="AA34" s="65">
        <f>Depreciation!AB48</f>
        <v>3063.1399418873043</v>
      </c>
      <c r="AB34" s="65">
        <f>Depreciation!AC48</f>
        <v>3063.1399418873043</v>
      </c>
      <c r="AC34" s="65">
        <f>Depreciation!AD48</f>
        <v>3063.1399418873043</v>
      </c>
      <c r="AD34" s="65">
        <f>Depreciation!AE48</f>
        <v>3063.1399418873043</v>
      </c>
      <c r="AE34" s="65">
        <f>Depreciation!AF48</f>
        <v>3063.1399418873043</v>
      </c>
      <c r="AF34" s="65">
        <f>Depreciation!AG48</f>
        <v>3063.1399418873043</v>
      </c>
      <c r="AG34" s="65">
        <f>Depreciation!AH48</f>
        <v>1276.30830911971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51</v>
      </c>
      <c r="C36" s="124">
        <f>C32-C34</f>
        <v>3257.7339851847269</v>
      </c>
      <c r="D36" s="124">
        <f t="shared" ref="D36:X36" si="5">D32-D34</f>
        <v>5550.3668317452521</v>
      </c>
      <c r="E36" s="124">
        <f t="shared" si="5"/>
        <v>5515.0172317452525</v>
      </c>
      <c r="F36" s="124">
        <f t="shared" si="5"/>
        <v>6770.4846233535791</v>
      </c>
      <c r="G36" s="124">
        <f t="shared" si="5"/>
        <v>7606.5671260082472</v>
      </c>
      <c r="H36" s="124">
        <f t="shared" si="5"/>
        <v>8289.5335984956328</v>
      </c>
      <c r="I36" s="124">
        <f t="shared" si="5"/>
        <v>8809.8249670674159</v>
      </c>
      <c r="J36" s="124">
        <f t="shared" si="5"/>
        <v>8927.7447956634296</v>
      </c>
      <c r="K36" s="124">
        <f t="shared" si="5"/>
        <v>9289.8885345809795</v>
      </c>
      <c r="L36" s="124">
        <f t="shared" si="5"/>
        <v>9407.5524735906602</v>
      </c>
      <c r="M36" s="124">
        <f t="shared" si="5"/>
        <v>9784.0904428460308</v>
      </c>
      <c r="N36" s="124">
        <f t="shared" si="5"/>
        <v>9901.0299826782757</v>
      </c>
      <c r="O36" s="124">
        <f t="shared" si="5"/>
        <v>10292.37227720627</v>
      </c>
      <c r="P36" s="124">
        <f t="shared" si="5"/>
        <v>10408.062792847628</v>
      </c>
      <c r="Q36" s="124">
        <f t="shared" si="5"/>
        <v>10518.602262526556</v>
      </c>
      <c r="R36" s="124">
        <f t="shared" si="5"/>
        <v>10623.577502021219</v>
      </c>
      <c r="S36" s="124">
        <f t="shared" si="5"/>
        <v>10769.556220712209</v>
      </c>
      <c r="T36" s="124">
        <f t="shared" si="5"/>
        <v>10895.654166937309</v>
      </c>
      <c r="U36" s="124">
        <f t="shared" si="5"/>
        <v>10981.2518401174</v>
      </c>
      <c r="V36" s="124">
        <f t="shared" si="5"/>
        <v>11059.422458990346</v>
      </c>
      <c r="W36" s="124">
        <f t="shared" si="5"/>
        <v>1645.2415376262979</v>
      </c>
      <c r="X36" s="124">
        <f t="shared" si="5"/>
        <v>-5191.3169319229701</v>
      </c>
      <c r="Y36" s="124">
        <f t="shared" ref="Y36:AG36" si="6">Y32-Y34</f>
        <v>-5255.162241624038</v>
      </c>
      <c r="Z36" s="124">
        <f t="shared" si="6"/>
        <v>-5320.9229106161411</v>
      </c>
      <c r="AA36" s="124">
        <f t="shared" si="6"/>
        <v>-5388.6563996780069</v>
      </c>
      <c r="AB36" s="124">
        <f t="shared" si="6"/>
        <v>-5458.421893411728</v>
      </c>
      <c r="AC36" s="124">
        <f t="shared" si="6"/>
        <v>-5530.28035195746</v>
      </c>
      <c r="AD36" s="124">
        <f t="shared" si="6"/>
        <v>-5604.2945642595669</v>
      </c>
      <c r="AE36" s="124">
        <f t="shared" si="6"/>
        <v>-5680.529202930732</v>
      </c>
      <c r="AF36" s="124">
        <f t="shared" si="6"/>
        <v>-5759.0508807620363</v>
      </c>
      <c r="AG36" s="124">
        <f t="shared" si="6"/>
        <v>-4053.0965761606835</v>
      </c>
    </row>
    <row r="37" spans="1:33">
      <c r="A37" s="1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33">
      <c r="A38" s="3" t="s">
        <v>137</v>
      </c>
      <c r="C38" s="65">
        <f>Debt!B57</f>
        <v>3793.0366348540147</v>
      </c>
      <c r="D38" s="65">
        <f>Debt!C57</f>
        <v>6451.8295237194789</v>
      </c>
      <c r="E38" s="65">
        <f>Debt!D57</f>
        <v>6373.3824534485648</v>
      </c>
      <c r="F38" s="65">
        <f>Debt!E57</f>
        <v>6259.0735515541892</v>
      </c>
      <c r="G38" s="65">
        <f>Debt!F57</f>
        <v>6070.8754277023381</v>
      </c>
      <c r="H38" s="65">
        <f>Debt!G57</f>
        <v>5825.5653415263114</v>
      </c>
      <c r="I38" s="65">
        <f>Debt!H57</f>
        <v>5544.5918339686559</v>
      </c>
      <c r="J38" s="65">
        <f>Debt!I57</f>
        <v>5231.9277276892435</v>
      </c>
      <c r="K38" s="65">
        <f>Debt!J57</f>
        <v>4876.4814179916957</v>
      </c>
      <c r="L38" s="65">
        <f>Debt!K57</f>
        <v>4475.2557282261441</v>
      </c>
      <c r="M38" s="65">
        <f>Debt!L57</f>
        <v>4022.6680449736468</v>
      </c>
      <c r="N38" s="65">
        <f>Debt!M57</f>
        <v>3515.0981015304283</v>
      </c>
      <c r="O38" s="65">
        <f>Debt!N57</f>
        <v>2944.7566841722651</v>
      </c>
      <c r="P38" s="65">
        <f>Debt!O57</f>
        <v>2309.2496532824548</v>
      </c>
      <c r="Q38" s="65">
        <f>Debt!P57</f>
        <v>1608.4118276798549</v>
      </c>
      <c r="R38" s="65">
        <f>Debt!Q57</f>
        <v>840.37075962934227</v>
      </c>
      <c r="S38" s="65">
        <f>Debt!R57</f>
        <v>107.81017868509903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13.999563344163761</v>
      </c>
      <c r="Y38" s="65">
        <f>Debt!X57</f>
        <v>101.40649835738384</v>
      </c>
      <c r="Z38" s="65">
        <f>Debt!Y57</f>
        <v>257.51699858145162</v>
      </c>
      <c r="AA38" s="65">
        <f>Debt!Z57</f>
        <v>431.97265793677678</v>
      </c>
      <c r="AB38" s="65">
        <f>Debt!AA57</f>
        <v>625.8583412296922</v>
      </c>
      <c r="AC38" s="65">
        <f>Debt!AB57</f>
        <v>841.32487131651351</v>
      </c>
      <c r="AD38" s="65">
        <f>Debt!AC57</f>
        <v>1080.1419506339862</v>
      </c>
      <c r="AE38" s="65">
        <f>Debt!AD57</f>
        <v>1345.120445340486</v>
      </c>
      <c r="AF38" s="65">
        <f>Debt!AE57</f>
        <v>1637.8886969169473</v>
      </c>
      <c r="AG38" s="65">
        <f>Debt!AF57</f>
        <v>2019.7636482272283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215</v>
      </c>
      <c r="C40" s="124">
        <f>C36-C38</f>
        <v>-535.3026496692878</v>
      </c>
      <c r="D40" s="124">
        <f t="shared" ref="D40:X40" si="7">D36-D38</f>
        <v>-901.4626919742268</v>
      </c>
      <c r="E40" s="124">
        <f t="shared" si="7"/>
        <v>-858.36522170331227</v>
      </c>
      <c r="F40" s="124">
        <f t="shared" si="7"/>
        <v>511.4110717993899</v>
      </c>
      <c r="G40" s="124">
        <f t="shared" si="7"/>
        <v>1535.6916983059091</v>
      </c>
      <c r="H40" s="124">
        <f t="shared" si="7"/>
        <v>2463.9682569693214</v>
      </c>
      <c r="I40" s="124">
        <f t="shared" si="7"/>
        <v>3265.2331330987599</v>
      </c>
      <c r="J40" s="124">
        <f t="shared" si="7"/>
        <v>3695.8170679741861</v>
      </c>
      <c r="K40" s="124">
        <f t="shared" si="7"/>
        <v>4413.4071165892838</v>
      </c>
      <c r="L40" s="124">
        <f t="shared" si="7"/>
        <v>4932.296745364516</v>
      </c>
      <c r="M40" s="124">
        <f t="shared" si="7"/>
        <v>5761.422397872384</v>
      </c>
      <c r="N40" s="124">
        <f t="shared" si="7"/>
        <v>6385.9318811478479</v>
      </c>
      <c r="O40" s="124">
        <f t="shared" si="7"/>
        <v>7347.6155930340046</v>
      </c>
      <c r="P40" s="124">
        <f t="shared" si="7"/>
        <v>8098.8131395651726</v>
      </c>
      <c r="Q40" s="124">
        <f t="shared" si="7"/>
        <v>8910.1904348467015</v>
      </c>
      <c r="R40" s="124">
        <f t="shared" si="7"/>
        <v>9783.2067423918761</v>
      </c>
      <c r="S40" s="124">
        <f t="shared" si="7"/>
        <v>10661.746042027111</v>
      </c>
      <c r="T40" s="124">
        <f t="shared" si="7"/>
        <v>10895.654166937309</v>
      </c>
      <c r="U40" s="124">
        <f t="shared" si="7"/>
        <v>10981.2518401174</v>
      </c>
      <c r="V40" s="124">
        <f t="shared" si="7"/>
        <v>11059.422458990346</v>
      </c>
      <c r="W40" s="124">
        <f t="shared" si="7"/>
        <v>1645.2415376262979</v>
      </c>
      <c r="X40" s="124">
        <f t="shared" si="7"/>
        <v>-5205.3164952671341</v>
      </c>
      <c r="Y40" s="124">
        <f t="shared" ref="Y40:AG40" si="8">Y36-Y38</f>
        <v>-5356.5687399814215</v>
      </c>
      <c r="Z40" s="124">
        <f t="shared" si="8"/>
        <v>-5578.4399091975929</v>
      </c>
      <c r="AA40" s="124">
        <f t="shared" si="8"/>
        <v>-5820.629057614784</v>
      </c>
      <c r="AB40" s="124">
        <f t="shared" si="8"/>
        <v>-6084.2802346414201</v>
      </c>
      <c r="AC40" s="124">
        <f t="shared" si="8"/>
        <v>-6371.605223273973</v>
      </c>
      <c r="AD40" s="124">
        <f t="shared" si="8"/>
        <v>-6684.4365148935531</v>
      </c>
      <c r="AE40" s="124">
        <f t="shared" si="8"/>
        <v>-7025.6496482712182</v>
      </c>
      <c r="AF40" s="124">
        <f t="shared" si="8"/>
        <v>-7396.9395776789834</v>
      </c>
      <c r="AG40" s="124">
        <f t="shared" si="8"/>
        <v>-6072.8602243879122</v>
      </c>
    </row>
    <row r="41" spans="1:33">
      <c r="A41" s="1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</row>
    <row r="42" spans="1:33">
      <c r="A42" s="3" t="s">
        <v>52</v>
      </c>
      <c r="B42" s="350">
        <f>Assumptions!N51</f>
        <v>7.0000000000000007E-2</v>
      </c>
      <c r="C42" s="74">
        <f>-C40*$B$42</f>
        <v>37.471185476850152</v>
      </c>
      <c r="D42" s="74">
        <f t="shared" ref="D42:AG42" si="9">-D40*$B$42</f>
        <v>63.102388438195881</v>
      </c>
      <c r="E42" s="74">
        <f t="shared" si="9"/>
        <v>60.085565519231864</v>
      </c>
      <c r="F42" s="74">
        <f t="shared" si="9"/>
        <v>-35.798775025957298</v>
      </c>
      <c r="G42" s="74">
        <f t="shared" si="9"/>
        <v>-107.49841888141364</v>
      </c>
      <c r="H42" s="74">
        <f t="shared" si="9"/>
        <v>-172.47777798785251</v>
      </c>
      <c r="I42" s="74">
        <f t="shared" si="9"/>
        <v>-228.56631931691322</v>
      </c>
      <c r="J42" s="74">
        <f t="shared" si="9"/>
        <v>-258.70719475819305</v>
      </c>
      <c r="K42" s="74">
        <f t="shared" si="9"/>
        <v>-308.93849816124987</v>
      </c>
      <c r="L42" s="74">
        <f t="shared" si="9"/>
        <v>-345.26077217551614</v>
      </c>
      <c r="M42" s="74">
        <f t="shared" si="9"/>
        <v>-403.29956785106691</v>
      </c>
      <c r="N42" s="74">
        <f t="shared" si="9"/>
        <v>-447.01523168034942</v>
      </c>
      <c r="O42" s="74">
        <f t="shared" si="9"/>
        <v>-514.33309151238041</v>
      </c>
      <c r="P42" s="74">
        <f t="shared" si="9"/>
        <v>-566.91691976956213</v>
      </c>
      <c r="Q42" s="74">
        <f t="shared" si="9"/>
        <v>-623.71333043926916</v>
      </c>
      <c r="R42" s="74">
        <f t="shared" si="9"/>
        <v>-684.82447196743135</v>
      </c>
      <c r="S42" s="74">
        <f t="shared" si="9"/>
        <v>-746.32222294189785</v>
      </c>
      <c r="T42" s="74">
        <f t="shared" si="9"/>
        <v>-762.69579168561177</v>
      </c>
      <c r="U42" s="74">
        <f t="shared" si="9"/>
        <v>-768.68762880821805</v>
      </c>
      <c r="V42" s="74">
        <f t="shared" si="9"/>
        <v>-774.15957212932426</v>
      </c>
      <c r="W42" s="74">
        <f t="shared" si="9"/>
        <v>-115.16690763384086</v>
      </c>
      <c r="X42" s="74">
        <f t="shared" si="9"/>
        <v>364.37215466869941</v>
      </c>
      <c r="Y42" s="74">
        <f t="shared" si="9"/>
        <v>374.95981179869955</v>
      </c>
      <c r="Z42" s="74">
        <f t="shared" si="9"/>
        <v>390.49079364383152</v>
      </c>
      <c r="AA42" s="74">
        <f t="shared" si="9"/>
        <v>407.44403403303494</v>
      </c>
      <c r="AB42" s="74">
        <f t="shared" si="9"/>
        <v>425.89961642489942</v>
      </c>
      <c r="AC42" s="74">
        <f t="shared" si="9"/>
        <v>446.01236562917813</v>
      </c>
      <c r="AD42" s="74">
        <f t="shared" si="9"/>
        <v>467.91055604254876</v>
      </c>
      <c r="AE42" s="74">
        <f t="shared" si="9"/>
        <v>491.79547537898532</v>
      </c>
      <c r="AF42" s="74">
        <f t="shared" si="9"/>
        <v>517.78577043752887</v>
      </c>
      <c r="AG42" s="74">
        <f t="shared" si="9"/>
        <v>425.10021570715389</v>
      </c>
    </row>
    <row r="43" spans="1:33">
      <c r="A43" s="3" t="s">
        <v>53</v>
      </c>
      <c r="B43" s="350">
        <f>Assumptions!N50</f>
        <v>0.35</v>
      </c>
      <c r="C43" s="74">
        <f t="shared" ref="C43:AG43" si="10">(C40+C42)*-$B$43</f>
        <v>174.24101246735316</v>
      </c>
      <c r="D43" s="74">
        <f t="shared" si="10"/>
        <v>293.42610623761078</v>
      </c>
      <c r="E43" s="74">
        <f t="shared" si="10"/>
        <v>279.3978796644281</v>
      </c>
      <c r="F43" s="74">
        <f t="shared" si="10"/>
        <v>-166.4643038707014</v>
      </c>
      <c r="G43" s="74">
        <f t="shared" si="10"/>
        <v>-499.86764779857333</v>
      </c>
      <c r="H43" s="74">
        <f t="shared" si="10"/>
        <v>-802.02166764351409</v>
      </c>
      <c r="I43" s="74">
        <f t="shared" si="10"/>
        <v>-1062.8333848236464</v>
      </c>
      <c r="J43" s="74">
        <f t="shared" si="10"/>
        <v>-1202.9884556255975</v>
      </c>
      <c r="K43" s="74">
        <f t="shared" si="10"/>
        <v>-1436.5640164498116</v>
      </c>
      <c r="L43" s="74">
        <f t="shared" si="10"/>
        <v>-1605.46259061615</v>
      </c>
      <c r="M43" s="74">
        <f t="shared" si="10"/>
        <v>-1875.3429905074609</v>
      </c>
      <c r="N43" s="74">
        <f t="shared" si="10"/>
        <v>-2078.6208273136244</v>
      </c>
      <c r="O43" s="74">
        <f t="shared" si="10"/>
        <v>-2391.6488755325681</v>
      </c>
      <c r="P43" s="74">
        <f t="shared" si="10"/>
        <v>-2636.1636769284637</v>
      </c>
      <c r="Q43" s="74">
        <f t="shared" si="10"/>
        <v>-2900.2669865426014</v>
      </c>
      <c r="R43" s="74">
        <f t="shared" si="10"/>
        <v>-3184.4337946485557</v>
      </c>
      <c r="S43" s="74">
        <f t="shared" si="10"/>
        <v>-3470.3983366798248</v>
      </c>
      <c r="T43" s="74">
        <f t="shared" si="10"/>
        <v>-3546.535431338094</v>
      </c>
      <c r="U43" s="74">
        <f t="shared" si="10"/>
        <v>-3574.3974739582136</v>
      </c>
      <c r="V43" s="74">
        <f t="shared" si="10"/>
        <v>-3599.8420104013576</v>
      </c>
      <c r="W43" s="74">
        <f t="shared" si="10"/>
        <v>-535.52612049736001</v>
      </c>
      <c r="X43" s="74">
        <f t="shared" si="10"/>
        <v>1694.3305192094522</v>
      </c>
      <c r="Y43" s="74">
        <f t="shared" si="10"/>
        <v>1743.5631248639525</v>
      </c>
      <c r="Z43" s="74">
        <f t="shared" si="10"/>
        <v>1815.7821904438165</v>
      </c>
      <c r="AA43" s="74">
        <f t="shared" si="10"/>
        <v>1894.6147582536121</v>
      </c>
      <c r="AB43" s="74">
        <f t="shared" si="10"/>
        <v>1980.4332163757822</v>
      </c>
      <c r="AC43" s="74">
        <f t="shared" si="10"/>
        <v>2073.957500175678</v>
      </c>
      <c r="AD43" s="74">
        <f t="shared" si="10"/>
        <v>2175.7840855978516</v>
      </c>
      <c r="AE43" s="74">
        <f t="shared" si="10"/>
        <v>2286.8489605122813</v>
      </c>
      <c r="AF43" s="74">
        <f t="shared" si="10"/>
        <v>2407.7038325345088</v>
      </c>
      <c r="AG43" s="74">
        <f t="shared" si="10"/>
        <v>1976.7160030382652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54</v>
      </c>
      <c r="B45" s="46"/>
      <c r="C45" s="375">
        <f t="shared" ref="C45:AG45" si="11">C40+C42+C43</f>
        <v>-323.59045172508445</v>
      </c>
      <c r="D45" s="375">
        <f t="shared" si="11"/>
        <v>-544.93419729842003</v>
      </c>
      <c r="E45" s="375">
        <f t="shared" si="11"/>
        <v>-518.88177651965225</v>
      </c>
      <c r="F45" s="375">
        <f t="shared" si="11"/>
        <v>309.14799290273118</v>
      </c>
      <c r="G45" s="375">
        <f t="shared" si="11"/>
        <v>928.32563162592203</v>
      </c>
      <c r="H45" s="375">
        <f t="shared" si="11"/>
        <v>1489.468811337955</v>
      </c>
      <c r="I45" s="375">
        <f t="shared" si="11"/>
        <v>1973.8334289582006</v>
      </c>
      <c r="J45" s="375">
        <f t="shared" si="11"/>
        <v>2234.1214175903956</v>
      </c>
      <c r="K45" s="375">
        <f t="shared" si="11"/>
        <v>2667.9046019782218</v>
      </c>
      <c r="L45" s="375">
        <f t="shared" si="11"/>
        <v>2981.5733825728503</v>
      </c>
      <c r="M45" s="375">
        <f t="shared" si="11"/>
        <v>3482.7798395138561</v>
      </c>
      <c r="N45" s="375">
        <f t="shared" si="11"/>
        <v>3860.2958221538738</v>
      </c>
      <c r="O45" s="375">
        <f t="shared" si="11"/>
        <v>4441.6336259890559</v>
      </c>
      <c r="P45" s="375">
        <f t="shared" si="11"/>
        <v>4895.7325428671465</v>
      </c>
      <c r="Q45" s="375">
        <f t="shared" si="11"/>
        <v>5386.2101178648318</v>
      </c>
      <c r="R45" s="375">
        <f t="shared" si="11"/>
        <v>5913.9484757758892</v>
      </c>
      <c r="S45" s="375">
        <f t="shared" si="11"/>
        <v>6445.0254824053891</v>
      </c>
      <c r="T45" s="375">
        <f t="shared" si="11"/>
        <v>6586.4229439136034</v>
      </c>
      <c r="U45" s="375">
        <f t="shared" si="11"/>
        <v>6638.1667373509681</v>
      </c>
      <c r="V45" s="375">
        <f t="shared" si="11"/>
        <v>6685.4208764596651</v>
      </c>
      <c r="W45" s="375">
        <f t="shared" si="11"/>
        <v>994.54850949509716</v>
      </c>
      <c r="X45" s="375">
        <f t="shared" si="11"/>
        <v>-3146.6138213889826</v>
      </c>
      <c r="Y45" s="375">
        <f t="shared" si="11"/>
        <v>-3238.0458033187692</v>
      </c>
      <c r="Z45" s="375">
        <f t="shared" si="11"/>
        <v>-3372.1669251099452</v>
      </c>
      <c r="AA45" s="375">
        <f t="shared" si="11"/>
        <v>-3518.5702653281369</v>
      </c>
      <c r="AB45" s="375">
        <f t="shared" si="11"/>
        <v>-3677.9474018407386</v>
      </c>
      <c r="AC45" s="375">
        <f t="shared" si="11"/>
        <v>-3851.635357469117</v>
      </c>
      <c r="AD45" s="375">
        <f t="shared" si="11"/>
        <v>-4040.7418732531528</v>
      </c>
      <c r="AE45" s="375">
        <f t="shared" si="11"/>
        <v>-4247.0052123799514</v>
      </c>
      <c r="AF45" s="375">
        <f t="shared" si="11"/>
        <v>-4471.4499747069458</v>
      </c>
      <c r="AG45" s="375">
        <f t="shared" si="11"/>
        <v>-3671.0440056424927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376"/>
      <c r="AB49" s="376"/>
      <c r="AC49" s="376"/>
      <c r="AD49" s="376"/>
      <c r="AE49" s="376"/>
      <c r="AF49" s="376"/>
      <c r="AG49" s="376"/>
    </row>
    <row r="50" spans="1:33">
      <c r="A50" s="11"/>
      <c r="C50" s="376"/>
      <c r="D50" s="376"/>
      <c r="E50" s="376"/>
      <c r="F50" s="376"/>
      <c r="G50" s="376"/>
      <c r="H50" s="376"/>
      <c r="I50" s="376"/>
      <c r="J50" s="376"/>
      <c r="K50" s="376"/>
      <c r="L50" s="376"/>
      <c r="M50" s="376"/>
      <c r="N50" s="376"/>
      <c r="O50" s="376"/>
      <c r="P50" s="376"/>
      <c r="Q50" s="376"/>
      <c r="R50" s="376"/>
      <c r="S50" s="376"/>
      <c r="T50" s="376"/>
      <c r="U50" s="376"/>
      <c r="V50" s="376"/>
      <c r="W50" s="376"/>
      <c r="X50" s="376"/>
      <c r="Y50" s="376"/>
      <c r="Z50" s="376"/>
      <c r="AA50" s="376"/>
      <c r="AB50" s="376"/>
      <c r="AC50" s="376"/>
      <c r="AD50" s="376"/>
      <c r="AE50" s="376"/>
      <c r="AF50" s="376"/>
      <c r="AG50" s="376"/>
    </row>
    <row r="51" spans="1:33">
      <c r="C51" s="376"/>
      <c r="D51" s="376"/>
      <c r="E51" s="376"/>
      <c r="F51" s="376"/>
      <c r="G51" s="376"/>
    </row>
    <row r="52" spans="1:33">
      <c r="C52" s="6"/>
      <c r="D52" s="6"/>
      <c r="E52" s="6"/>
      <c r="F52" s="6"/>
      <c r="G52" s="6"/>
    </row>
    <row r="53" spans="1:33">
      <c r="C53" s="376"/>
      <c r="D53" s="376"/>
      <c r="E53" s="376"/>
      <c r="F53" s="376"/>
      <c r="G53" s="376"/>
    </row>
    <row r="54" spans="1:33">
      <c r="C54" s="376"/>
      <c r="D54" s="376"/>
      <c r="E54" s="376"/>
      <c r="F54" s="376"/>
      <c r="G54" s="376"/>
    </row>
    <row r="55" spans="1:33">
      <c r="C55" s="376"/>
      <c r="D55" s="376"/>
      <c r="E55" s="376"/>
      <c r="F55" s="376"/>
      <c r="G55" s="376"/>
    </row>
    <row r="56" spans="1:33">
      <c r="C56" s="376"/>
      <c r="D56" s="376"/>
      <c r="E56" s="376"/>
      <c r="F56" s="376"/>
      <c r="G56" s="376"/>
    </row>
    <row r="57" spans="1:33">
      <c r="C57" s="376"/>
      <c r="D57" s="376"/>
      <c r="E57" s="376"/>
      <c r="F57" s="376"/>
      <c r="G57" s="376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7"/>
      <c r="D60" s="377"/>
      <c r="E60" s="377"/>
      <c r="F60" s="377"/>
      <c r="G60" s="6"/>
    </row>
    <row r="61" spans="1:33">
      <c r="C61" s="6"/>
      <c r="D61" s="6"/>
      <c r="E61" s="6"/>
      <c r="F61" s="6"/>
      <c r="G61" s="6"/>
    </row>
    <row r="62" spans="1:33">
      <c r="C62" s="377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Calpine</v>
      </c>
    </row>
    <row r="4" spans="1:60" ht="18.75">
      <c r="A4" s="60" t="s">
        <v>139</v>
      </c>
      <c r="B4" s="8"/>
      <c r="C4" s="8"/>
    </row>
    <row r="6" spans="1:60">
      <c r="C6" s="320">
        <v>0</v>
      </c>
      <c r="D6" s="213">
        <f>'Price_Technical Assumption'!D7</f>
        <v>0.58333333333333337</v>
      </c>
      <c r="E6" s="213">
        <f>'Price_Technical Assumption'!E7</f>
        <v>1.5833333333333335</v>
      </c>
      <c r="F6" s="213">
        <f>'Price_Technical Assumption'!F7</f>
        <v>2.5833333333333335</v>
      </c>
      <c r="G6" s="213">
        <f>'Price_Technical Assumption'!G7</f>
        <v>3.5833333333333335</v>
      </c>
      <c r="H6" s="213">
        <f>'Price_Technical Assumption'!H7</f>
        <v>4.5833333333333339</v>
      </c>
      <c r="I6" s="213">
        <f>'Price_Technical Assumption'!I7</f>
        <v>5.5833333333333339</v>
      </c>
      <c r="J6" s="213">
        <f>'Price_Technical Assumption'!J7</f>
        <v>6.5833333333333339</v>
      </c>
      <c r="K6" s="213">
        <f>'Price_Technical Assumption'!K7</f>
        <v>7.5833333333333339</v>
      </c>
      <c r="L6" s="213">
        <f>'Price_Technical Assumption'!L7</f>
        <v>8.5833333333333339</v>
      </c>
      <c r="M6" s="213">
        <f>'Price_Technical Assumption'!M7</f>
        <v>9.5833333333333339</v>
      </c>
      <c r="N6" s="213">
        <f>'Price_Technical Assumption'!N7</f>
        <v>10.583333333333334</v>
      </c>
      <c r="O6" s="213">
        <f>'Price_Technical Assumption'!O7</f>
        <v>11.583333333333334</v>
      </c>
      <c r="P6" s="213">
        <f>'Price_Technical Assumption'!P7</f>
        <v>12.583333333333334</v>
      </c>
      <c r="Q6" s="213">
        <f>'Price_Technical Assumption'!Q7</f>
        <v>13.583333333333334</v>
      </c>
      <c r="R6" s="213">
        <f>'Price_Technical Assumption'!R7</f>
        <v>14.583333333333334</v>
      </c>
      <c r="S6" s="213">
        <f>'Price_Technical Assumption'!S7</f>
        <v>15.583333333333334</v>
      </c>
      <c r="T6" s="213">
        <f>'Price_Technical Assumption'!T7</f>
        <v>16.583333333333336</v>
      </c>
      <c r="U6" s="213">
        <f>'Price_Technical Assumption'!U7</f>
        <v>17.583333333333336</v>
      </c>
      <c r="V6" s="213">
        <f>'Price_Technical Assumption'!V7</f>
        <v>18.583333333333336</v>
      </c>
      <c r="W6" s="213">
        <f>'Price_Technical Assumption'!W7</f>
        <v>19.583333333333336</v>
      </c>
      <c r="X6" s="213">
        <f>'Price_Technical Assumption'!X7</f>
        <v>20.583333333333336</v>
      </c>
      <c r="Y6" s="213">
        <f>'Price_Technical Assumption'!Y7</f>
        <v>21.583333333333336</v>
      </c>
      <c r="Z6" s="213">
        <f>'Price_Technical Assumption'!Z7</f>
        <v>22.583333333333336</v>
      </c>
      <c r="AA6" s="213">
        <f>'Price_Technical Assumption'!AA7</f>
        <v>23.583333333333336</v>
      </c>
      <c r="AB6" s="213">
        <f>'Price_Technical Assumption'!AB7</f>
        <v>24.583333333333336</v>
      </c>
      <c r="AC6" s="213">
        <f>'Price_Technical Assumption'!AC7</f>
        <v>25.583333333333336</v>
      </c>
      <c r="AD6" s="213">
        <f>'Price_Technical Assumption'!AD7</f>
        <v>26.583333333333336</v>
      </c>
      <c r="AE6" s="213">
        <f>'Price_Technical Assumption'!AE7</f>
        <v>27.583333333333336</v>
      </c>
      <c r="AF6" s="213">
        <f>'Price_Technical Assumption'!AF7</f>
        <v>28.583333333333336</v>
      </c>
      <c r="AG6" s="213">
        <f>'Price_Technical Assumption'!AG7</f>
        <v>29.583333333333336</v>
      </c>
      <c r="AH6" s="213">
        <f>'Price_Technical Assumption'!AH7</f>
        <v>30.583333333333336</v>
      </c>
    </row>
    <row r="7" spans="1:60" s="6" customFormat="1" ht="13.5" thickBot="1">
      <c r="A7" s="123" t="s">
        <v>40</v>
      </c>
      <c r="B7" s="7"/>
      <c r="C7" s="321" t="s">
        <v>258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22"/>
      <c r="D8" s="214">
        <f>Assumptions!H17+365.25*Assumptions!H18/12</f>
        <v>37256.0625</v>
      </c>
      <c r="E8" s="214">
        <f t="shared" ref="E8:AH8" si="0">D8+365.25</f>
        <v>37621.3125</v>
      </c>
      <c r="F8" s="214">
        <f t="shared" si="0"/>
        <v>37986.5625</v>
      </c>
      <c r="G8" s="214">
        <f t="shared" si="0"/>
        <v>38351.8125</v>
      </c>
      <c r="H8" s="214">
        <f t="shared" si="0"/>
        <v>38717.0625</v>
      </c>
      <c r="I8" s="214">
        <f t="shared" si="0"/>
        <v>39082.3125</v>
      </c>
      <c r="J8" s="214">
        <f t="shared" si="0"/>
        <v>39447.5625</v>
      </c>
      <c r="K8" s="214">
        <f t="shared" si="0"/>
        <v>39812.8125</v>
      </c>
      <c r="L8" s="214">
        <f t="shared" si="0"/>
        <v>40178.0625</v>
      </c>
      <c r="M8" s="214">
        <f t="shared" si="0"/>
        <v>40543.3125</v>
      </c>
      <c r="N8" s="214">
        <f t="shared" si="0"/>
        <v>40908.5625</v>
      </c>
      <c r="O8" s="214">
        <f t="shared" si="0"/>
        <v>41273.8125</v>
      </c>
      <c r="P8" s="214">
        <f t="shared" si="0"/>
        <v>41639.0625</v>
      </c>
      <c r="Q8" s="214">
        <f t="shared" si="0"/>
        <v>42004.3125</v>
      </c>
      <c r="R8" s="214">
        <f t="shared" si="0"/>
        <v>42369.5625</v>
      </c>
      <c r="S8" s="214">
        <f t="shared" si="0"/>
        <v>42734.8125</v>
      </c>
      <c r="T8" s="214">
        <f t="shared" si="0"/>
        <v>43100.0625</v>
      </c>
      <c r="U8" s="214">
        <f t="shared" si="0"/>
        <v>43465.3125</v>
      </c>
      <c r="V8" s="214">
        <f t="shared" si="0"/>
        <v>43830.5625</v>
      </c>
      <c r="W8" s="214">
        <f t="shared" si="0"/>
        <v>44195.8125</v>
      </c>
      <c r="X8" s="214">
        <f t="shared" si="0"/>
        <v>44561.0625</v>
      </c>
      <c r="Y8" s="214">
        <f t="shared" si="0"/>
        <v>44926.3125</v>
      </c>
      <c r="Z8" s="214">
        <f t="shared" si="0"/>
        <v>45291.5625</v>
      </c>
      <c r="AA8" s="214">
        <f t="shared" si="0"/>
        <v>45656.8125</v>
      </c>
      <c r="AB8" s="214">
        <f t="shared" si="0"/>
        <v>46022.0625</v>
      </c>
      <c r="AC8" s="214">
        <f t="shared" si="0"/>
        <v>46387.3125</v>
      </c>
      <c r="AD8" s="214">
        <f t="shared" si="0"/>
        <v>46752.5625</v>
      </c>
      <c r="AE8" s="214">
        <f t="shared" si="0"/>
        <v>47117.8125</v>
      </c>
      <c r="AF8" s="214">
        <f t="shared" si="0"/>
        <v>47483.0625</v>
      </c>
      <c r="AG8" s="214">
        <f t="shared" si="0"/>
        <v>47848.3125</v>
      </c>
      <c r="AH8" s="214">
        <f t="shared" si="0"/>
        <v>48213.5625</v>
      </c>
    </row>
    <row r="9" spans="1:60">
      <c r="A9" s="1" t="s">
        <v>140</v>
      </c>
      <c r="B9" s="12"/>
      <c r="C9" s="323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23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141</v>
      </c>
      <c r="B11" s="12"/>
      <c r="C11" s="324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13"/>
      <c r="AJ11" s="313"/>
      <c r="AK11" s="313"/>
      <c r="AL11" s="313"/>
      <c r="AM11" s="313"/>
      <c r="AN11" s="313"/>
      <c r="AO11" s="313"/>
      <c r="AP11" s="313"/>
      <c r="AQ11" s="313"/>
      <c r="AR11" s="313"/>
      <c r="AS11" s="313"/>
      <c r="AT11" s="313"/>
      <c r="AU11" s="313"/>
      <c r="AV11" s="313"/>
      <c r="AW11" s="313"/>
      <c r="AX11" s="313"/>
      <c r="AY11" s="313"/>
      <c r="AZ11" s="313"/>
      <c r="BA11" s="313"/>
      <c r="BB11" s="313"/>
      <c r="BC11" s="313"/>
      <c r="BD11" s="313"/>
      <c r="BE11" s="313"/>
      <c r="BF11" s="313"/>
      <c r="BG11" s="313"/>
      <c r="BH11" s="313"/>
    </row>
    <row r="12" spans="1:60">
      <c r="A12" s="23" t="s">
        <v>142</v>
      </c>
      <c r="B12" s="12"/>
      <c r="C12" s="324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13"/>
      <c r="AJ12" s="313"/>
      <c r="AK12" s="313"/>
      <c r="AL12" s="313"/>
      <c r="AM12" s="313"/>
      <c r="AN12" s="313"/>
      <c r="AO12" s="313"/>
      <c r="AP12" s="313"/>
      <c r="AQ12" s="313"/>
      <c r="AR12" s="313"/>
      <c r="AS12" s="313"/>
      <c r="AT12" s="313"/>
      <c r="AU12" s="313"/>
      <c r="AV12" s="313"/>
      <c r="AW12" s="313"/>
      <c r="AX12" s="313"/>
      <c r="AY12" s="313"/>
      <c r="AZ12" s="313"/>
      <c r="BA12" s="313"/>
      <c r="BB12" s="313"/>
      <c r="BC12" s="313"/>
      <c r="BD12" s="313"/>
      <c r="BE12" s="313"/>
      <c r="BF12" s="313"/>
      <c r="BG12" s="313"/>
      <c r="BH12" s="313"/>
    </row>
    <row r="13" spans="1:60">
      <c r="A13" s="23" t="s">
        <v>143</v>
      </c>
      <c r="B13" s="12"/>
      <c r="C13" s="324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13"/>
      <c r="AJ13" s="313"/>
      <c r="AK13" s="313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3"/>
      <c r="AX13" s="313"/>
      <c r="AY13" s="313"/>
      <c r="AZ13" s="313"/>
      <c r="BA13" s="313"/>
      <c r="BB13" s="313"/>
      <c r="BC13" s="313"/>
      <c r="BD13" s="313"/>
      <c r="BE13" s="313"/>
      <c r="BF13" s="313"/>
      <c r="BG13" s="313"/>
      <c r="BH13" s="313"/>
    </row>
    <row r="14" spans="1:60">
      <c r="A14" s="23" t="s">
        <v>144</v>
      </c>
      <c r="B14" s="12"/>
      <c r="C14" s="324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13"/>
      <c r="AJ14" s="313"/>
      <c r="AK14" s="313"/>
      <c r="AL14" s="313"/>
      <c r="AM14" s="313"/>
      <c r="AN14" s="313"/>
      <c r="AO14" s="313"/>
      <c r="AP14" s="313"/>
      <c r="AQ14" s="313"/>
      <c r="AR14" s="313"/>
      <c r="AS14" s="313"/>
      <c r="AT14" s="313"/>
      <c r="AU14" s="313"/>
      <c r="AV14" s="313"/>
      <c r="AW14" s="313"/>
      <c r="AX14" s="313"/>
      <c r="AY14" s="313"/>
      <c r="AZ14" s="313"/>
      <c r="BA14" s="313"/>
      <c r="BB14" s="313"/>
      <c r="BC14" s="313"/>
      <c r="BD14" s="313"/>
      <c r="BE14" s="313"/>
      <c r="BF14" s="313"/>
      <c r="BG14" s="313"/>
      <c r="BH14" s="313"/>
    </row>
    <row r="15" spans="1:60">
      <c r="A15" s="312" t="s">
        <v>145</v>
      </c>
      <c r="B15" s="58"/>
      <c r="C15" s="325">
        <v>0</v>
      </c>
      <c r="D15" s="312">
        <v>0</v>
      </c>
      <c r="E15" s="312">
        <v>0</v>
      </c>
      <c r="F15" s="312">
        <v>0</v>
      </c>
      <c r="G15" s="312">
        <v>0</v>
      </c>
      <c r="H15" s="312">
        <v>0</v>
      </c>
      <c r="I15" s="312">
        <v>0</v>
      </c>
      <c r="J15" s="312">
        <v>0</v>
      </c>
      <c r="K15" s="312">
        <v>0</v>
      </c>
      <c r="L15" s="312">
        <v>0</v>
      </c>
      <c r="M15" s="312">
        <v>0</v>
      </c>
      <c r="N15" s="312">
        <v>0</v>
      </c>
      <c r="O15" s="312">
        <v>0</v>
      </c>
      <c r="P15" s="312">
        <v>0</v>
      </c>
      <c r="Q15" s="312">
        <v>0</v>
      </c>
      <c r="R15" s="312">
        <v>0</v>
      </c>
      <c r="S15" s="312">
        <v>0</v>
      </c>
      <c r="T15" s="312">
        <v>0</v>
      </c>
      <c r="U15" s="312">
        <v>0</v>
      </c>
      <c r="V15" s="312">
        <v>0</v>
      </c>
      <c r="W15" s="312">
        <v>0</v>
      </c>
      <c r="X15" s="312">
        <v>0</v>
      </c>
      <c r="Y15" s="312">
        <v>0</v>
      </c>
      <c r="Z15" s="312">
        <v>0</v>
      </c>
      <c r="AA15" s="312">
        <v>0</v>
      </c>
      <c r="AB15" s="312">
        <v>0</v>
      </c>
      <c r="AC15" s="312">
        <v>0</v>
      </c>
      <c r="AD15" s="312">
        <v>0</v>
      </c>
      <c r="AE15" s="312">
        <v>0</v>
      </c>
      <c r="AF15" s="312">
        <v>0</v>
      </c>
      <c r="AG15" s="312">
        <v>0</v>
      </c>
      <c r="AH15" s="312">
        <v>0</v>
      </c>
      <c r="AI15" s="313"/>
      <c r="AJ15" s="313"/>
      <c r="AK15" s="313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3"/>
      <c r="AX15" s="313"/>
      <c r="AY15" s="313"/>
      <c r="AZ15" s="313"/>
      <c r="BA15" s="313"/>
      <c r="BB15" s="313"/>
      <c r="BC15" s="313"/>
      <c r="BD15" s="313"/>
      <c r="BE15" s="313"/>
      <c r="BF15" s="313"/>
      <c r="BG15" s="313"/>
      <c r="BH15" s="313"/>
    </row>
    <row r="16" spans="1:60">
      <c r="A16" s="23" t="s">
        <v>146</v>
      </c>
      <c r="B16" s="12"/>
      <c r="C16" s="324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13"/>
      <c r="AJ16" s="313"/>
      <c r="AK16" s="313"/>
      <c r="AL16" s="313"/>
      <c r="AM16" s="313"/>
      <c r="AN16" s="313"/>
      <c r="AO16" s="313"/>
      <c r="AP16" s="313"/>
      <c r="AQ16" s="313"/>
      <c r="AR16" s="313"/>
      <c r="AS16" s="313"/>
      <c r="AT16" s="313"/>
      <c r="AU16" s="313"/>
      <c r="AV16" s="313"/>
      <c r="AW16" s="313"/>
      <c r="AX16" s="313"/>
      <c r="AY16" s="313"/>
      <c r="AZ16" s="313"/>
      <c r="BA16" s="313"/>
      <c r="BB16" s="313"/>
      <c r="BC16" s="313"/>
      <c r="BD16" s="313"/>
      <c r="BE16" s="313"/>
      <c r="BF16" s="313"/>
      <c r="BG16" s="313"/>
      <c r="BH16" s="313"/>
    </row>
    <row r="17" spans="1:60">
      <c r="A17" s="13"/>
      <c r="B17" s="12"/>
      <c r="C17" s="324"/>
      <c r="D17" s="18"/>
      <c r="E17" s="18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3"/>
      <c r="W17" s="313"/>
      <c r="X17" s="313"/>
      <c r="Y17" s="313"/>
      <c r="Z17" s="151"/>
      <c r="AA17" s="151"/>
      <c r="AB17" s="313"/>
      <c r="AC17" s="313"/>
      <c r="AD17" s="313"/>
      <c r="AE17" s="313"/>
      <c r="AF17" s="313"/>
      <c r="AG17" s="313"/>
      <c r="AH17" s="313"/>
      <c r="AI17" s="313"/>
      <c r="AJ17" s="313"/>
      <c r="AK17" s="313"/>
      <c r="AL17" s="313"/>
      <c r="AM17" s="313"/>
      <c r="AN17" s="313"/>
      <c r="AO17" s="313"/>
      <c r="AP17" s="313"/>
      <c r="AQ17" s="313"/>
      <c r="AR17" s="313"/>
      <c r="AS17" s="313"/>
      <c r="AT17" s="313"/>
      <c r="AU17" s="313"/>
      <c r="AV17" s="313"/>
      <c r="AW17" s="313"/>
      <c r="AX17" s="313"/>
      <c r="AY17" s="313"/>
      <c r="AZ17" s="313"/>
      <c r="BA17" s="313"/>
      <c r="BB17" s="313"/>
      <c r="BC17" s="313"/>
      <c r="BD17" s="313"/>
      <c r="BE17" s="313"/>
      <c r="BF17" s="313"/>
      <c r="BG17" s="313"/>
      <c r="BH17" s="313"/>
    </row>
    <row r="18" spans="1:60">
      <c r="A18" s="23" t="s">
        <v>147</v>
      </c>
      <c r="B18" s="12"/>
      <c r="C18" s="324">
        <f>Assumptions!C58</f>
        <v>105868.66472957682</v>
      </c>
      <c r="D18" s="18">
        <f>Depreciation!$B$48</f>
        <v>106892.66472957682</v>
      </c>
      <c r="E18" s="18">
        <f>Depreciation!$B$48</f>
        <v>106892.66472957682</v>
      </c>
      <c r="F18" s="18">
        <f>Depreciation!$B$48</f>
        <v>106892.66472957682</v>
      </c>
      <c r="G18" s="18">
        <f>Depreciation!$B$48</f>
        <v>106892.66472957682</v>
      </c>
      <c r="H18" s="18">
        <f>Depreciation!$B$48</f>
        <v>106892.66472957682</v>
      </c>
      <c r="I18" s="18">
        <f>Depreciation!$B$48</f>
        <v>106892.66472957682</v>
      </c>
      <c r="J18" s="18">
        <f>Depreciation!$B$48</f>
        <v>106892.66472957682</v>
      </c>
      <c r="K18" s="18">
        <f>Depreciation!$B$48</f>
        <v>106892.66472957682</v>
      </c>
      <c r="L18" s="18">
        <f>Depreciation!$B$48</f>
        <v>106892.66472957682</v>
      </c>
      <c r="M18" s="18">
        <f>Depreciation!$B$48</f>
        <v>106892.66472957682</v>
      </c>
      <c r="N18" s="18">
        <f>Depreciation!$B$48</f>
        <v>106892.66472957682</v>
      </c>
      <c r="O18" s="18">
        <f>Depreciation!$B$48</f>
        <v>106892.66472957682</v>
      </c>
      <c r="P18" s="18">
        <f>Depreciation!$B$48</f>
        <v>106892.66472957682</v>
      </c>
      <c r="Q18" s="18">
        <f>Depreciation!$B$48</f>
        <v>106892.66472957682</v>
      </c>
      <c r="R18" s="18">
        <f>Depreciation!$B$48</f>
        <v>106892.66472957682</v>
      </c>
      <c r="S18" s="18">
        <f>Depreciation!$B$48</f>
        <v>106892.66472957682</v>
      </c>
      <c r="T18" s="18">
        <f>Depreciation!$B$48</f>
        <v>106892.66472957682</v>
      </c>
      <c r="U18" s="18">
        <f>Depreciation!$B$48</f>
        <v>106892.66472957682</v>
      </c>
      <c r="V18" s="18">
        <f>Depreciation!$B$48</f>
        <v>106892.66472957682</v>
      </c>
      <c r="W18" s="18">
        <f>Depreciation!$B$48</f>
        <v>106892.66472957682</v>
      </c>
      <c r="X18" s="18">
        <f>Depreciation!$B$48</f>
        <v>106892.66472957682</v>
      </c>
      <c r="Y18" s="18">
        <f>Depreciation!$B$48</f>
        <v>106892.66472957682</v>
      </c>
      <c r="Z18" s="18">
        <f>Depreciation!$B$48</f>
        <v>106892.66472957682</v>
      </c>
      <c r="AA18" s="18">
        <f>Depreciation!$B$48</f>
        <v>106892.66472957682</v>
      </c>
      <c r="AB18" s="18">
        <f>Depreciation!$B$48</f>
        <v>106892.66472957682</v>
      </c>
      <c r="AC18" s="18">
        <f>Depreciation!$B$48</f>
        <v>106892.66472957682</v>
      </c>
      <c r="AD18" s="18">
        <f>Depreciation!$B$48</f>
        <v>106892.66472957682</v>
      </c>
      <c r="AE18" s="18">
        <f>Depreciation!$B$48</f>
        <v>106892.66472957682</v>
      </c>
      <c r="AF18" s="18">
        <f>Depreciation!$B$48</f>
        <v>106892.66472957682</v>
      </c>
      <c r="AG18" s="18">
        <f>Depreciation!$B$48</f>
        <v>106892.66472957682</v>
      </c>
      <c r="AH18" s="18">
        <f>Depreciation!$B$48</f>
        <v>106892.66472957682</v>
      </c>
      <c r="AI18" s="313"/>
      <c r="AJ18" s="313"/>
      <c r="AK18" s="313"/>
      <c r="AL18" s="313"/>
      <c r="AM18" s="313"/>
      <c r="AN18" s="313"/>
      <c r="AO18" s="313"/>
      <c r="AP18" s="313"/>
      <c r="AQ18" s="313"/>
      <c r="AR18" s="313"/>
      <c r="AS18" s="313"/>
      <c r="AT18" s="313"/>
      <c r="AU18" s="313"/>
      <c r="AV18" s="313"/>
      <c r="AW18" s="313"/>
      <c r="AX18" s="313"/>
      <c r="AY18" s="313"/>
      <c r="AZ18" s="313"/>
      <c r="BA18" s="313"/>
      <c r="BB18" s="313"/>
      <c r="BC18" s="313"/>
      <c r="BD18" s="313"/>
      <c r="BE18" s="313"/>
      <c r="BF18" s="313"/>
      <c r="BG18" s="313"/>
      <c r="BH18" s="313"/>
    </row>
    <row r="19" spans="1:60">
      <c r="A19" s="23" t="s">
        <v>148</v>
      </c>
      <c r="B19" s="13"/>
      <c r="C19" s="326">
        <v>0</v>
      </c>
      <c r="D19" s="314">
        <f>SUM(Depreciation!$D$48:D48)</f>
        <v>2345.4316327675947</v>
      </c>
      <c r="E19" s="314">
        <f>SUM(Depreciation!$D$48:E48)</f>
        <v>6366.1715746548998</v>
      </c>
      <c r="F19" s="314">
        <f>SUM(Depreciation!$D$48:F48)</f>
        <v>10386.911516542204</v>
      </c>
      <c r="G19" s="314">
        <f>SUM(Depreciation!$D$48:G48)</f>
        <v>14407.651458429509</v>
      </c>
      <c r="H19" s="314">
        <f>SUM(Depreciation!$D$48:H48)</f>
        <v>18428.391400316814</v>
      </c>
      <c r="I19" s="314">
        <f>SUM(Depreciation!$D$48:I48)</f>
        <v>21890.531342204118</v>
      </c>
      <c r="J19" s="314">
        <f>SUM(Depreciation!$D$48:J48)</f>
        <v>24953.671284091422</v>
      </c>
      <c r="K19" s="314">
        <f>SUM(Depreciation!$D$48:K48)</f>
        <v>28016.811225978727</v>
      </c>
      <c r="L19" s="314">
        <f>SUM(Depreciation!$D$48:L48)</f>
        <v>31079.951167866031</v>
      </c>
      <c r="M19" s="314">
        <f>SUM(Depreciation!$D$48:M48)</f>
        <v>34143.091109753339</v>
      </c>
      <c r="N19" s="314">
        <f>SUM(Depreciation!$D$48:N48)</f>
        <v>37206.231051640643</v>
      </c>
      <c r="O19" s="314">
        <f>SUM(Depreciation!$D$48:O48)</f>
        <v>40269.370993527948</v>
      </c>
      <c r="P19" s="314">
        <f>SUM(Depreciation!$D$48:P48)</f>
        <v>43332.510935415252</v>
      </c>
      <c r="Q19" s="314">
        <f>SUM(Depreciation!$D$48:Q48)</f>
        <v>46395.650877302556</v>
      </c>
      <c r="R19" s="314">
        <f>SUM(Depreciation!$D$48:R48)</f>
        <v>49458.79081918986</v>
      </c>
      <c r="S19" s="314">
        <f>SUM(Depreciation!$D$48:S48)</f>
        <v>52521.930761077165</v>
      </c>
      <c r="T19" s="314">
        <f>SUM(Depreciation!$D$48:T48)</f>
        <v>55585.070702964469</v>
      </c>
      <c r="U19" s="314">
        <f>SUM(Depreciation!$D$48:U48)</f>
        <v>58648.210644851773</v>
      </c>
      <c r="V19" s="314">
        <f>SUM(Depreciation!$D$48:V48)</f>
        <v>61711.350586739078</v>
      </c>
      <c r="W19" s="314">
        <f>SUM(Depreciation!$D$48:W48)</f>
        <v>64774.490528626382</v>
      </c>
      <c r="X19" s="314">
        <f>SUM(Depreciation!$D$48:X48)</f>
        <v>67837.630470513686</v>
      </c>
      <c r="Y19" s="314">
        <f>SUM(Depreciation!$D$48:Y48)</f>
        <v>70900.770412400991</v>
      </c>
      <c r="Z19" s="314">
        <f>SUM(Depreciation!$D$48:Z48)</f>
        <v>73963.910354288295</v>
      </c>
      <c r="AA19" s="314">
        <f>SUM(Depreciation!$D$48:AA48)</f>
        <v>77027.050296175599</v>
      </c>
      <c r="AB19" s="314">
        <f>SUM(Depreciation!$D$48:AB48)</f>
        <v>80090.190238062904</v>
      </c>
      <c r="AC19" s="314">
        <f>SUM(Depreciation!$D$48:AC48)</f>
        <v>83153.330179950208</v>
      </c>
      <c r="AD19" s="314">
        <f>SUM(Depreciation!$D$48:AD48)</f>
        <v>86216.470121837512</v>
      </c>
      <c r="AE19" s="314">
        <f>SUM(Depreciation!$D$48:AE48)</f>
        <v>89279.610063724816</v>
      </c>
      <c r="AF19" s="314">
        <f>SUM(Depreciation!$D$48:AF48)</f>
        <v>92342.750005612121</v>
      </c>
      <c r="AG19" s="314">
        <f>SUM(Depreciation!$D$48:AG48)</f>
        <v>95405.889947499425</v>
      </c>
      <c r="AH19" s="314">
        <f>SUM(Depreciation!$D$48:AH48)</f>
        <v>96682.198256619129</v>
      </c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3"/>
      <c r="AX19" s="313"/>
      <c r="AY19" s="313"/>
      <c r="AZ19" s="313"/>
      <c r="BA19" s="313"/>
      <c r="BB19" s="313"/>
      <c r="BC19" s="313"/>
      <c r="BD19" s="313"/>
      <c r="BE19" s="313"/>
      <c r="BF19" s="313"/>
      <c r="BG19" s="313"/>
      <c r="BH19" s="313"/>
    </row>
    <row r="20" spans="1:60">
      <c r="A20" s="23" t="s">
        <v>149</v>
      </c>
      <c r="B20" s="13"/>
      <c r="C20" s="327">
        <f>C18-C19</f>
        <v>105868.66472957682</v>
      </c>
      <c r="D20" s="23">
        <f>D18-D19</f>
        <v>104547.23309680923</v>
      </c>
      <c r="E20" s="23">
        <f t="shared" ref="E20:AH20" si="2">E18-E19</f>
        <v>100526.49315492192</v>
      </c>
      <c r="F20" s="23">
        <f t="shared" si="2"/>
        <v>96505.753213034623</v>
      </c>
      <c r="G20" s="23">
        <f t="shared" si="2"/>
        <v>92485.013271147312</v>
      </c>
      <c r="H20" s="23">
        <f t="shared" si="2"/>
        <v>88464.273329260002</v>
      </c>
      <c r="I20" s="23">
        <f t="shared" si="2"/>
        <v>85002.133387372698</v>
      </c>
      <c r="J20" s="23">
        <f t="shared" si="2"/>
        <v>81938.993445485394</v>
      </c>
      <c r="K20" s="23">
        <f t="shared" si="2"/>
        <v>78875.853503598089</v>
      </c>
      <c r="L20" s="23">
        <f t="shared" si="2"/>
        <v>75812.713561710785</v>
      </c>
      <c r="M20" s="23">
        <f t="shared" si="2"/>
        <v>72749.573619823481</v>
      </c>
      <c r="N20" s="23">
        <f t="shared" si="2"/>
        <v>69686.433677936177</v>
      </c>
      <c r="O20" s="23">
        <f t="shared" si="2"/>
        <v>66623.293736048872</v>
      </c>
      <c r="P20" s="23">
        <f t="shared" si="2"/>
        <v>63560.153794161568</v>
      </c>
      <c r="Q20" s="23">
        <f t="shared" si="2"/>
        <v>60497.013852274264</v>
      </c>
      <c r="R20" s="23">
        <f t="shared" si="2"/>
        <v>57433.873910386959</v>
      </c>
      <c r="S20" s="23">
        <f t="shared" si="2"/>
        <v>54370.733968499655</v>
      </c>
      <c r="T20" s="23">
        <f t="shared" si="2"/>
        <v>51307.594026612351</v>
      </c>
      <c r="U20" s="23">
        <f t="shared" si="2"/>
        <v>48244.454084725046</v>
      </c>
      <c r="V20" s="23">
        <f t="shared" si="2"/>
        <v>45181.314142837742</v>
      </c>
      <c r="W20" s="23">
        <f t="shared" si="2"/>
        <v>42118.174200950438</v>
      </c>
      <c r="X20" s="23">
        <f t="shared" si="2"/>
        <v>39055.034259063134</v>
      </c>
      <c r="Y20" s="23">
        <f t="shared" si="2"/>
        <v>35991.894317175829</v>
      </c>
      <c r="Z20" s="23">
        <f t="shared" si="2"/>
        <v>32928.754375288525</v>
      </c>
      <c r="AA20" s="23">
        <f t="shared" si="2"/>
        <v>29865.614433401221</v>
      </c>
      <c r="AB20" s="23">
        <f t="shared" si="2"/>
        <v>26802.474491513916</v>
      </c>
      <c r="AC20" s="23">
        <f t="shared" si="2"/>
        <v>23739.334549626612</v>
      </c>
      <c r="AD20" s="23">
        <f t="shared" si="2"/>
        <v>20676.194607739308</v>
      </c>
      <c r="AE20" s="23">
        <f t="shared" si="2"/>
        <v>17613.054665852003</v>
      </c>
      <c r="AF20" s="23">
        <f t="shared" si="2"/>
        <v>14549.914723964699</v>
      </c>
      <c r="AG20" s="23">
        <f t="shared" si="2"/>
        <v>11486.774782077395</v>
      </c>
      <c r="AH20" s="23">
        <f t="shared" si="2"/>
        <v>10210.466472957691</v>
      </c>
      <c r="AI20" s="313"/>
      <c r="AJ20" s="313"/>
      <c r="AK20" s="313"/>
      <c r="AL20" s="313"/>
      <c r="AM20" s="313"/>
      <c r="AN20" s="313"/>
      <c r="AO20" s="313"/>
      <c r="AP20" s="313"/>
      <c r="AQ20" s="313"/>
      <c r="AR20" s="313"/>
      <c r="AS20" s="313"/>
      <c r="AT20" s="313"/>
      <c r="AU20" s="313"/>
      <c r="AV20" s="313"/>
      <c r="AW20" s="313"/>
      <c r="AX20" s="313"/>
      <c r="AY20" s="313"/>
      <c r="AZ20" s="313"/>
      <c r="BA20" s="313"/>
      <c r="BB20" s="313"/>
      <c r="BC20" s="313"/>
      <c r="BD20" s="313"/>
      <c r="BE20" s="313"/>
      <c r="BF20" s="313"/>
      <c r="BG20" s="313"/>
      <c r="BH20" s="313"/>
    </row>
    <row r="21" spans="1:60">
      <c r="A21" s="23"/>
      <c r="B21" s="13"/>
      <c r="C21" s="327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13"/>
      <c r="AJ21" s="313"/>
      <c r="AK21" s="313"/>
      <c r="AL21" s="313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3"/>
      <c r="AX21" s="313"/>
      <c r="AY21" s="313"/>
      <c r="AZ21" s="313"/>
      <c r="BA21" s="313"/>
      <c r="BB21" s="313"/>
      <c r="BC21" s="313"/>
      <c r="BD21" s="313"/>
      <c r="BE21" s="313"/>
      <c r="BF21" s="313"/>
      <c r="BG21" s="313"/>
      <c r="BH21" s="313"/>
    </row>
    <row r="22" spans="1:60">
      <c r="A22" s="23" t="s">
        <v>150</v>
      </c>
      <c r="B22" s="13"/>
      <c r="C22" s="324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  <c r="AS22" s="313"/>
      <c r="AT22" s="313"/>
      <c r="AU22" s="313"/>
      <c r="AV22" s="313"/>
      <c r="AW22" s="313"/>
      <c r="AX22" s="313"/>
      <c r="AY22" s="313"/>
      <c r="AZ22" s="313"/>
      <c r="BA22" s="313"/>
      <c r="BB22" s="313"/>
      <c r="BC22" s="313"/>
      <c r="BD22" s="313"/>
      <c r="BE22" s="313"/>
      <c r="BF22" s="313"/>
      <c r="BG22" s="313"/>
      <c r="BH22" s="313"/>
    </row>
    <row r="23" spans="1:60">
      <c r="A23" s="23" t="s">
        <v>151</v>
      </c>
      <c r="B23" s="13"/>
      <c r="C23" s="328">
        <v>0</v>
      </c>
      <c r="D23" s="315">
        <v>0</v>
      </c>
      <c r="E23" s="315">
        <v>0</v>
      </c>
      <c r="F23" s="315">
        <v>0</v>
      </c>
      <c r="G23" s="315">
        <v>0</v>
      </c>
      <c r="H23" s="315">
        <v>0</v>
      </c>
      <c r="I23" s="315">
        <v>0</v>
      </c>
      <c r="J23" s="315">
        <v>0</v>
      </c>
      <c r="K23" s="315">
        <v>0</v>
      </c>
      <c r="L23" s="315">
        <v>0</v>
      </c>
      <c r="M23" s="315">
        <v>0</v>
      </c>
      <c r="N23" s="315">
        <v>0</v>
      </c>
      <c r="O23" s="315">
        <v>0</v>
      </c>
      <c r="P23" s="315">
        <v>0</v>
      </c>
      <c r="Q23" s="315">
        <v>0</v>
      </c>
      <c r="R23" s="315">
        <v>0</v>
      </c>
      <c r="S23" s="315">
        <v>0</v>
      </c>
      <c r="T23" s="315">
        <v>0</v>
      </c>
      <c r="U23" s="315">
        <v>0</v>
      </c>
      <c r="V23" s="315">
        <v>0</v>
      </c>
      <c r="W23" s="315">
        <v>0</v>
      </c>
      <c r="X23" s="315">
        <v>0</v>
      </c>
      <c r="Y23" s="315">
        <v>0</v>
      </c>
      <c r="Z23" s="315">
        <v>0</v>
      </c>
      <c r="AA23" s="315">
        <v>0</v>
      </c>
      <c r="AB23" s="315">
        <v>0</v>
      </c>
      <c r="AC23" s="315">
        <v>0</v>
      </c>
      <c r="AD23" s="315">
        <v>0</v>
      </c>
      <c r="AE23" s="315">
        <v>0</v>
      </c>
      <c r="AF23" s="315">
        <v>0</v>
      </c>
      <c r="AG23" s="315">
        <v>0</v>
      </c>
      <c r="AH23" s="315">
        <v>0</v>
      </c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  <c r="AS23" s="313"/>
      <c r="AT23" s="313"/>
      <c r="AU23" s="313"/>
      <c r="AV23" s="313"/>
      <c r="AW23" s="313"/>
      <c r="AX23" s="313"/>
      <c r="AY23" s="313"/>
      <c r="AZ23" s="313"/>
      <c r="BA23" s="313"/>
      <c r="BB23" s="313"/>
      <c r="BC23" s="313"/>
      <c r="BD23" s="313"/>
      <c r="BE23" s="313"/>
      <c r="BF23" s="313"/>
      <c r="BG23" s="313"/>
      <c r="BH23" s="313"/>
    </row>
    <row r="24" spans="1:60">
      <c r="A24" s="13"/>
      <c r="B24" s="13"/>
      <c r="C24" s="327"/>
      <c r="D24" s="23"/>
      <c r="E24" s="23"/>
      <c r="F24" s="316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151"/>
      <c r="AA24" s="151"/>
      <c r="AB24" s="313"/>
      <c r="AC24" s="313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  <c r="AS24" s="313"/>
      <c r="AT24" s="313"/>
      <c r="AU24" s="313"/>
      <c r="AV24" s="313"/>
      <c r="AW24" s="313"/>
      <c r="AX24" s="313"/>
      <c r="AY24" s="313"/>
      <c r="AZ24" s="313"/>
      <c r="BA24" s="313"/>
      <c r="BB24" s="313"/>
      <c r="BC24" s="313"/>
      <c r="BD24" s="313"/>
      <c r="BE24" s="313"/>
      <c r="BF24" s="313"/>
      <c r="BG24" s="313"/>
      <c r="BH24" s="313"/>
    </row>
    <row r="25" spans="1:60">
      <c r="A25" s="134" t="s">
        <v>152</v>
      </c>
      <c r="B25" s="13"/>
      <c r="C25" s="327">
        <f>SUM(C16,C20,C22,C23)</f>
        <v>105868.66472957682</v>
      </c>
      <c r="D25" s="23">
        <f>SUM(D16,D20,D22,D23)</f>
        <v>104547.23309680923</v>
      </c>
      <c r="E25" s="23">
        <f t="shared" ref="E25:AH25" si="3">SUM(E16,E20,E22,E23)</f>
        <v>100526.49315492192</v>
      </c>
      <c r="F25" s="23">
        <f t="shared" si="3"/>
        <v>96505.753213034623</v>
      </c>
      <c r="G25" s="23">
        <f t="shared" si="3"/>
        <v>92485.013271147312</v>
      </c>
      <c r="H25" s="23">
        <f t="shared" si="3"/>
        <v>88464.273329260002</v>
      </c>
      <c r="I25" s="23">
        <f t="shared" si="3"/>
        <v>85002.133387372698</v>
      </c>
      <c r="J25" s="23">
        <f t="shared" si="3"/>
        <v>81938.993445485394</v>
      </c>
      <c r="K25" s="23">
        <f t="shared" si="3"/>
        <v>78875.853503598089</v>
      </c>
      <c r="L25" s="23">
        <f t="shared" si="3"/>
        <v>75812.713561710785</v>
      </c>
      <c r="M25" s="23">
        <f t="shared" si="3"/>
        <v>72749.573619823481</v>
      </c>
      <c r="N25" s="23">
        <f t="shared" si="3"/>
        <v>69686.433677936177</v>
      </c>
      <c r="O25" s="23">
        <f t="shared" si="3"/>
        <v>66623.293736048872</v>
      </c>
      <c r="P25" s="23">
        <f t="shared" si="3"/>
        <v>63560.153794161568</v>
      </c>
      <c r="Q25" s="23">
        <f t="shared" si="3"/>
        <v>60497.013852274264</v>
      </c>
      <c r="R25" s="23">
        <f t="shared" si="3"/>
        <v>57433.873910386959</v>
      </c>
      <c r="S25" s="23">
        <f t="shared" si="3"/>
        <v>54370.733968499655</v>
      </c>
      <c r="T25" s="23">
        <f t="shared" si="3"/>
        <v>51307.594026612351</v>
      </c>
      <c r="U25" s="23">
        <f t="shared" si="3"/>
        <v>48244.454084725046</v>
      </c>
      <c r="V25" s="23">
        <f t="shared" si="3"/>
        <v>45181.314142837742</v>
      </c>
      <c r="W25" s="23">
        <f t="shared" si="3"/>
        <v>42118.174200950438</v>
      </c>
      <c r="X25" s="23">
        <f t="shared" si="3"/>
        <v>39055.034259063134</v>
      </c>
      <c r="Y25" s="23">
        <f t="shared" si="3"/>
        <v>35991.894317175829</v>
      </c>
      <c r="Z25" s="23">
        <f t="shared" si="3"/>
        <v>32928.754375288525</v>
      </c>
      <c r="AA25" s="23">
        <f t="shared" si="3"/>
        <v>29865.614433401221</v>
      </c>
      <c r="AB25" s="23">
        <f t="shared" si="3"/>
        <v>26802.474491513916</v>
      </c>
      <c r="AC25" s="23">
        <f t="shared" si="3"/>
        <v>23739.334549626612</v>
      </c>
      <c r="AD25" s="23">
        <f t="shared" si="3"/>
        <v>20676.194607739308</v>
      </c>
      <c r="AE25" s="23">
        <f t="shared" si="3"/>
        <v>17613.054665852003</v>
      </c>
      <c r="AF25" s="23">
        <f t="shared" si="3"/>
        <v>14549.914723964699</v>
      </c>
      <c r="AG25" s="23">
        <f t="shared" si="3"/>
        <v>11486.774782077395</v>
      </c>
      <c r="AH25" s="23">
        <f t="shared" si="3"/>
        <v>10210.466472957691</v>
      </c>
      <c r="AI25" s="313"/>
      <c r="AJ25" s="313"/>
      <c r="AK25" s="313"/>
      <c r="AL25" s="313"/>
      <c r="AM25" s="313"/>
      <c r="AN25" s="313"/>
      <c r="AO25" s="313"/>
      <c r="AP25" s="313"/>
      <c r="AQ25" s="313"/>
      <c r="AR25" s="313"/>
      <c r="AS25" s="313"/>
      <c r="AT25" s="313"/>
      <c r="AU25" s="313"/>
      <c r="AV25" s="313"/>
      <c r="AW25" s="313"/>
      <c r="AX25" s="313"/>
      <c r="AY25" s="313"/>
      <c r="AZ25" s="313"/>
      <c r="BA25" s="313"/>
      <c r="BB25" s="313"/>
      <c r="BC25" s="313"/>
      <c r="BD25" s="313"/>
      <c r="BE25" s="313"/>
      <c r="BF25" s="313"/>
      <c r="BG25" s="313"/>
      <c r="BH25" s="313"/>
    </row>
    <row r="26" spans="1:60">
      <c r="A26" s="13"/>
      <c r="B26" s="13"/>
      <c r="C26" s="327"/>
      <c r="D26" s="23"/>
      <c r="E26" s="23"/>
      <c r="F26" s="316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151"/>
      <c r="AA26" s="151"/>
      <c r="AB26" s="313"/>
      <c r="AC26" s="313"/>
      <c r="AD26" s="313"/>
      <c r="AE26" s="313"/>
      <c r="AF26" s="313"/>
      <c r="AG26" s="313"/>
      <c r="AH26" s="313"/>
      <c r="AI26" s="313"/>
      <c r="AJ26" s="313"/>
      <c r="AK26" s="313"/>
      <c r="AL26" s="313"/>
      <c r="AM26" s="313"/>
      <c r="AN26" s="313"/>
      <c r="AO26" s="313"/>
      <c r="AP26" s="313"/>
      <c r="AQ26" s="313"/>
      <c r="AR26" s="313"/>
      <c r="AS26" s="313"/>
      <c r="AT26" s="313"/>
      <c r="AU26" s="313"/>
      <c r="AV26" s="313"/>
      <c r="AW26" s="313"/>
      <c r="AX26" s="313"/>
      <c r="AY26" s="313"/>
      <c r="AZ26" s="313"/>
      <c r="BA26" s="313"/>
      <c r="BB26" s="313"/>
      <c r="BC26" s="313"/>
      <c r="BD26" s="313"/>
      <c r="BE26" s="313"/>
      <c r="BF26" s="313"/>
      <c r="BG26" s="313"/>
      <c r="BH26" s="313"/>
    </row>
    <row r="27" spans="1:60">
      <c r="A27" s="13"/>
      <c r="B27" s="13"/>
      <c r="C27" s="327"/>
      <c r="D27" s="23"/>
      <c r="E27" s="23"/>
      <c r="F27" s="316"/>
      <c r="G27" s="313"/>
      <c r="H27" s="313"/>
      <c r="I27" s="313"/>
      <c r="J27" s="313"/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151"/>
      <c r="AA27" s="151"/>
      <c r="AB27" s="313"/>
      <c r="AC27" s="313"/>
      <c r="AD27" s="313"/>
      <c r="AE27" s="313"/>
      <c r="AF27" s="313"/>
      <c r="AG27" s="313"/>
      <c r="AH27" s="313"/>
      <c r="AI27" s="313"/>
      <c r="AJ27" s="313"/>
      <c r="AK27" s="313"/>
      <c r="AL27" s="313"/>
      <c r="AM27" s="313"/>
      <c r="AN27" s="313"/>
      <c r="AO27" s="313"/>
      <c r="AP27" s="313"/>
      <c r="AQ27" s="313"/>
      <c r="AR27" s="313"/>
      <c r="AS27" s="313"/>
      <c r="AT27" s="313"/>
      <c r="AU27" s="313"/>
      <c r="AV27" s="313"/>
      <c r="AW27" s="313"/>
      <c r="AX27" s="313"/>
      <c r="AY27" s="313"/>
      <c r="AZ27" s="313"/>
      <c r="BA27" s="313"/>
      <c r="BB27" s="313"/>
      <c r="BC27" s="313"/>
      <c r="BD27" s="313"/>
      <c r="BE27" s="313"/>
      <c r="BF27" s="313"/>
      <c r="BG27" s="313"/>
      <c r="BH27" s="313"/>
    </row>
    <row r="28" spans="1:60">
      <c r="A28" s="134" t="s">
        <v>153</v>
      </c>
      <c r="B28" s="13"/>
      <c r="C28" s="327"/>
      <c r="D28" s="23"/>
      <c r="E28" s="23"/>
      <c r="F28" s="316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151"/>
      <c r="AA28" s="151"/>
      <c r="AB28" s="313"/>
      <c r="AC28" s="313"/>
      <c r="AD28" s="313"/>
      <c r="AE28" s="313"/>
      <c r="AF28" s="313"/>
      <c r="AG28" s="313"/>
      <c r="AH28" s="313"/>
      <c r="AI28" s="313"/>
      <c r="AJ28" s="313"/>
      <c r="AK28" s="313"/>
      <c r="AL28" s="313"/>
      <c r="AM28" s="313"/>
      <c r="AN28" s="313"/>
      <c r="AO28" s="313"/>
      <c r="AP28" s="313"/>
      <c r="AQ28" s="313"/>
      <c r="AR28" s="313"/>
      <c r="AS28" s="313"/>
      <c r="AT28" s="313"/>
      <c r="AU28" s="313"/>
      <c r="AV28" s="313"/>
      <c r="AW28" s="313"/>
      <c r="AX28" s="313"/>
      <c r="AY28" s="313"/>
      <c r="AZ28" s="313"/>
      <c r="BA28" s="313"/>
      <c r="BB28" s="313"/>
      <c r="BC28" s="313"/>
      <c r="BD28" s="313"/>
      <c r="BE28" s="313"/>
      <c r="BF28" s="313"/>
      <c r="BG28" s="313"/>
      <c r="BH28" s="313"/>
    </row>
    <row r="29" spans="1:60">
      <c r="A29" s="134"/>
      <c r="B29" s="13"/>
      <c r="C29" s="327"/>
      <c r="D29" s="23"/>
      <c r="E29" s="23"/>
      <c r="F29" s="316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151"/>
      <c r="AA29" s="151"/>
      <c r="AB29" s="313"/>
      <c r="AC29" s="313"/>
      <c r="AD29" s="313"/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3"/>
      <c r="AQ29" s="313"/>
      <c r="AR29" s="313"/>
      <c r="AS29" s="313"/>
      <c r="AT29" s="313"/>
      <c r="AU29" s="313"/>
      <c r="AV29" s="313"/>
      <c r="AW29" s="313"/>
      <c r="AX29" s="313"/>
      <c r="AY29" s="313"/>
      <c r="AZ29" s="313"/>
      <c r="BA29" s="313"/>
      <c r="BB29" s="313"/>
      <c r="BC29" s="313"/>
      <c r="BD29" s="313"/>
      <c r="BE29" s="313"/>
      <c r="BF29" s="313"/>
      <c r="BG29" s="313"/>
      <c r="BH29" s="313"/>
    </row>
    <row r="30" spans="1:60">
      <c r="A30" s="23" t="s">
        <v>154</v>
      </c>
      <c r="C30" s="324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13"/>
      <c r="AJ30" s="313"/>
      <c r="AK30" s="313"/>
      <c r="AL30" s="313"/>
      <c r="AM30" s="313"/>
      <c r="AN30" s="313"/>
      <c r="AO30" s="313"/>
      <c r="AP30" s="313"/>
      <c r="AQ30" s="313"/>
      <c r="AR30" s="313"/>
      <c r="AS30" s="313"/>
      <c r="AT30" s="313"/>
      <c r="AU30" s="313"/>
      <c r="AV30" s="313"/>
      <c r="AW30" s="313"/>
      <c r="AX30" s="313"/>
      <c r="AY30" s="313"/>
      <c r="AZ30" s="313"/>
      <c r="BA30" s="313"/>
      <c r="BB30" s="313"/>
      <c r="BC30" s="313"/>
      <c r="BD30" s="313"/>
      <c r="BE30" s="313"/>
      <c r="BF30" s="313"/>
      <c r="BG30" s="313"/>
      <c r="BH30" s="313"/>
    </row>
    <row r="31" spans="1:60">
      <c r="A31" s="23" t="s">
        <v>155</v>
      </c>
      <c r="C31" s="324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  <c r="AS31" s="313"/>
      <c r="AT31" s="313"/>
      <c r="AU31" s="313"/>
      <c r="AV31" s="313"/>
      <c r="AW31" s="313"/>
      <c r="AX31" s="313"/>
      <c r="AY31" s="313"/>
      <c r="AZ31" s="313"/>
      <c r="BA31" s="313"/>
      <c r="BB31" s="313"/>
      <c r="BC31" s="313"/>
      <c r="BD31" s="313"/>
      <c r="BE31" s="313"/>
      <c r="BF31" s="313"/>
      <c r="BG31" s="313"/>
      <c r="BH31" s="313"/>
    </row>
    <row r="32" spans="1:60">
      <c r="A32" s="23" t="s">
        <v>156</v>
      </c>
      <c r="C32" s="327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13"/>
      <c r="AJ32" s="313"/>
      <c r="AK32" s="313"/>
      <c r="AL32" s="313"/>
      <c r="AM32" s="313"/>
      <c r="AN32" s="313"/>
      <c r="AO32" s="313"/>
      <c r="AP32" s="313"/>
      <c r="AQ32" s="313"/>
      <c r="AR32" s="313"/>
      <c r="AS32" s="313"/>
      <c r="AT32" s="313"/>
      <c r="AU32" s="313"/>
      <c r="AV32" s="313"/>
      <c r="AW32" s="313"/>
      <c r="AX32" s="313"/>
      <c r="AY32" s="313"/>
      <c r="AZ32" s="313"/>
      <c r="BA32" s="313"/>
      <c r="BB32" s="313"/>
      <c r="BC32" s="313"/>
      <c r="BD32" s="313"/>
      <c r="BE32" s="313"/>
      <c r="BF32" s="313"/>
      <c r="BG32" s="313"/>
      <c r="BH32" s="313"/>
    </row>
    <row r="33" spans="1:60">
      <c r="A33" s="23" t="s">
        <v>157</v>
      </c>
      <c r="C33" s="324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13"/>
      <c r="AJ33" s="313"/>
      <c r="AK33" s="313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3"/>
      <c r="AY33" s="313"/>
      <c r="AZ33" s="313"/>
      <c r="BA33" s="313"/>
      <c r="BB33" s="313"/>
      <c r="BC33" s="313"/>
      <c r="BD33" s="313"/>
      <c r="BE33" s="313"/>
      <c r="BF33" s="313"/>
      <c r="BG33" s="313"/>
      <c r="BH33" s="313"/>
    </row>
    <row r="34" spans="1:60">
      <c r="A34" s="23" t="s">
        <v>158</v>
      </c>
      <c r="C34" s="327">
        <f>Assumptions!C12</f>
        <v>76645.682528245845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  <c r="AS34" s="313"/>
      <c r="AT34" s="313"/>
      <c r="AU34" s="313"/>
      <c r="AV34" s="313"/>
      <c r="AW34" s="313"/>
      <c r="AX34" s="313"/>
      <c r="AY34" s="313"/>
      <c r="AZ34" s="313"/>
      <c r="BA34" s="313"/>
      <c r="BB34" s="313"/>
      <c r="BC34" s="313"/>
      <c r="BD34" s="313"/>
      <c r="BE34" s="313"/>
      <c r="BF34" s="313"/>
      <c r="BG34" s="313"/>
      <c r="BH34" s="313"/>
    </row>
    <row r="35" spans="1:60">
      <c r="A35" s="23" t="s">
        <v>159</v>
      </c>
      <c r="C35" s="326">
        <v>0</v>
      </c>
      <c r="D35" s="314">
        <v>0</v>
      </c>
      <c r="E35" s="314">
        <v>0</v>
      </c>
      <c r="F35" s="317">
        <v>0</v>
      </c>
      <c r="G35" s="318">
        <v>0</v>
      </c>
      <c r="H35" s="318">
        <v>0</v>
      </c>
      <c r="I35" s="318">
        <v>0</v>
      </c>
      <c r="J35" s="318">
        <v>0</v>
      </c>
      <c r="K35" s="318">
        <v>0</v>
      </c>
      <c r="L35" s="318">
        <v>0</v>
      </c>
      <c r="M35" s="318">
        <v>0</v>
      </c>
      <c r="N35" s="318">
        <v>0</v>
      </c>
      <c r="O35" s="318">
        <v>0</v>
      </c>
      <c r="P35" s="318">
        <v>0</v>
      </c>
      <c r="Q35" s="318">
        <v>0</v>
      </c>
      <c r="R35" s="318">
        <v>0</v>
      </c>
      <c r="S35" s="318">
        <v>0</v>
      </c>
      <c r="T35" s="318">
        <v>0</v>
      </c>
      <c r="U35" s="318">
        <v>0</v>
      </c>
      <c r="V35" s="318">
        <v>0</v>
      </c>
      <c r="W35" s="318">
        <v>0</v>
      </c>
      <c r="X35" s="318">
        <v>0</v>
      </c>
      <c r="Y35" s="318">
        <v>0</v>
      </c>
      <c r="Z35" s="319">
        <v>0</v>
      </c>
      <c r="AA35" s="319">
        <v>0</v>
      </c>
      <c r="AB35" s="318">
        <v>0</v>
      </c>
      <c r="AC35" s="318">
        <v>0</v>
      </c>
      <c r="AD35" s="318">
        <v>0</v>
      </c>
      <c r="AE35" s="318">
        <v>0</v>
      </c>
      <c r="AF35" s="318">
        <v>0</v>
      </c>
      <c r="AG35" s="318">
        <v>0</v>
      </c>
      <c r="AH35" s="318">
        <v>0</v>
      </c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  <c r="AS35" s="313"/>
      <c r="AT35" s="313"/>
      <c r="AU35" s="313"/>
      <c r="AV35" s="313"/>
      <c r="AW35" s="313"/>
      <c r="AX35" s="313"/>
      <c r="AY35" s="313"/>
      <c r="AZ35" s="313"/>
      <c r="BA35" s="313"/>
      <c r="BB35" s="313"/>
      <c r="BC35" s="313"/>
      <c r="BD35" s="313"/>
      <c r="BE35" s="313"/>
      <c r="BF35" s="313"/>
      <c r="BG35" s="313"/>
      <c r="BH35" s="313"/>
    </row>
    <row r="36" spans="1:60">
      <c r="A36" s="23"/>
      <c r="C36" s="327"/>
      <c r="D36" s="23"/>
      <c r="E36" s="23"/>
      <c r="F36" s="316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151"/>
      <c r="AA36" s="151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3"/>
      <c r="AQ36" s="313"/>
      <c r="AR36" s="313"/>
      <c r="AS36" s="313"/>
      <c r="AT36" s="313"/>
      <c r="AU36" s="313"/>
      <c r="AV36" s="313"/>
      <c r="AW36" s="313"/>
      <c r="AX36" s="313"/>
      <c r="AY36" s="313"/>
      <c r="AZ36" s="313"/>
      <c r="BA36" s="313"/>
      <c r="BB36" s="313"/>
      <c r="BC36" s="313"/>
      <c r="BD36" s="313"/>
      <c r="BE36" s="313"/>
      <c r="BF36" s="313"/>
      <c r="BG36" s="313"/>
      <c r="BH36" s="313"/>
    </row>
    <row r="37" spans="1:60">
      <c r="A37" s="134" t="s">
        <v>160</v>
      </c>
      <c r="B37" s="13"/>
      <c r="C37" s="327">
        <f>SUM(C30:C35)</f>
        <v>76645.682528245845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13"/>
      <c r="AJ37" s="313"/>
      <c r="AK37" s="313"/>
      <c r="AL37" s="313"/>
      <c r="AM37" s="313"/>
      <c r="AN37" s="313"/>
      <c r="AO37" s="313"/>
      <c r="AP37" s="313"/>
      <c r="AQ37" s="313"/>
      <c r="AR37" s="313"/>
      <c r="AS37" s="313"/>
      <c r="AT37" s="313"/>
      <c r="AU37" s="313"/>
      <c r="AV37" s="313"/>
      <c r="AW37" s="313"/>
      <c r="AX37" s="313"/>
      <c r="AY37" s="313"/>
      <c r="AZ37" s="313"/>
      <c r="BA37" s="313"/>
      <c r="BB37" s="313"/>
      <c r="BC37" s="313"/>
      <c r="BD37" s="313"/>
      <c r="BE37" s="313"/>
      <c r="BF37" s="313"/>
      <c r="BG37" s="313"/>
      <c r="BH37" s="313"/>
    </row>
    <row r="38" spans="1:60">
      <c r="A38" s="23"/>
      <c r="B38" s="13"/>
      <c r="C38" s="327"/>
      <c r="D38" s="23"/>
      <c r="E38" s="23"/>
      <c r="F38" s="316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13"/>
      <c r="Z38" s="151"/>
      <c r="AA38" s="151"/>
      <c r="AB38" s="313"/>
      <c r="AC38" s="313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  <c r="AS38" s="313"/>
      <c r="AT38" s="313"/>
      <c r="AU38" s="313"/>
      <c r="AV38" s="313"/>
      <c r="AW38" s="313"/>
      <c r="AX38" s="313"/>
      <c r="AY38" s="313"/>
      <c r="AZ38" s="313"/>
      <c r="BA38" s="313"/>
      <c r="BB38" s="313"/>
      <c r="BC38" s="313"/>
      <c r="BD38" s="313"/>
      <c r="BE38" s="313"/>
      <c r="BF38" s="313"/>
      <c r="BG38" s="313"/>
      <c r="BH38" s="313"/>
    </row>
    <row r="39" spans="1:60">
      <c r="A39" s="134" t="s">
        <v>161</v>
      </c>
      <c r="B39" s="13"/>
      <c r="C39" s="327"/>
      <c r="D39" s="23"/>
      <c r="E39" s="23"/>
      <c r="F39" s="316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13"/>
      <c r="Y39" s="313"/>
      <c r="Z39" s="151"/>
      <c r="AA39" s="151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</row>
    <row r="40" spans="1:60">
      <c r="A40" s="134"/>
      <c r="B40" s="13"/>
      <c r="C40" s="327"/>
      <c r="D40" s="23"/>
      <c r="E40" s="23"/>
      <c r="F40" s="316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151"/>
      <c r="AA40" s="151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  <c r="AS40" s="313"/>
      <c r="AT40" s="313"/>
      <c r="AU40" s="313"/>
      <c r="AV40" s="313"/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</row>
    <row r="41" spans="1:60">
      <c r="A41" s="23" t="s">
        <v>162</v>
      </c>
      <c r="C41" s="327">
        <f>Assumptions!$C$11</f>
        <v>29222.982201330975</v>
      </c>
      <c r="D41" s="23">
        <f>Assumptions!$C$11</f>
        <v>29222.982201330975</v>
      </c>
      <c r="E41" s="23">
        <f>Assumptions!$C$11</f>
        <v>29222.982201330975</v>
      </c>
      <c r="F41" s="23">
        <f>Assumptions!$C$11</f>
        <v>29222.982201330975</v>
      </c>
      <c r="G41" s="23">
        <f>Assumptions!$C$11</f>
        <v>29222.982201330975</v>
      </c>
      <c r="H41" s="23">
        <f>Assumptions!$C$11</f>
        <v>29222.982201330975</v>
      </c>
      <c r="I41" s="23">
        <f>Assumptions!$C$11</f>
        <v>29222.982201330975</v>
      </c>
      <c r="J41" s="23">
        <f>Assumptions!$C$11</f>
        <v>29222.982201330975</v>
      </c>
      <c r="K41" s="23">
        <f>Assumptions!$C$11</f>
        <v>29222.982201330975</v>
      </c>
      <c r="L41" s="23">
        <f>Assumptions!$C$11</f>
        <v>29222.982201330975</v>
      </c>
      <c r="M41" s="23">
        <f>Assumptions!$C$11</f>
        <v>29222.982201330975</v>
      </c>
      <c r="N41" s="23">
        <f>Assumptions!$C$11</f>
        <v>29222.982201330975</v>
      </c>
      <c r="O41" s="23">
        <f>Assumptions!$C$11</f>
        <v>29222.982201330975</v>
      </c>
      <c r="P41" s="23">
        <f>Assumptions!$C$11</f>
        <v>29222.982201330975</v>
      </c>
      <c r="Q41" s="23">
        <f>Assumptions!$C$11</f>
        <v>29222.982201330975</v>
      </c>
      <c r="R41" s="23">
        <f>Assumptions!$C$11</f>
        <v>29222.982201330975</v>
      </c>
      <c r="S41" s="23">
        <f>Assumptions!$C$11</f>
        <v>29222.982201330975</v>
      </c>
      <c r="T41" s="23">
        <f>Assumptions!$C$11</f>
        <v>29222.982201330975</v>
      </c>
      <c r="U41" s="23">
        <f>Assumptions!$C$11</f>
        <v>29222.982201330975</v>
      </c>
      <c r="V41" s="23">
        <f>Assumptions!$C$11</f>
        <v>29222.982201330975</v>
      </c>
      <c r="W41" s="23">
        <f>Assumptions!$C$11</f>
        <v>29222.982201330975</v>
      </c>
      <c r="X41" s="23">
        <f>Assumptions!$C$11</f>
        <v>29222.982201330975</v>
      </c>
      <c r="Y41" s="23">
        <f>Assumptions!$C$11</f>
        <v>29222.982201330975</v>
      </c>
      <c r="Z41" s="23">
        <f>Assumptions!$C$11</f>
        <v>29222.982201330975</v>
      </c>
      <c r="AA41" s="23">
        <f>Assumptions!$C$11</f>
        <v>29222.982201330975</v>
      </c>
      <c r="AB41" s="23">
        <f>Assumptions!$C$11</f>
        <v>29222.982201330975</v>
      </c>
      <c r="AC41" s="23">
        <f>Assumptions!$C$11</f>
        <v>29222.982201330975</v>
      </c>
      <c r="AD41" s="23">
        <f>Assumptions!$C$11</f>
        <v>29222.982201330975</v>
      </c>
      <c r="AE41" s="23">
        <f>Assumptions!$C$11</f>
        <v>29222.982201330975</v>
      </c>
      <c r="AF41" s="23">
        <f>Assumptions!$C$11</f>
        <v>29222.982201330975</v>
      </c>
      <c r="AG41" s="23">
        <f>Assumptions!$C$11</f>
        <v>29222.982201330975</v>
      </c>
      <c r="AH41" s="23">
        <f>Assumptions!$C$11</f>
        <v>29222.982201330975</v>
      </c>
      <c r="AI41" s="313"/>
      <c r="AJ41" s="313"/>
      <c r="AK41" s="313"/>
      <c r="AL41" s="313"/>
      <c r="AM41" s="313"/>
      <c r="AN41" s="313"/>
      <c r="AO41" s="313"/>
      <c r="AP41" s="313"/>
      <c r="AQ41" s="313"/>
      <c r="AR41" s="313"/>
      <c r="AS41" s="313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</row>
    <row r="42" spans="1:60">
      <c r="A42" s="23" t="s">
        <v>163</v>
      </c>
      <c r="C42" s="326" t="e">
        <f>IS!B45-'Returns Analysis'!#REF!</f>
        <v>#REF!</v>
      </c>
      <c r="D42" s="314" t="e">
        <f>IS!C45-'Returns Analysis'!#REF!</f>
        <v>#REF!</v>
      </c>
      <c r="E42" s="314" t="e">
        <f>IS!D45-'Returns Analysis'!#REF!</f>
        <v>#REF!</v>
      </c>
      <c r="F42" s="314" t="e">
        <f>IS!E45-'Returns Analysis'!#REF!</f>
        <v>#REF!</v>
      </c>
      <c r="G42" s="314" t="e">
        <f>IS!F45-'Returns Analysis'!#REF!</f>
        <v>#REF!</v>
      </c>
      <c r="H42" s="314" t="e">
        <f>IS!G45-'Returns Analysis'!#REF!</f>
        <v>#REF!</v>
      </c>
      <c r="I42" s="314" t="e">
        <f>IS!H45-'Returns Analysis'!#REF!</f>
        <v>#REF!</v>
      </c>
      <c r="J42" s="314" t="e">
        <f>IS!I45-'Returns Analysis'!#REF!</f>
        <v>#REF!</v>
      </c>
      <c r="K42" s="314" t="e">
        <f>IS!J45-'Returns Analysis'!#REF!</f>
        <v>#REF!</v>
      </c>
      <c r="L42" s="314" t="e">
        <f>IS!K45-'Returns Analysis'!#REF!</f>
        <v>#REF!</v>
      </c>
      <c r="M42" s="314" t="e">
        <f>IS!L45-'Returns Analysis'!#REF!</f>
        <v>#REF!</v>
      </c>
      <c r="N42" s="314" t="e">
        <f>IS!M45-'Returns Analysis'!#REF!</f>
        <v>#REF!</v>
      </c>
      <c r="O42" s="314" t="e">
        <f>IS!N45-'Returns Analysis'!#REF!</f>
        <v>#REF!</v>
      </c>
      <c r="P42" s="314" t="e">
        <f>IS!O45-'Returns Analysis'!#REF!</f>
        <v>#REF!</v>
      </c>
      <c r="Q42" s="314" t="e">
        <f>IS!P45-'Returns Analysis'!#REF!</f>
        <v>#REF!</v>
      </c>
      <c r="R42" s="314" t="e">
        <f>IS!Q45-'Returns Analysis'!#REF!</f>
        <v>#REF!</v>
      </c>
      <c r="S42" s="314" t="e">
        <f>IS!R45-'Returns Analysis'!#REF!</f>
        <v>#REF!</v>
      </c>
      <c r="T42" s="314" t="e">
        <f>IS!S45-'Returns Analysis'!#REF!</f>
        <v>#REF!</v>
      </c>
      <c r="U42" s="314" t="e">
        <f>IS!T45-'Returns Analysis'!#REF!</f>
        <v>#REF!</v>
      </c>
      <c r="V42" s="314" t="e">
        <f>IS!U45-'Returns Analysis'!#REF!</f>
        <v>#REF!</v>
      </c>
      <c r="W42" s="314" t="e">
        <f>IS!V45-'Returns Analysis'!#REF!</f>
        <v>#REF!</v>
      </c>
      <c r="X42" s="314" t="e">
        <f>IS!W45-'Returns Analysis'!#REF!</f>
        <v>#REF!</v>
      </c>
      <c r="Y42" s="314" t="e">
        <f>IS!X45-'Returns Analysis'!#REF!</f>
        <v>#REF!</v>
      </c>
      <c r="Z42" s="314" t="e">
        <f>IS!Y45-'Returns Analysis'!#REF!</f>
        <v>#REF!</v>
      </c>
      <c r="AA42" s="314" t="e">
        <f>IS!Z45-'Returns Analysis'!#REF!</f>
        <v>#REF!</v>
      </c>
      <c r="AB42" s="314" t="e">
        <f>IS!AA45-'Returns Analysis'!#REF!</f>
        <v>#REF!</v>
      </c>
      <c r="AC42" s="314" t="e">
        <f>IS!AB45-'Returns Analysis'!#REF!</f>
        <v>#REF!</v>
      </c>
      <c r="AD42" s="314" t="e">
        <f>IS!AC45-'Returns Analysis'!#REF!</f>
        <v>#REF!</v>
      </c>
      <c r="AE42" s="314" t="e">
        <f>IS!AD45-'Returns Analysis'!#REF!</f>
        <v>#REF!</v>
      </c>
      <c r="AF42" s="314" t="e">
        <f>IS!AE45-'Returns Analysis'!#REF!</f>
        <v>#REF!</v>
      </c>
      <c r="AG42" s="314" t="e">
        <f>IS!AF45-'Returns Analysis'!#REF!</f>
        <v>#REF!</v>
      </c>
      <c r="AH42" s="314" t="e">
        <f>IS!AG45-'Returns Analysis'!#REF!</f>
        <v>#REF!</v>
      </c>
      <c r="AI42" s="313"/>
      <c r="AJ42" s="313"/>
      <c r="AK42" s="313"/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H42" s="313"/>
    </row>
    <row r="43" spans="1:60">
      <c r="A43" s="23" t="s">
        <v>164</v>
      </c>
      <c r="C43" s="327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13"/>
      <c r="AJ43" s="313"/>
      <c r="AK43" s="313"/>
      <c r="AL43" s="313"/>
      <c r="AM43" s="313"/>
      <c r="AN43" s="313"/>
      <c r="AO43" s="313"/>
      <c r="AP43" s="313"/>
      <c r="AQ43" s="313"/>
      <c r="AR43" s="313"/>
      <c r="AS43" s="313"/>
      <c r="AT43" s="313"/>
      <c r="AU43" s="313"/>
      <c r="AV43" s="313"/>
      <c r="AW43" s="313"/>
      <c r="AX43" s="313"/>
      <c r="AY43" s="313"/>
      <c r="AZ43" s="313"/>
      <c r="BA43" s="313"/>
      <c r="BB43" s="313"/>
      <c r="BC43" s="313"/>
      <c r="BD43" s="313"/>
      <c r="BE43" s="313"/>
      <c r="BF43" s="313"/>
      <c r="BG43" s="313"/>
      <c r="BH43" s="313"/>
    </row>
    <row r="44" spans="1:60">
      <c r="A44" s="13"/>
      <c r="B44" s="13"/>
      <c r="C44" s="327"/>
      <c r="D44" s="23"/>
      <c r="E44" s="23"/>
      <c r="F44" s="316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151"/>
      <c r="AA44" s="151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  <c r="AT44" s="313"/>
      <c r="AU44" s="313"/>
      <c r="AV44" s="313"/>
      <c r="AW44" s="313"/>
      <c r="AX44" s="313"/>
      <c r="AY44" s="313"/>
      <c r="AZ44" s="313"/>
      <c r="BA44" s="313"/>
      <c r="BB44" s="313"/>
      <c r="BC44" s="313"/>
      <c r="BD44" s="313"/>
      <c r="BE44" s="313"/>
      <c r="BF44" s="313"/>
      <c r="BG44" s="313"/>
      <c r="BH44" s="313"/>
    </row>
    <row r="45" spans="1:60">
      <c r="A45" s="134" t="s">
        <v>165</v>
      </c>
      <c r="B45" s="13"/>
      <c r="C45" s="327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13"/>
      <c r="AJ45" s="313"/>
      <c r="AK45" s="313"/>
      <c r="AL45" s="313"/>
      <c r="AM45" s="313"/>
      <c r="AN45" s="313"/>
      <c r="AO45" s="313"/>
      <c r="AP45" s="313"/>
      <c r="AQ45" s="313"/>
      <c r="AR45" s="313"/>
      <c r="AS45" s="313"/>
      <c r="AT45" s="313"/>
      <c r="AU45" s="313"/>
      <c r="AV45" s="313"/>
      <c r="AW45" s="313"/>
      <c r="AX45" s="313"/>
      <c r="AY45" s="313"/>
      <c r="AZ45" s="313"/>
      <c r="BA45" s="313"/>
      <c r="BB45" s="313"/>
      <c r="BC45" s="313"/>
      <c r="BD45" s="313"/>
      <c r="BE45" s="313"/>
      <c r="BF45" s="313"/>
      <c r="BG45" s="313"/>
      <c r="BH45" s="313"/>
    </row>
    <row r="46" spans="1:60">
      <c r="A46" s="23"/>
      <c r="B46" s="13"/>
      <c r="C46" s="327"/>
      <c r="D46" s="23"/>
      <c r="E46" s="23"/>
      <c r="F46" s="316"/>
      <c r="G46" s="313"/>
      <c r="H46" s="31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151"/>
      <c r="AA46" s="151"/>
      <c r="AB46" s="313"/>
      <c r="AC46" s="313"/>
      <c r="AD46" s="313"/>
      <c r="AE46" s="313"/>
      <c r="AF46" s="313"/>
      <c r="AG46" s="313"/>
      <c r="AH46" s="313"/>
      <c r="AI46" s="313"/>
      <c r="AJ46" s="313"/>
      <c r="AK46" s="313"/>
      <c r="AL46" s="313"/>
      <c r="AM46" s="313"/>
      <c r="AN46" s="313"/>
      <c r="AO46" s="313"/>
      <c r="AP46" s="313"/>
      <c r="AQ46" s="313"/>
      <c r="AR46" s="313"/>
      <c r="AS46" s="313"/>
      <c r="AT46" s="313"/>
      <c r="AU46" s="313"/>
      <c r="AV46" s="313"/>
      <c r="AW46" s="313"/>
      <c r="AX46" s="313"/>
      <c r="AY46" s="313"/>
      <c r="AZ46" s="313"/>
      <c r="BA46" s="313"/>
      <c r="BB46" s="313"/>
      <c r="BC46" s="313"/>
      <c r="BD46" s="313"/>
      <c r="BE46" s="313"/>
      <c r="BF46" s="313"/>
      <c r="BG46" s="313"/>
      <c r="BH46" s="313"/>
    </row>
    <row r="47" spans="1:60">
      <c r="A47" s="134" t="s">
        <v>166</v>
      </c>
      <c r="B47" s="13"/>
      <c r="C47" s="327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13"/>
      <c r="AJ47" s="313"/>
      <c r="AK47" s="313"/>
      <c r="AL47" s="313"/>
      <c r="AM47" s="313"/>
      <c r="AN47" s="313"/>
      <c r="AO47" s="313"/>
      <c r="AP47" s="313"/>
      <c r="AQ47" s="313"/>
      <c r="AR47" s="313"/>
      <c r="AS47" s="313"/>
      <c r="AT47" s="313"/>
      <c r="AU47" s="313"/>
      <c r="AV47" s="313"/>
      <c r="AW47" s="313"/>
      <c r="AX47" s="313"/>
      <c r="AY47" s="313"/>
      <c r="AZ47" s="313"/>
      <c r="BA47" s="313"/>
      <c r="BB47" s="313"/>
      <c r="BC47" s="313"/>
      <c r="BD47" s="313"/>
      <c r="BE47" s="313"/>
      <c r="BF47" s="313"/>
      <c r="BG47" s="313"/>
      <c r="BH47" s="313"/>
    </row>
    <row r="48" spans="1:60">
      <c r="A48" s="13"/>
      <c r="B48" s="13"/>
      <c r="C48" s="23"/>
      <c r="D48" s="23"/>
      <c r="E48" s="23"/>
      <c r="F48" s="316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3"/>
      <c r="Z48" s="151"/>
      <c r="AA48" s="151"/>
      <c r="AB48" s="313"/>
      <c r="AC48" s="313"/>
      <c r="AD48" s="313"/>
      <c r="AE48" s="313"/>
      <c r="AF48" s="313"/>
      <c r="AG48" s="313"/>
      <c r="AH48" s="313"/>
      <c r="AI48" s="313"/>
      <c r="AJ48" s="313"/>
      <c r="AK48" s="313"/>
      <c r="AL48" s="313"/>
      <c r="AM48" s="313"/>
      <c r="AN48" s="313"/>
      <c r="AO48" s="313"/>
      <c r="AP48" s="313"/>
      <c r="AQ48" s="313"/>
      <c r="AR48" s="313"/>
      <c r="AS48" s="313"/>
      <c r="AT48" s="313"/>
      <c r="AU48" s="313"/>
      <c r="AV48" s="313"/>
      <c r="AW48" s="313"/>
      <c r="AX48" s="313"/>
      <c r="AY48" s="313"/>
      <c r="AZ48" s="313"/>
      <c r="BA48" s="313"/>
      <c r="BB48" s="313"/>
      <c r="BC48" s="313"/>
      <c r="BD48" s="313"/>
      <c r="BE48" s="313"/>
      <c r="BF48" s="313"/>
      <c r="BG48" s="313"/>
      <c r="BH48" s="313"/>
    </row>
    <row r="49" spans="1:60">
      <c r="A49" s="13"/>
      <c r="B49" s="13"/>
      <c r="C49" s="23"/>
      <c r="D49" s="23"/>
      <c r="E49" s="23"/>
      <c r="F49" s="316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13"/>
      <c r="Y49" s="313"/>
      <c r="Z49" s="151"/>
      <c r="AA49" s="151"/>
      <c r="AB49" s="313"/>
      <c r="AC49" s="313"/>
      <c r="AD49" s="313"/>
      <c r="AE49" s="313"/>
      <c r="AF49" s="313"/>
      <c r="AG49" s="313"/>
      <c r="AH49" s="313"/>
      <c r="AI49" s="313"/>
      <c r="AJ49" s="313"/>
      <c r="AK49" s="313"/>
      <c r="AL49" s="313"/>
      <c r="AM49" s="313"/>
      <c r="AN49" s="313"/>
      <c r="AO49" s="313"/>
      <c r="AP49" s="313"/>
      <c r="AQ49" s="313"/>
      <c r="AR49" s="313"/>
      <c r="AS49" s="313"/>
      <c r="AT49" s="313"/>
      <c r="AU49" s="313"/>
      <c r="AV49" s="313"/>
      <c r="AW49" s="313"/>
      <c r="AX49" s="313"/>
      <c r="AY49" s="313"/>
      <c r="AZ49" s="313"/>
      <c r="BA49" s="313"/>
      <c r="BB49" s="313"/>
      <c r="BC49" s="313"/>
      <c r="BD49" s="313"/>
      <c r="BE49" s="313"/>
      <c r="BF49" s="313"/>
      <c r="BG49" s="313"/>
      <c r="BH49" s="313"/>
    </row>
    <row r="50" spans="1:60">
      <c r="A50" s="13"/>
      <c r="B50" s="13"/>
      <c r="C50" s="23"/>
      <c r="D50" s="23"/>
      <c r="E50" s="23"/>
      <c r="F50" s="316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13"/>
      <c r="Y50" s="313"/>
      <c r="Z50" s="151"/>
      <c r="AA50" s="151"/>
      <c r="AB50" s="313"/>
      <c r="AC50" s="313"/>
      <c r="AD50" s="313"/>
      <c r="AE50" s="313"/>
      <c r="AF50" s="313"/>
      <c r="AG50" s="313"/>
      <c r="AH50" s="313"/>
      <c r="AI50" s="313"/>
      <c r="AJ50" s="313"/>
      <c r="AK50" s="313"/>
      <c r="AL50" s="313"/>
      <c r="AM50" s="313"/>
      <c r="AN50" s="313"/>
      <c r="AO50" s="313"/>
      <c r="AP50" s="313"/>
      <c r="AQ50" s="313"/>
      <c r="AR50" s="313"/>
      <c r="AS50" s="313"/>
      <c r="AT50" s="313"/>
      <c r="AU50" s="313"/>
      <c r="AV50" s="313"/>
      <c r="AW50" s="313"/>
      <c r="AX50" s="313"/>
      <c r="AY50" s="313"/>
      <c r="AZ50" s="313"/>
      <c r="BA50" s="313"/>
      <c r="BB50" s="313"/>
      <c r="BC50" s="313"/>
      <c r="BD50" s="313"/>
      <c r="BE50" s="313"/>
      <c r="BF50" s="313"/>
      <c r="BG50" s="313"/>
      <c r="BH50" s="313"/>
    </row>
    <row r="51" spans="1:60">
      <c r="A51" s="13"/>
      <c r="B51" s="13"/>
      <c r="C51" s="23"/>
      <c r="D51" s="23"/>
      <c r="E51" s="23"/>
      <c r="F51" s="316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13"/>
      <c r="Y51" s="313"/>
      <c r="Z51" s="151"/>
      <c r="AA51" s="151"/>
      <c r="AB51" s="313"/>
      <c r="AC51" s="313"/>
      <c r="AD51" s="313"/>
      <c r="AE51" s="313"/>
      <c r="AF51" s="313"/>
      <c r="AG51" s="313"/>
      <c r="AH51" s="313"/>
      <c r="AI51" s="313"/>
      <c r="AJ51" s="313"/>
      <c r="AK51" s="313"/>
      <c r="AL51" s="313"/>
      <c r="AM51" s="313"/>
      <c r="AN51" s="313"/>
      <c r="AO51" s="313"/>
      <c r="AP51" s="313"/>
      <c r="AQ51" s="313"/>
      <c r="AR51" s="313"/>
      <c r="AS51" s="313"/>
      <c r="AT51" s="313"/>
      <c r="AU51" s="313"/>
      <c r="AV51" s="313"/>
      <c r="AW51" s="313"/>
      <c r="AX51" s="313"/>
      <c r="AY51" s="313"/>
      <c r="AZ51" s="313"/>
      <c r="BA51" s="313"/>
      <c r="BB51" s="313"/>
      <c r="BC51" s="313"/>
      <c r="BD51" s="313"/>
      <c r="BE51" s="313"/>
      <c r="BF51" s="313"/>
      <c r="BG51" s="313"/>
      <c r="BH51" s="313"/>
    </row>
    <row r="52" spans="1:60">
      <c r="A52" s="13"/>
      <c r="B52" s="13"/>
      <c r="C52" s="23"/>
      <c r="D52" s="23"/>
      <c r="E52" s="23"/>
      <c r="F52" s="316"/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  <c r="T52" s="313"/>
      <c r="U52" s="313"/>
      <c r="V52" s="313"/>
      <c r="W52" s="313"/>
      <c r="X52" s="313"/>
      <c r="Y52" s="313"/>
      <c r="Z52" s="151"/>
      <c r="AA52" s="151"/>
      <c r="AB52" s="313"/>
      <c r="AC52" s="313"/>
      <c r="AD52" s="313"/>
      <c r="AE52" s="313"/>
      <c r="AF52" s="313"/>
      <c r="AG52" s="313"/>
      <c r="AH52" s="313"/>
      <c r="AI52" s="313"/>
      <c r="AJ52" s="313"/>
      <c r="AK52" s="313"/>
      <c r="AL52" s="313"/>
      <c r="AM52" s="313"/>
      <c r="AN52" s="313"/>
      <c r="AO52" s="313"/>
      <c r="AP52" s="313"/>
      <c r="AQ52" s="313"/>
      <c r="AR52" s="313"/>
      <c r="AS52" s="313"/>
      <c r="AT52" s="313"/>
      <c r="AU52" s="313"/>
      <c r="AV52" s="313"/>
      <c r="AW52" s="313"/>
      <c r="AX52" s="313"/>
      <c r="AY52" s="313"/>
      <c r="AZ52" s="313"/>
      <c r="BA52" s="313"/>
      <c r="BB52" s="313"/>
      <c r="BC52" s="313"/>
      <c r="BD52" s="313"/>
      <c r="BE52" s="313"/>
      <c r="BF52" s="313"/>
      <c r="BG52" s="313"/>
      <c r="BH52" s="313"/>
    </row>
    <row r="53" spans="1:60">
      <c r="A53" s="13"/>
      <c r="B53" s="13"/>
      <c r="C53" s="23"/>
      <c r="D53" s="23"/>
      <c r="E53" s="23"/>
      <c r="F53" s="316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313"/>
      <c r="Z53" s="151"/>
      <c r="AA53" s="151"/>
      <c r="AB53" s="313"/>
      <c r="AC53" s="313"/>
      <c r="AD53" s="313"/>
      <c r="AE53" s="313"/>
      <c r="AF53" s="313"/>
      <c r="AG53" s="313"/>
      <c r="AH53" s="313"/>
      <c r="AI53" s="313"/>
      <c r="AJ53" s="313"/>
      <c r="AK53" s="313"/>
      <c r="AL53" s="313"/>
      <c r="AM53" s="313"/>
      <c r="AN53" s="313"/>
      <c r="AO53" s="313"/>
      <c r="AP53" s="313"/>
      <c r="AQ53" s="313"/>
      <c r="AR53" s="313"/>
      <c r="AS53" s="313"/>
      <c r="AT53" s="313"/>
      <c r="AU53" s="313"/>
      <c r="AV53" s="313"/>
      <c r="AW53" s="313"/>
      <c r="AX53" s="313"/>
      <c r="AY53" s="313"/>
      <c r="AZ53" s="313"/>
      <c r="BA53" s="313"/>
      <c r="BB53" s="313"/>
      <c r="BC53" s="313"/>
      <c r="BD53" s="313"/>
      <c r="BE53" s="313"/>
      <c r="BF53" s="313"/>
      <c r="BG53" s="313"/>
      <c r="BH53" s="313"/>
    </row>
    <row r="54" spans="1:60">
      <c r="A54" s="13"/>
      <c r="B54" s="13"/>
      <c r="C54" s="23"/>
      <c r="D54" s="23"/>
      <c r="E54" s="23"/>
      <c r="F54" s="316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13"/>
      <c r="Z54" s="151"/>
      <c r="AA54" s="151"/>
      <c r="AB54" s="313"/>
      <c r="AC54" s="313"/>
      <c r="AD54" s="313"/>
      <c r="AE54" s="313"/>
      <c r="AF54" s="313"/>
      <c r="AG54" s="313"/>
      <c r="AH54" s="313"/>
      <c r="AI54" s="313"/>
      <c r="AJ54" s="313"/>
      <c r="AK54" s="313"/>
      <c r="AL54" s="313"/>
      <c r="AM54" s="313"/>
      <c r="AN54" s="313"/>
      <c r="AO54" s="313"/>
      <c r="AP54" s="313"/>
      <c r="AQ54" s="313"/>
      <c r="AR54" s="313"/>
      <c r="AS54" s="313"/>
      <c r="AT54" s="313"/>
      <c r="AU54" s="313"/>
      <c r="AV54" s="313"/>
      <c r="AW54" s="313"/>
      <c r="AX54" s="313"/>
      <c r="AY54" s="313"/>
      <c r="AZ54" s="313"/>
      <c r="BA54" s="313"/>
      <c r="BB54" s="313"/>
      <c r="BC54" s="313"/>
      <c r="BD54" s="313"/>
      <c r="BE54" s="313"/>
      <c r="BF54" s="313"/>
      <c r="BG54" s="313"/>
      <c r="BH54" s="313"/>
    </row>
    <row r="55" spans="1:60">
      <c r="A55" s="13"/>
      <c r="B55" s="181"/>
      <c r="C55" s="316"/>
      <c r="D55" s="316"/>
      <c r="E55" s="316"/>
      <c r="F55" s="316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13"/>
      <c r="Y55" s="313"/>
      <c r="Z55" s="151"/>
      <c r="AA55" s="151"/>
      <c r="AB55" s="313"/>
      <c r="AC55" s="313"/>
      <c r="AD55" s="313"/>
      <c r="AE55" s="313"/>
      <c r="AF55" s="313"/>
      <c r="AG55" s="313"/>
      <c r="AH55" s="313"/>
      <c r="AI55" s="313"/>
      <c r="AJ55" s="313"/>
      <c r="AK55" s="313"/>
      <c r="AL55" s="313"/>
      <c r="AM55" s="313"/>
      <c r="AN55" s="313"/>
      <c r="AO55" s="313"/>
      <c r="AP55" s="313"/>
      <c r="AQ55" s="313"/>
      <c r="AR55" s="313"/>
      <c r="AS55" s="313"/>
      <c r="AT55" s="313"/>
      <c r="AU55" s="313"/>
      <c r="AV55" s="313"/>
      <c r="AW55" s="313"/>
      <c r="AX55" s="313"/>
      <c r="AY55" s="313"/>
      <c r="AZ55" s="313"/>
      <c r="BA55" s="313"/>
      <c r="BB55" s="313"/>
      <c r="BC55" s="313"/>
      <c r="BD55" s="313"/>
      <c r="BE55" s="313"/>
      <c r="BF55" s="313"/>
      <c r="BG55" s="313"/>
      <c r="BH55" s="313"/>
    </row>
    <row r="56" spans="1:60">
      <c r="A56" s="13"/>
      <c r="B56" s="181"/>
      <c r="C56" s="316"/>
      <c r="D56" s="316"/>
      <c r="E56" s="316"/>
      <c r="F56" s="316"/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  <c r="T56" s="313"/>
      <c r="U56" s="313"/>
      <c r="V56" s="313"/>
      <c r="W56" s="313"/>
      <c r="X56" s="313"/>
      <c r="Y56" s="313"/>
      <c r="Z56" s="151"/>
      <c r="AA56" s="151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  <c r="AS56" s="313"/>
      <c r="AT56" s="313"/>
      <c r="AU56" s="313"/>
      <c r="AV56" s="313"/>
      <c r="AW56" s="313"/>
      <c r="AX56" s="313"/>
      <c r="AY56" s="313"/>
      <c r="AZ56" s="313"/>
      <c r="BA56" s="313"/>
      <c r="BB56" s="313"/>
      <c r="BC56" s="313"/>
      <c r="BD56" s="313"/>
      <c r="BE56" s="313"/>
      <c r="BF56" s="313"/>
      <c r="BG56" s="313"/>
      <c r="BH56" s="313"/>
    </row>
    <row r="57" spans="1:60">
      <c r="A57" s="13"/>
      <c r="B57" s="181"/>
      <c r="C57" s="316"/>
      <c r="D57" s="316"/>
      <c r="E57" s="316"/>
      <c r="F57" s="316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13"/>
      <c r="Y57" s="313"/>
      <c r="Z57" s="151"/>
      <c r="AA57" s="151"/>
      <c r="AB57" s="313"/>
      <c r="AC57" s="313"/>
      <c r="AD57" s="313"/>
      <c r="AE57" s="313"/>
      <c r="AF57" s="313"/>
      <c r="AG57" s="313"/>
      <c r="AH57" s="313"/>
      <c r="AI57" s="313"/>
      <c r="AJ57" s="313"/>
      <c r="AK57" s="313"/>
      <c r="AL57" s="313"/>
      <c r="AM57" s="313"/>
      <c r="AN57" s="313"/>
      <c r="AO57" s="313"/>
      <c r="AP57" s="313"/>
      <c r="AQ57" s="313"/>
      <c r="AR57" s="313"/>
      <c r="AS57" s="313"/>
      <c r="AT57" s="313"/>
      <c r="AU57" s="313"/>
      <c r="AV57" s="313"/>
      <c r="AW57" s="313"/>
      <c r="AX57" s="313"/>
      <c r="AY57" s="313"/>
      <c r="AZ57" s="313"/>
      <c r="BA57" s="313"/>
      <c r="BB57" s="313"/>
      <c r="BC57" s="313"/>
      <c r="BD57" s="313"/>
      <c r="BE57" s="313"/>
      <c r="BF57" s="313"/>
      <c r="BG57" s="313"/>
      <c r="BH57" s="313"/>
    </row>
    <row r="58" spans="1:60">
      <c r="A58" s="13"/>
      <c r="B58" s="181"/>
      <c r="C58" s="316"/>
      <c r="D58" s="316"/>
      <c r="E58" s="316"/>
      <c r="F58" s="316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13"/>
      <c r="Y58" s="313"/>
      <c r="Z58" s="151"/>
      <c r="AA58" s="151"/>
      <c r="AB58" s="313"/>
      <c r="AC58" s="313"/>
      <c r="AD58" s="313"/>
      <c r="AE58" s="313"/>
      <c r="AF58" s="313"/>
      <c r="AG58" s="313"/>
      <c r="AH58" s="313"/>
      <c r="AI58" s="313"/>
      <c r="AJ58" s="313"/>
      <c r="AK58" s="313"/>
      <c r="AL58" s="313"/>
      <c r="AM58" s="313"/>
      <c r="AN58" s="313"/>
      <c r="AO58" s="313"/>
      <c r="AP58" s="313"/>
      <c r="AQ58" s="313"/>
      <c r="AR58" s="313"/>
      <c r="AS58" s="313"/>
      <c r="AT58" s="313"/>
      <c r="AU58" s="313"/>
      <c r="AV58" s="313"/>
      <c r="AW58" s="313"/>
      <c r="AX58" s="313"/>
      <c r="AY58" s="313"/>
      <c r="AZ58" s="313"/>
      <c r="BA58" s="313"/>
      <c r="BB58" s="313"/>
      <c r="BC58" s="313"/>
      <c r="BD58" s="313"/>
      <c r="BE58" s="313"/>
      <c r="BF58" s="313"/>
      <c r="BG58" s="313"/>
      <c r="BH58" s="313"/>
    </row>
    <row r="59" spans="1:60">
      <c r="A59" s="13"/>
      <c r="B59" s="181"/>
      <c r="C59" s="316"/>
      <c r="D59" s="316"/>
      <c r="E59" s="316"/>
      <c r="F59" s="316"/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  <c r="T59" s="313"/>
      <c r="U59" s="313"/>
      <c r="V59" s="313"/>
      <c r="W59" s="313"/>
      <c r="X59" s="313"/>
      <c r="Y59" s="313"/>
      <c r="Z59" s="151"/>
      <c r="AA59" s="151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  <c r="AL59" s="313"/>
      <c r="AM59" s="313"/>
      <c r="AN59" s="313"/>
      <c r="AO59" s="313"/>
      <c r="AP59" s="313"/>
      <c r="AQ59" s="313"/>
      <c r="AR59" s="313"/>
      <c r="AS59" s="313"/>
      <c r="AT59" s="313"/>
      <c r="AU59" s="313"/>
      <c r="AV59" s="313"/>
      <c r="AW59" s="313"/>
      <c r="AX59" s="313"/>
      <c r="AY59" s="313"/>
      <c r="AZ59" s="313"/>
      <c r="BA59" s="313"/>
      <c r="BB59" s="313"/>
      <c r="BC59" s="313"/>
      <c r="BD59" s="313"/>
      <c r="BE59" s="313"/>
      <c r="BF59" s="313"/>
      <c r="BG59" s="313"/>
      <c r="BH59" s="313"/>
    </row>
    <row r="60" spans="1:60">
      <c r="A60" s="13"/>
      <c r="B60" s="181"/>
      <c r="C60" s="316"/>
      <c r="D60" s="316"/>
      <c r="E60" s="316"/>
      <c r="F60" s="316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313"/>
      <c r="U60" s="313"/>
      <c r="V60" s="313"/>
      <c r="W60" s="313"/>
      <c r="X60" s="313"/>
      <c r="Y60" s="313"/>
      <c r="Z60" s="151"/>
      <c r="AA60" s="151"/>
      <c r="AB60" s="313"/>
      <c r="AC60" s="313"/>
      <c r="AD60" s="313"/>
      <c r="AE60" s="313"/>
      <c r="AF60" s="313"/>
      <c r="AG60" s="313"/>
      <c r="AH60" s="313"/>
      <c r="AI60" s="313"/>
      <c r="AJ60" s="313"/>
      <c r="AK60" s="313"/>
      <c r="AL60" s="313"/>
      <c r="AM60" s="313"/>
      <c r="AN60" s="313"/>
      <c r="AO60" s="313"/>
      <c r="AP60" s="313"/>
      <c r="AQ60" s="313"/>
      <c r="AR60" s="313"/>
      <c r="AS60" s="313"/>
      <c r="AT60" s="313"/>
      <c r="AU60" s="313"/>
      <c r="AV60" s="313"/>
      <c r="AW60" s="313"/>
      <c r="AX60" s="313"/>
      <c r="AY60" s="313"/>
    </row>
    <row r="61" spans="1:60">
      <c r="A61" s="181"/>
      <c r="B61" s="181"/>
      <c r="C61" s="316"/>
      <c r="D61" s="316"/>
      <c r="E61" s="316"/>
      <c r="F61" s="316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13"/>
      <c r="Z61" s="151"/>
      <c r="AA61" s="151"/>
      <c r="AB61" s="313"/>
      <c r="AC61" s="313"/>
      <c r="AD61" s="313"/>
      <c r="AE61" s="313"/>
      <c r="AF61" s="313"/>
      <c r="AG61" s="313"/>
      <c r="AH61" s="313"/>
      <c r="AI61" s="313"/>
      <c r="AJ61" s="313"/>
      <c r="AK61" s="313"/>
      <c r="AL61" s="313"/>
      <c r="AM61" s="313"/>
      <c r="AN61" s="313"/>
      <c r="AO61" s="313"/>
      <c r="AP61" s="313"/>
      <c r="AQ61" s="313"/>
      <c r="AR61" s="313"/>
      <c r="AS61" s="313"/>
      <c r="AT61" s="313"/>
      <c r="AU61" s="313"/>
      <c r="AV61" s="313"/>
      <c r="AW61" s="313"/>
      <c r="AX61" s="313"/>
      <c r="AY61" s="313"/>
    </row>
    <row r="62" spans="1:60"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13"/>
      <c r="Z62" s="151"/>
      <c r="AA62" s="151"/>
      <c r="AB62" s="313"/>
      <c r="AC62" s="313"/>
      <c r="AD62" s="313"/>
      <c r="AE62" s="313"/>
      <c r="AF62" s="313"/>
      <c r="AG62" s="313"/>
      <c r="AH62" s="313"/>
      <c r="AI62" s="313"/>
      <c r="AJ62" s="313"/>
      <c r="AK62" s="313"/>
      <c r="AL62" s="313"/>
      <c r="AM62" s="313"/>
      <c r="AN62" s="313"/>
      <c r="AO62" s="313"/>
      <c r="AP62" s="313"/>
      <c r="AQ62" s="313"/>
      <c r="AR62" s="313"/>
      <c r="AS62" s="313"/>
      <c r="AT62" s="313"/>
      <c r="AU62" s="313"/>
      <c r="AV62" s="313"/>
      <c r="AW62" s="313"/>
      <c r="AX62" s="313"/>
      <c r="AY62" s="313"/>
    </row>
    <row r="63" spans="1:60">
      <c r="C63" s="313"/>
      <c r="D63" s="313"/>
      <c r="E63" s="313"/>
      <c r="F63" s="313"/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  <c r="T63" s="313"/>
      <c r="U63" s="313"/>
      <c r="V63" s="313"/>
      <c r="W63" s="313"/>
      <c r="X63" s="313"/>
      <c r="Y63" s="313"/>
      <c r="Z63" s="151"/>
      <c r="AA63" s="151"/>
      <c r="AB63" s="313"/>
      <c r="AC63" s="313"/>
      <c r="AD63" s="313"/>
      <c r="AE63" s="313"/>
      <c r="AF63" s="313"/>
      <c r="AG63" s="313"/>
      <c r="AH63" s="313"/>
      <c r="AI63" s="313"/>
      <c r="AJ63" s="313"/>
      <c r="AK63" s="313"/>
      <c r="AL63" s="313"/>
      <c r="AM63" s="313"/>
      <c r="AN63" s="313"/>
      <c r="AO63" s="313"/>
      <c r="AP63" s="313"/>
      <c r="AQ63" s="313"/>
      <c r="AR63" s="313"/>
      <c r="AS63" s="313"/>
      <c r="AT63" s="313"/>
      <c r="AU63" s="313"/>
      <c r="AV63" s="313"/>
      <c r="AW63" s="313"/>
      <c r="AX63" s="313"/>
      <c r="AY63" s="313"/>
    </row>
    <row r="64" spans="1:60">
      <c r="C64" s="313"/>
      <c r="D64" s="313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  <c r="T64" s="313"/>
      <c r="U64" s="313"/>
      <c r="V64" s="313"/>
      <c r="W64" s="313"/>
      <c r="X64" s="313"/>
      <c r="Y64" s="313"/>
      <c r="Z64" s="151"/>
      <c r="AA64" s="151"/>
      <c r="AB64" s="313"/>
      <c r="AC64" s="313"/>
      <c r="AD64" s="313"/>
      <c r="AE64" s="313"/>
      <c r="AF64" s="313"/>
      <c r="AG64" s="313"/>
      <c r="AH64" s="313"/>
      <c r="AI64" s="313"/>
      <c r="AJ64" s="313"/>
      <c r="AK64" s="313"/>
      <c r="AL64" s="313"/>
      <c r="AM64" s="313"/>
      <c r="AN64" s="313"/>
      <c r="AO64" s="313"/>
      <c r="AP64" s="313"/>
      <c r="AQ64" s="313"/>
      <c r="AR64" s="313"/>
      <c r="AS64" s="313"/>
      <c r="AT64" s="313"/>
      <c r="AU64" s="313"/>
      <c r="AV64" s="313"/>
      <c r="AW64" s="313"/>
      <c r="AX64" s="313"/>
      <c r="AY64" s="313"/>
    </row>
    <row r="65" spans="3:51">
      <c r="C65" s="313"/>
      <c r="D65" s="313"/>
      <c r="E65" s="313"/>
      <c r="F65" s="313"/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  <c r="T65" s="313"/>
      <c r="U65" s="313"/>
      <c r="V65" s="313"/>
      <c r="W65" s="313"/>
      <c r="X65" s="313"/>
      <c r="Y65" s="313"/>
      <c r="Z65" s="151"/>
      <c r="AA65" s="151"/>
      <c r="AB65" s="313"/>
      <c r="AC65" s="313"/>
      <c r="AD65" s="313"/>
      <c r="AE65" s="313"/>
      <c r="AF65" s="313"/>
      <c r="AG65" s="313"/>
      <c r="AH65" s="313"/>
      <c r="AI65" s="313"/>
      <c r="AJ65" s="313"/>
      <c r="AK65" s="313"/>
      <c r="AL65" s="313"/>
      <c r="AM65" s="313"/>
      <c r="AN65" s="313"/>
      <c r="AO65" s="313"/>
      <c r="AP65" s="313"/>
      <c r="AQ65" s="313"/>
      <c r="AR65" s="313"/>
      <c r="AS65" s="313"/>
      <c r="AT65" s="313"/>
      <c r="AU65" s="313"/>
      <c r="AV65" s="313"/>
      <c r="AW65" s="313"/>
      <c r="AX65" s="313"/>
      <c r="AY65" s="313"/>
    </row>
    <row r="66" spans="3:51">
      <c r="C66" s="313"/>
      <c r="D66" s="313"/>
      <c r="E66" s="313"/>
      <c r="F66" s="313"/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  <c r="T66" s="313"/>
      <c r="U66" s="313"/>
      <c r="V66" s="313"/>
      <c r="W66" s="313"/>
      <c r="X66" s="313"/>
      <c r="Y66" s="313"/>
      <c r="Z66" s="151"/>
      <c r="AA66" s="151"/>
      <c r="AB66" s="313"/>
      <c r="AC66" s="313"/>
      <c r="AD66" s="313"/>
      <c r="AE66" s="313"/>
      <c r="AF66" s="313"/>
      <c r="AG66" s="313"/>
      <c r="AH66" s="313"/>
      <c r="AI66" s="313"/>
      <c r="AJ66" s="313"/>
      <c r="AK66" s="313"/>
      <c r="AL66" s="313"/>
      <c r="AM66" s="313"/>
      <c r="AN66" s="313"/>
      <c r="AO66" s="313"/>
      <c r="AP66" s="313"/>
      <c r="AQ66" s="313"/>
      <c r="AR66" s="313"/>
      <c r="AS66" s="313"/>
      <c r="AT66" s="313"/>
      <c r="AU66" s="313"/>
      <c r="AV66" s="313"/>
      <c r="AW66" s="313"/>
      <c r="AX66" s="313"/>
      <c r="AY66" s="313"/>
    </row>
    <row r="67" spans="3:51">
      <c r="C67" s="313"/>
      <c r="D67" s="313"/>
      <c r="E67" s="313"/>
      <c r="F67" s="313"/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  <c r="T67" s="313"/>
      <c r="U67" s="313"/>
      <c r="V67" s="313"/>
      <c r="W67" s="313"/>
      <c r="X67" s="313"/>
      <c r="Y67" s="313"/>
      <c r="Z67" s="151"/>
      <c r="AA67" s="151"/>
      <c r="AB67" s="313"/>
      <c r="AC67" s="313"/>
      <c r="AD67" s="313"/>
      <c r="AE67" s="313"/>
      <c r="AF67" s="313"/>
      <c r="AG67" s="313"/>
      <c r="AH67" s="313"/>
      <c r="AI67" s="313"/>
      <c r="AJ67" s="313"/>
      <c r="AK67" s="313"/>
      <c r="AL67" s="313"/>
      <c r="AM67" s="313"/>
      <c r="AN67" s="313"/>
      <c r="AO67" s="313"/>
      <c r="AP67" s="313"/>
      <c r="AQ67" s="313"/>
      <c r="AR67" s="313"/>
      <c r="AS67" s="313"/>
      <c r="AT67" s="313"/>
      <c r="AU67" s="313"/>
      <c r="AV67" s="313"/>
      <c r="AW67" s="313"/>
      <c r="AX67" s="313"/>
      <c r="AY67" s="313"/>
    </row>
    <row r="68" spans="3:51">
      <c r="C68" s="313"/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  <c r="T68" s="313"/>
      <c r="U68" s="313"/>
      <c r="V68" s="313"/>
      <c r="W68" s="313"/>
      <c r="X68" s="313"/>
      <c r="Y68" s="313"/>
      <c r="Z68" s="151"/>
      <c r="AA68" s="151"/>
      <c r="AB68" s="313"/>
      <c r="AC68" s="313"/>
      <c r="AD68" s="313"/>
      <c r="AE68" s="313"/>
      <c r="AF68" s="313"/>
      <c r="AG68" s="313"/>
      <c r="AH68" s="313"/>
      <c r="AI68" s="313"/>
      <c r="AJ68" s="313"/>
      <c r="AK68" s="313"/>
      <c r="AL68" s="313"/>
      <c r="AM68" s="313"/>
      <c r="AN68" s="313"/>
      <c r="AO68" s="313"/>
      <c r="AP68" s="313"/>
      <c r="AQ68" s="313"/>
      <c r="AR68" s="313"/>
      <c r="AS68" s="313"/>
      <c r="AT68" s="313"/>
      <c r="AU68" s="313"/>
      <c r="AV68" s="313"/>
      <c r="AW68" s="313"/>
      <c r="AX68" s="313"/>
      <c r="AY68" s="313"/>
    </row>
    <row r="69" spans="3:51">
      <c r="C69" s="313"/>
      <c r="D69" s="313"/>
      <c r="E69" s="313"/>
      <c r="F69" s="313"/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151"/>
      <c r="AA69" s="151"/>
      <c r="AB69" s="313"/>
      <c r="AC69" s="313"/>
      <c r="AD69" s="313"/>
      <c r="AE69" s="313"/>
      <c r="AF69" s="313"/>
      <c r="AG69" s="313"/>
      <c r="AH69" s="313"/>
      <c r="AI69" s="313"/>
      <c r="AJ69" s="313"/>
      <c r="AK69" s="313"/>
      <c r="AL69" s="313"/>
      <c r="AM69" s="313"/>
      <c r="AN69" s="313"/>
      <c r="AO69" s="313"/>
      <c r="AP69" s="313"/>
      <c r="AQ69" s="313"/>
      <c r="AR69" s="313"/>
      <c r="AS69" s="313"/>
      <c r="AT69" s="313"/>
      <c r="AU69" s="313"/>
      <c r="AV69" s="313"/>
      <c r="AW69" s="313"/>
      <c r="AX69" s="313"/>
      <c r="AY69" s="313"/>
    </row>
    <row r="70" spans="3:51">
      <c r="C70" s="313"/>
      <c r="D70" s="313"/>
      <c r="E70" s="313"/>
      <c r="F70" s="313"/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  <c r="T70" s="313"/>
      <c r="U70" s="313"/>
      <c r="V70" s="313"/>
      <c r="W70" s="313"/>
      <c r="X70" s="313"/>
      <c r="Y70" s="313"/>
      <c r="Z70" s="151"/>
      <c r="AA70" s="151"/>
      <c r="AB70" s="313"/>
      <c r="AC70" s="313"/>
      <c r="AD70" s="313"/>
      <c r="AE70" s="313"/>
      <c r="AF70" s="313"/>
      <c r="AG70" s="313"/>
      <c r="AH70" s="313"/>
      <c r="AI70" s="313"/>
      <c r="AJ70" s="313"/>
      <c r="AK70" s="313"/>
      <c r="AL70" s="313"/>
      <c r="AM70" s="313"/>
      <c r="AN70" s="313"/>
      <c r="AO70" s="313"/>
      <c r="AP70" s="313"/>
      <c r="AQ70" s="313"/>
      <c r="AR70" s="313"/>
      <c r="AS70" s="313"/>
      <c r="AT70" s="313"/>
      <c r="AU70" s="313"/>
      <c r="AV70" s="313"/>
      <c r="AW70" s="313"/>
      <c r="AX70" s="313"/>
      <c r="AY70" s="313"/>
    </row>
    <row r="71" spans="3:51">
      <c r="C71" s="313"/>
      <c r="D71" s="313"/>
      <c r="E71" s="313"/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  <c r="T71" s="313"/>
      <c r="U71" s="313"/>
      <c r="V71" s="313"/>
      <c r="W71" s="313"/>
      <c r="X71" s="313"/>
      <c r="Y71" s="313"/>
      <c r="Z71" s="151"/>
      <c r="AA71" s="151"/>
      <c r="AB71" s="313"/>
      <c r="AC71" s="313"/>
      <c r="AD71" s="313"/>
      <c r="AE71" s="313"/>
      <c r="AF71" s="313"/>
      <c r="AG71" s="313"/>
      <c r="AH71" s="313"/>
      <c r="AI71" s="313"/>
      <c r="AJ71" s="313"/>
      <c r="AK71" s="313"/>
      <c r="AL71" s="313"/>
      <c r="AM71" s="313"/>
      <c r="AN71" s="313"/>
      <c r="AO71" s="313"/>
      <c r="AP71" s="313"/>
      <c r="AQ71" s="313"/>
      <c r="AR71" s="313"/>
      <c r="AS71" s="313"/>
      <c r="AT71" s="313"/>
      <c r="AU71" s="313"/>
      <c r="AV71" s="313"/>
      <c r="AW71" s="313"/>
      <c r="AX71" s="313"/>
      <c r="AY71" s="313"/>
    </row>
    <row r="72" spans="3:51">
      <c r="C72" s="313"/>
      <c r="D72" s="313"/>
      <c r="E72" s="313"/>
      <c r="F72" s="313"/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  <c r="T72" s="313"/>
      <c r="U72" s="313"/>
      <c r="V72" s="313"/>
      <c r="W72" s="313"/>
      <c r="X72" s="313"/>
      <c r="Y72" s="313"/>
      <c r="Z72" s="151"/>
      <c r="AA72" s="151"/>
      <c r="AB72" s="313"/>
      <c r="AC72" s="313"/>
      <c r="AD72" s="313"/>
      <c r="AE72" s="313"/>
      <c r="AF72" s="313"/>
      <c r="AG72" s="313"/>
      <c r="AH72" s="313"/>
      <c r="AI72" s="313"/>
      <c r="AJ72" s="313"/>
      <c r="AK72" s="313"/>
      <c r="AL72" s="313"/>
      <c r="AM72" s="313"/>
      <c r="AN72" s="313"/>
      <c r="AO72" s="313"/>
      <c r="AP72" s="313"/>
      <c r="AQ72" s="313"/>
      <c r="AR72" s="313"/>
      <c r="AS72" s="313"/>
      <c r="AT72" s="313"/>
      <c r="AU72" s="313"/>
      <c r="AV72" s="313"/>
      <c r="AW72" s="313"/>
      <c r="AX72" s="313"/>
      <c r="AY72" s="313"/>
    </row>
    <row r="73" spans="3:51">
      <c r="C73" s="313"/>
      <c r="D73" s="313"/>
      <c r="E73" s="313"/>
      <c r="F73" s="313"/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151"/>
      <c r="AA73" s="151"/>
      <c r="AB73" s="313"/>
      <c r="AC73" s="313"/>
      <c r="AD73" s="313"/>
      <c r="AE73" s="313"/>
      <c r="AF73" s="313"/>
      <c r="AG73" s="313"/>
      <c r="AH73" s="313"/>
      <c r="AI73" s="313"/>
      <c r="AJ73" s="313"/>
      <c r="AK73" s="313"/>
      <c r="AL73" s="313"/>
      <c r="AM73" s="313"/>
      <c r="AN73" s="313"/>
      <c r="AO73" s="313"/>
      <c r="AP73" s="313"/>
      <c r="AQ73" s="313"/>
      <c r="AR73" s="313"/>
      <c r="AS73" s="313"/>
      <c r="AT73" s="313"/>
      <c r="AU73" s="313"/>
      <c r="AV73" s="313"/>
      <c r="AW73" s="313"/>
      <c r="AX73" s="313"/>
      <c r="AY73" s="313"/>
    </row>
    <row r="74" spans="3:51">
      <c r="C74" s="313"/>
      <c r="D74" s="313"/>
      <c r="E74" s="313"/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151"/>
      <c r="AA74" s="151"/>
      <c r="AB74" s="313"/>
      <c r="AC74" s="313"/>
      <c r="AD74" s="313"/>
      <c r="AE74" s="313"/>
      <c r="AF74" s="313"/>
      <c r="AG74" s="313"/>
      <c r="AH74" s="313"/>
      <c r="AI74" s="313"/>
      <c r="AJ74" s="313"/>
      <c r="AK74" s="313"/>
      <c r="AL74" s="313"/>
      <c r="AM74" s="313"/>
      <c r="AN74" s="313"/>
      <c r="AO74" s="313"/>
      <c r="AP74" s="313"/>
      <c r="AQ74" s="313"/>
      <c r="AR74" s="313"/>
      <c r="AS74" s="313"/>
      <c r="AT74" s="313"/>
      <c r="AU74" s="313"/>
      <c r="AV74" s="313"/>
      <c r="AW74" s="313"/>
      <c r="AX74" s="313"/>
      <c r="AY74" s="313"/>
    </row>
    <row r="75" spans="3:51">
      <c r="C75" s="313"/>
      <c r="D75" s="313"/>
      <c r="E75" s="313"/>
      <c r="F75" s="313"/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  <c r="T75" s="313"/>
      <c r="U75" s="313"/>
      <c r="V75" s="313"/>
      <c r="W75" s="313"/>
      <c r="X75" s="313"/>
      <c r="Y75" s="313"/>
      <c r="Z75" s="151"/>
      <c r="AA75" s="151"/>
      <c r="AB75" s="313"/>
      <c r="AC75" s="313"/>
      <c r="AD75" s="313"/>
      <c r="AE75" s="313"/>
      <c r="AF75" s="313"/>
      <c r="AG75" s="313"/>
      <c r="AH75" s="313"/>
      <c r="AI75" s="313"/>
      <c r="AJ75" s="313"/>
      <c r="AK75" s="313"/>
      <c r="AL75" s="313"/>
      <c r="AM75" s="313"/>
      <c r="AN75" s="313"/>
      <c r="AO75" s="313"/>
      <c r="AP75" s="313"/>
      <c r="AQ75" s="313"/>
      <c r="AR75" s="313"/>
      <c r="AS75" s="313"/>
      <c r="AT75" s="313"/>
      <c r="AU75" s="313"/>
      <c r="AV75" s="313"/>
      <c r="AW75" s="313"/>
      <c r="AX75" s="313"/>
      <c r="AY75" s="313"/>
    </row>
    <row r="76" spans="3:51"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151"/>
      <c r="AA76" s="151"/>
      <c r="AB76" s="313"/>
      <c r="AC76" s="313"/>
      <c r="AD76" s="313"/>
      <c r="AE76" s="313"/>
      <c r="AF76" s="313"/>
      <c r="AG76" s="313"/>
      <c r="AH76" s="313"/>
      <c r="AI76" s="313"/>
      <c r="AJ76" s="313"/>
      <c r="AK76" s="313"/>
      <c r="AL76" s="313"/>
      <c r="AM76" s="313"/>
      <c r="AN76" s="313"/>
      <c r="AO76" s="313"/>
      <c r="AP76" s="313"/>
      <c r="AQ76" s="313"/>
      <c r="AR76" s="313"/>
      <c r="AS76" s="313"/>
      <c r="AT76" s="313"/>
      <c r="AU76" s="313"/>
      <c r="AV76" s="313"/>
      <c r="AW76" s="313"/>
      <c r="AX76" s="313"/>
      <c r="AY76" s="313"/>
    </row>
    <row r="77" spans="3:51"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13"/>
      <c r="Y77" s="313"/>
      <c r="Z77" s="151"/>
      <c r="AA77" s="151"/>
      <c r="AB77" s="313"/>
      <c r="AC77" s="313"/>
      <c r="AD77" s="313"/>
      <c r="AE77" s="313"/>
      <c r="AF77" s="313"/>
      <c r="AG77" s="313"/>
      <c r="AH77" s="313"/>
      <c r="AI77" s="313"/>
      <c r="AJ77" s="313"/>
      <c r="AK77" s="313"/>
      <c r="AL77" s="313"/>
      <c r="AM77" s="313"/>
      <c r="AN77" s="313"/>
      <c r="AO77" s="313"/>
      <c r="AP77" s="313"/>
      <c r="AQ77" s="313"/>
      <c r="AR77" s="313"/>
      <c r="AS77" s="313"/>
      <c r="AT77" s="313"/>
      <c r="AU77" s="313"/>
      <c r="AV77" s="313"/>
      <c r="AW77" s="313"/>
      <c r="AX77" s="313"/>
      <c r="AY77" s="313"/>
    </row>
    <row r="78" spans="3:51"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  <c r="T78" s="313"/>
      <c r="U78" s="313"/>
      <c r="V78" s="313"/>
      <c r="W78" s="313"/>
      <c r="X78" s="313"/>
      <c r="Y78" s="313"/>
      <c r="Z78" s="151"/>
      <c r="AA78" s="151"/>
      <c r="AB78" s="313"/>
      <c r="AC78" s="313"/>
      <c r="AD78" s="313"/>
      <c r="AE78" s="313"/>
      <c r="AF78" s="313"/>
      <c r="AG78" s="313"/>
      <c r="AH78" s="313"/>
      <c r="AI78" s="313"/>
      <c r="AJ78" s="313"/>
      <c r="AK78" s="313"/>
      <c r="AL78" s="313"/>
      <c r="AM78" s="313"/>
      <c r="AN78" s="313"/>
      <c r="AO78" s="313"/>
      <c r="AP78" s="313"/>
      <c r="AQ78" s="313"/>
      <c r="AR78" s="313"/>
      <c r="AS78" s="313"/>
      <c r="AT78" s="313"/>
      <c r="AU78" s="313"/>
      <c r="AV78" s="313"/>
      <c r="AW78" s="313"/>
      <c r="AX78" s="313"/>
      <c r="AY78" s="313"/>
    </row>
    <row r="79" spans="3:51">
      <c r="C79" s="313"/>
      <c r="D79" s="313"/>
      <c r="E79" s="313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  <c r="T79" s="313"/>
      <c r="U79" s="313"/>
      <c r="V79" s="313"/>
      <c r="W79" s="313"/>
      <c r="X79" s="313"/>
      <c r="Y79" s="313"/>
      <c r="Z79" s="151"/>
      <c r="AA79" s="151"/>
      <c r="AB79" s="313"/>
      <c r="AC79" s="313"/>
      <c r="AD79" s="313"/>
      <c r="AE79" s="313"/>
      <c r="AF79" s="313"/>
      <c r="AG79" s="313"/>
      <c r="AH79" s="313"/>
      <c r="AI79" s="313"/>
      <c r="AJ79" s="313"/>
      <c r="AK79" s="313"/>
      <c r="AL79" s="313"/>
      <c r="AM79" s="313"/>
      <c r="AN79" s="313"/>
      <c r="AO79" s="313"/>
      <c r="AP79" s="313"/>
      <c r="AQ79" s="313"/>
      <c r="AR79" s="313"/>
      <c r="AS79" s="313"/>
      <c r="AT79" s="313"/>
      <c r="AU79" s="313"/>
      <c r="AV79" s="313"/>
      <c r="AW79" s="313"/>
      <c r="AX79" s="313"/>
      <c r="AY79" s="313"/>
    </row>
    <row r="80" spans="3:51"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  <c r="T80" s="313"/>
      <c r="U80" s="313"/>
      <c r="V80" s="313"/>
      <c r="W80" s="313"/>
      <c r="X80" s="313"/>
      <c r="Y80" s="313"/>
      <c r="Z80" s="151"/>
      <c r="AA80" s="151"/>
      <c r="AB80" s="313"/>
      <c r="AC80" s="313"/>
      <c r="AD80" s="313"/>
      <c r="AE80" s="313"/>
      <c r="AF80" s="313"/>
      <c r="AG80" s="313"/>
      <c r="AH80" s="313"/>
      <c r="AI80" s="313"/>
      <c r="AJ80" s="313"/>
      <c r="AK80" s="313"/>
      <c r="AL80" s="313"/>
      <c r="AM80" s="313"/>
      <c r="AN80" s="313"/>
      <c r="AO80" s="313"/>
      <c r="AP80" s="313"/>
      <c r="AQ80" s="313"/>
      <c r="AR80" s="313"/>
      <c r="AS80" s="313"/>
      <c r="AT80" s="313"/>
      <c r="AU80" s="313"/>
      <c r="AV80" s="313"/>
      <c r="AW80" s="313"/>
      <c r="AX80" s="313"/>
      <c r="AY80" s="313"/>
    </row>
    <row r="81" spans="3:51"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  <c r="T81" s="313"/>
      <c r="U81" s="313"/>
      <c r="V81" s="313"/>
      <c r="W81" s="313"/>
      <c r="X81" s="313"/>
      <c r="Y81" s="313"/>
      <c r="Z81" s="151"/>
      <c r="AA81" s="151"/>
      <c r="AB81" s="313"/>
      <c r="AC81" s="313"/>
      <c r="AD81" s="313"/>
      <c r="AE81" s="313"/>
      <c r="AF81" s="313"/>
      <c r="AG81" s="313"/>
      <c r="AH81" s="313"/>
      <c r="AI81" s="313"/>
      <c r="AJ81" s="313"/>
      <c r="AK81" s="313"/>
      <c r="AL81" s="313"/>
      <c r="AM81" s="313"/>
      <c r="AN81" s="313"/>
      <c r="AO81" s="313"/>
      <c r="AP81" s="313"/>
      <c r="AQ81" s="313"/>
      <c r="AR81" s="313"/>
      <c r="AS81" s="313"/>
      <c r="AT81" s="313"/>
      <c r="AU81" s="313"/>
      <c r="AV81" s="313"/>
      <c r="AW81" s="313"/>
      <c r="AX81" s="313"/>
      <c r="AY81" s="313"/>
    </row>
    <row r="82" spans="3:51"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13"/>
      <c r="Z82" s="151"/>
      <c r="AA82" s="151"/>
      <c r="AB82" s="313"/>
      <c r="AC82" s="313"/>
      <c r="AD82" s="313"/>
      <c r="AE82" s="313"/>
      <c r="AF82" s="313"/>
      <c r="AG82" s="313"/>
      <c r="AH82" s="313"/>
      <c r="AI82" s="313"/>
      <c r="AJ82" s="313"/>
      <c r="AK82" s="313"/>
      <c r="AL82" s="313"/>
      <c r="AM82" s="313"/>
      <c r="AN82" s="313"/>
      <c r="AO82" s="313"/>
      <c r="AP82" s="313"/>
      <c r="AQ82" s="313"/>
      <c r="AR82" s="313"/>
      <c r="AS82" s="313"/>
      <c r="AT82" s="313"/>
      <c r="AU82" s="313"/>
      <c r="AV82" s="313"/>
      <c r="AW82" s="313"/>
      <c r="AX82" s="313"/>
      <c r="AY82" s="313"/>
    </row>
    <row r="83" spans="3:51">
      <c r="C83" s="313"/>
      <c r="D83" s="313"/>
      <c r="E83" s="313"/>
      <c r="F83" s="313"/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  <c r="T83" s="313"/>
      <c r="U83" s="313"/>
      <c r="V83" s="313"/>
      <c r="W83" s="313"/>
      <c r="X83" s="313"/>
      <c r="Y83" s="313"/>
      <c r="Z83" s="151"/>
      <c r="AA83" s="151"/>
      <c r="AB83" s="313"/>
      <c r="AC83" s="313"/>
      <c r="AD83" s="313"/>
      <c r="AE83" s="313"/>
      <c r="AF83" s="313"/>
      <c r="AG83" s="313"/>
      <c r="AH83" s="313"/>
      <c r="AI83" s="313"/>
      <c r="AJ83" s="313"/>
      <c r="AK83" s="313"/>
      <c r="AL83" s="313"/>
      <c r="AM83" s="313"/>
      <c r="AN83" s="313"/>
      <c r="AO83" s="313"/>
      <c r="AP83" s="313"/>
      <c r="AQ83" s="313"/>
      <c r="AR83" s="313"/>
      <c r="AS83" s="313"/>
      <c r="AT83" s="313"/>
      <c r="AU83" s="313"/>
      <c r="AV83" s="313"/>
      <c r="AW83" s="313"/>
      <c r="AX83" s="313"/>
      <c r="AY83" s="313"/>
    </row>
    <row r="84" spans="3:51">
      <c r="C84" s="313"/>
      <c r="D84" s="313"/>
      <c r="E84" s="313"/>
      <c r="F84" s="313"/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  <c r="T84" s="313"/>
      <c r="U84" s="313"/>
      <c r="V84" s="313"/>
      <c r="W84" s="313"/>
      <c r="X84" s="313"/>
      <c r="Y84" s="313"/>
      <c r="Z84" s="151"/>
      <c r="AA84" s="151"/>
      <c r="AB84" s="313"/>
      <c r="AC84" s="313"/>
      <c r="AD84" s="313"/>
      <c r="AE84" s="313"/>
      <c r="AF84" s="313"/>
      <c r="AG84" s="313"/>
      <c r="AH84" s="313"/>
      <c r="AI84" s="313"/>
      <c r="AJ84" s="313"/>
      <c r="AK84" s="313"/>
      <c r="AL84" s="313"/>
      <c r="AM84" s="313"/>
      <c r="AN84" s="313"/>
      <c r="AO84" s="313"/>
      <c r="AP84" s="313"/>
      <c r="AQ84" s="313"/>
      <c r="AR84" s="313"/>
      <c r="AS84" s="313"/>
      <c r="AT84" s="313"/>
      <c r="AU84" s="313"/>
      <c r="AV84" s="313"/>
      <c r="AW84" s="313"/>
      <c r="AX84" s="313"/>
      <c r="AY84" s="313"/>
    </row>
    <row r="85" spans="3:51"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13"/>
      <c r="Y85" s="313"/>
      <c r="Z85" s="151"/>
      <c r="AA85" s="151"/>
      <c r="AB85" s="313"/>
      <c r="AC85" s="313"/>
      <c r="AD85" s="313"/>
      <c r="AE85" s="313"/>
      <c r="AF85" s="313"/>
      <c r="AG85" s="313"/>
      <c r="AH85" s="313"/>
      <c r="AI85" s="313"/>
      <c r="AJ85" s="313"/>
      <c r="AK85" s="313"/>
      <c r="AL85" s="313"/>
      <c r="AM85" s="313"/>
      <c r="AN85" s="313"/>
      <c r="AO85" s="313"/>
      <c r="AP85" s="313"/>
      <c r="AQ85" s="313"/>
      <c r="AR85" s="313"/>
      <c r="AS85" s="313"/>
      <c r="AT85" s="313"/>
      <c r="AU85" s="313"/>
      <c r="AV85" s="313"/>
      <c r="AW85" s="313"/>
      <c r="AX85" s="313"/>
      <c r="AY85" s="313"/>
    </row>
    <row r="86" spans="3:51"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13"/>
      <c r="Y86" s="313"/>
      <c r="Z86" s="151"/>
      <c r="AA86" s="151"/>
      <c r="AB86" s="313"/>
      <c r="AC86" s="313"/>
      <c r="AD86" s="313"/>
      <c r="AE86" s="313"/>
      <c r="AF86" s="313"/>
      <c r="AG86" s="313"/>
      <c r="AH86" s="313"/>
      <c r="AI86" s="313"/>
      <c r="AJ86" s="313"/>
      <c r="AK86" s="313"/>
      <c r="AL86" s="313"/>
      <c r="AM86" s="313"/>
      <c r="AN86" s="313"/>
      <c r="AO86" s="313"/>
      <c r="AP86" s="313"/>
      <c r="AQ86" s="313"/>
      <c r="AR86" s="313"/>
      <c r="AS86" s="313"/>
      <c r="AT86" s="313"/>
      <c r="AU86" s="313"/>
      <c r="AV86" s="313"/>
      <c r="AW86" s="313"/>
      <c r="AX86" s="313"/>
      <c r="AY86" s="313"/>
    </row>
    <row r="87" spans="3:51"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13"/>
      <c r="Y87" s="313"/>
      <c r="Z87" s="151"/>
      <c r="AA87" s="151"/>
      <c r="AB87" s="313"/>
      <c r="AC87" s="313"/>
      <c r="AD87" s="313"/>
      <c r="AE87" s="313"/>
      <c r="AF87" s="313"/>
      <c r="AG87" s="313"/>
      <c r="AH87" s="313"/>
      <c r="AI87" s="313"/>
      <c r="AJ87" s="313"/>
      <c r="AK87" s="313"/>
      <c r="AL87" s="313"/>
      <c r="AM87" s="313"/>
      <c r="AN87" s="313"/>
      <c r="AO87" s="313"/>
      <c r="AP87" s="313"/>
      <c r="AQ87" s="313"/>
      <c r="AR87" s="313"/>
      <c r="AS87" s="313"/>
      <c r="AT87" s="313"/>
      <c r="AU87" s="313"/>
      <c r="AV87" s="313"/>
      <c r="AW87" s="313"/>
      <c r="AX87" s="313"/>
      <c r="AY87" s="313"/>
    </row>
    <row r="88" spans="3:51">
      <c r="C88" s="313"/>
      <c r="D88" s="313"/>
      <c r="E88" s="313"/>
      <c r="F88" s="313"/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  <c r="T88" s="313"/>
      <c r="U88" s="313"/>
      <c r="V88" s="313"/>
      <c r="W88" s="313"/>
      <c r="X88" s="313"/>
      <c r="Y88" s="313"/>
      <c r="Z88" s="151"/>
      <c r="AA88" s="151"/>
      <c r="AB88" s="313"/>
      <c r="AC88" s="313"/>
      <c r="AD88" s="313"/>
      <c r="AE88" s="313"/>
      <c r="AF88" s="313"/>
      <c r="AG88" s="313"/>
      <c r="AH88" s="313"/>
      <c r="AI88" s="313"/>
      <c r="AJ88" s="313"/>
      <c r="AK88" s="313"/>
      <c r="AL88" s="313"/>
      <c r="AM88" s="313"/>
      <c r="AN88" s="313"/>
      <c r="AO88" s="313"/>
      <c r="AP88" s="313"/>
      <c r="AQ88" s="313"/>
      <c r="AR88" s="313"/>
      <c r="AS88" s="313"/>
      <c r="AT88" s="313"/>
      <c r="AU88" s="313"/>
      <c r="AV88" s="313"/>
      <c r="AW88" s="313"/>
      <c r="AX88" s="313"/>
      <c r="AY88" s="313"/>
    </row>
    <row r="89" spans="3:51">
      <c r="C89" s="313"/>
      <c r="D89" s="313"/>
      <c r="E89" s="313"/>
      <c r="F89" s="313"/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  <c r="T89" s="313"/>
      <c r="U89" s="313"/>
      <c r="V89" s="313"/>
      <c r="W89" s="313"/>
      <c r="X89" s="313"/>
      <c r="Y89" s="313"/>
      <c r="Z89" s="151"/>
      <c r="AA89" s="151"/>
      <c r="AB89" s="313"/>
      <c r="AC89" s="313"/>
      <c r="AD89" s="313"/>
      <c r="AE89" s="313"/>
      <c r="AF89" s="313"/>
      <c r="AG89" s="313"/>
      <c r="AH89" s="313"/>
      <c r="AI89" s="313"/>
      <c r="AJ89" s="313"/>
      <c r="AK89" s="313"/>
      <c r="AL89" s="313"/>
      <c r="AM89" s="313"/>
      <c r="AN89" s="313"/>
      <c r="AO89" s="313"/>
      <c r="AP89" s="313"/>
      <c r="AQ89" s="313"/>
      <c r="AR89" s="313"/>
      <c r="AS89" s="313"/>
      <c r="AT89" s="313"/>
      <c r="AU89" s="313"/>
      <c r="AV89" s="313"/>
      <c r="AW89" s="313"/>
      <c r="AX89" s="313"/>
      <c r="AY89" s="313"/>
    </row>
    <row r="90" spans="3:51"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  <c r="T90" s="313"/>
      <c r="U90" s="313"/>
      <c r="V90" s="313"/>
      <c r="W90" s="313"/>
      <c r="X90" s="313"/>
      <c r="Y90" s="313"/>
      <c r="Z90" s="151"/>
      <c r="AA90" s="151"/>
      <c r="AB90" s="313"/>
      <c r="AC90" s="313"/>
      <c r="AD90" s="313"/>
      <c r="AE90" s="313"/>
      <c r="AF90" s="313"/>
      <c r="AG90" s="313"/>
      <c r="AH90" s="313"/>
      <c r="AI90" s="313"/>
      <c r="AJ90" s="313"/>
      <c r="AK90" s="313"/>
      <c r="AL90" s="313"/>
      <c r="AM90" s="313"/>
      <c r="AN90" s="313"/>
      <c r="AO90" s="313"/>
      <c r="AP90" s="313"/>
      <c r="AQ90" s="313"/>
      <c r="AR90" s="313"/>
      <c r="AS90" s="313"/>
      <c r="AT90" s="313"/>
      <c r="AU90" s="313"/>
      <c r="AV90" s="313"/>
      <c r="AW90" s="313"/>
      <c r="AX90" s="313"/>
      <c r="AY90" s="313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E41" sqref="E41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Calpine</v>
      </c>
      <c r="Y2" s="6"/>
      <c r="Z2" s="6"/>
    </row>
    <row r="3" spans="1:35">
      <c r="Y3" s="6"/>
      <c r="Z3" s="6"/>
    </row>
    <row r="4" spans="1:35" ht="18.75">
      <c r="A4" s="60" t="s">
        <v>389</v>
      </c>
      <c r="Y4" s="6"/>
      <c r="Z4" s="6"/>
    </row>
    <row r="5" spans="1:35">
      <c r="Y5" s="6"/>
      <c r="Z5" s="6"/>
    </row>
    <row r="6" spans="1:35">
      <c r="B6" s="215">
        <v>0</v>
      </c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5" ht="13.5" thickBot="1">
      <c r="A7" s="123" t="s">
        <v>40</v>
      </c>
      <c r="B7" s="7" t="s">
        <v>258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37256.0625</v>
      </c>
      <c r="D8" s="150">
        <f>BS!E8</f>
        <v>37621.3125</v>
      </c>
      <c r="E8" s="150">
        <f>BS!F8</f>
        <v>37986.5625</v>
      </c>
      <c r="F8" s="150">
        <f>BS!G8</f>
        <v>38351.8125</v>
      </c>
      <c r="G8" s="150">
        <f>BS!H8</f>
        <v>38717.0625</v>
      </c>
      <c r="H8" s="150">
        <f>BS!I8</f>
        <v>39082.3125</v>
      </c>
      <c r="I8" s="150">
        <f>BS!J8</f>
        <v>39447.5625</v>
      </c>
      <c r="J8" s="150">
        <f>BS!K8</f>
        <v>39812.8125</v>
      </c>
      <c r="K8" s="150">
        <f>BS!L8</f>
        <v>40178.0625</v>
      </c>
      <c r="L8" s="150">
        <f>BS!M8</f>
        <v>40543.3125</v>
      </c>
      <c r="M8" s="150">
        <f>BS!N8</f>
        <v>40908.5625</v>
      </c>
      <c r="N8" s="150">
        <f>BS!O8</f>
        <v>41273.8125</v>
      </c>
      <c r="O8" s="150">
        <f>BS!P8</f>
        <v>41639.0625</v>
      </c>
      <c r="P8" s="150">
        <f>BS!Q8</f>
        <v>42004.3125</v>
      </c>
      <c r="Q8" s="150">
        <f>BS!R8</f>
        <v>42369.5625</v>
      </c>
      <c r="R8" s="150">
        <f>BS!S8</f>
        <v>42734.8125</v>
      </c>
      <c r="S8" s="150">
        <f>BS!T8</f>
        <v>43100.0625</v>
      </c>
      <c r="T8" s="150">
        <f>BS!U8</f>
        <v>43465.3125</v>
      </c>
      <c r="U8" s="150">
        <f>BS!V8</f>
        <v>43830.5625</v>
      </c>
      <c r="V8" s="150">
        <f>BS!W8</f>
        <v>44195.8125</v>
      </c>
      <c r="W8" s="150">
        <f>BS!X8</f>
        <v>44561.0625</v>
      </c>
      <c r="X8" s="150">
        <f>BS!Y8</f>
        <v>44926.3125</v>
      </c>
      <c r="Y8" s="150">
        <f>BS!Z8</f>
        <v>45291.5625</v>
      </c>
      <c r="Z8" s="150">
        <f>BS!AA8</f>
        <v>45656.8125</v>
      </c>
      <c r="AA8" s="150">
        <f>BS!AB8</f>
        <v>46022.0625</v>
      </c>
      <c r="AB8" s="150">
        <f>BS!AC8</f>
        <v>46387.3125</v>
      </c>
      <c r="AC8" s="150">
        <f>BS!AD8</f>
        <v>46752.5625</v>
      </c>
      <c r="AD8" s="150">
        <f>BS!AE8</f>
        <v>47117.8125</v>
      </c>
      <c r="AE8" s="150">
        <f>BS!AF8</f>
        <v>47483.0625</v>
      </c>
      <c r="AF8" s="150">
        <f>BS!AG8</f>
        <v>47848.3125</v>
      </c>
      <c r="AG8" s="150">
        <f>BS!AH8</f>
        <v>48213.5625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49</v>
      </c>
      <c r="B11" s="18">
        <v>0</v>
      </c>
      <c r="C11" s="18">
        <f>IS!C32</f>
        <v>5603.1656179523216</v>
      </c>
      <c r="D11" s="18">
        <f>IS!D32</f>
        <v>9571.1067736325567</v>
      </c>
      <c r="E11" s="18">
        <f>IS!E32</f>
        <v>9535.7571736325572</v>
      </c>
      <c r="F11" s="18">
        <f>IS!F32</f>
        <v>10791.224565240884</v>
      </c>
      <c r="G11" s="18">
        <f>IS!G32</f>
        <v>11627.307067895552</v>
      </c>
      <c r="H11" s="18">
        <f>IS!H32</f>
        <v>11751.673540382937</v>
      </c>
      <c r="I11" s="18">
        <f>IS!I32</f>
        <v>11872.96490895472</v>
      </c>
      <c r="J11" s="18">
        <f>IS!J32</f>
        <v>11990.884737550734</v>
      </c>
      <c r="K11" s="18">
        <f>IS!K32</f>
        <v>12353.028476468284</v>
      </c>
      <c r="L11" s="18">
        <f>IS!L32</f>
        <v>12470.692415477964</v>
      </c>
      <c r="M11" s="18">
        <f>IS!M32</f>
        <v>12847.230384733335</v>
      </c>
      <c r="N11" s="18">
        <f>IS!N32</f>
        <v>12964.16992456558</v>
      </c>
      <c r="O11" s="18">
        <f>IS!O32</f>
        <v>13355.512219093574</v>
      </c>
      <c r="P11" s="18">
        <f>IS!P32</f>
        <v>13471.202734734932</v>
      </c>
      <c r="Q11" s="18">
        <f>IS!Q32</f>
        <v>13581.74220441386</v>
      </c>
      <c r="R11" s="18">
        <f>IS!R32</f>
        <v>13686.717443908523</v>
      </c>
      <c r="S11" s="18">
        <f>IS!S32</f>
        <v>13832.696162599514</v>
      </c>
      <c r="T11" s="18">
        <f>IS!T32</f>
        <v>13958.794108824613</v>
      </c>
      <c r="U11" s="18">
        <f>IS!U32</f>
        <v>14044.391782004705</v>
      </c>
      <c r="V11" s="18">
        <f>IS!V32</f>
        <v>14122.56240087765</v>
      </c>
      <c r="W11" s="18">
        <f>IS!W32</f>
        <v>4708.3814795136022</v>
      </c>
      <c r="X11" s="18">
        <f>IS!X32</f>
        <v>-2128.1769900356658</v>
      </c>
      <c r="Y11" s="18">
        <f>IS!Y32</f>
        <v>-2192.0222997367337</v>
      </c>
      <c r="Z11" s="18">
        <f>IS!Z32</f>
        <v>-2257.7829687288367</v>
      </c>
      <c r="AA11" s="18">
        <f>IS!AA32</f>
        <v>-2325.5164577907026</v>
      </c>
      <c r="AB11" s="18">
        <f>IS!AB32</f>
        <v>-2395.2819515244237</v>
      </c>
      <c r="AC11" s="18">
        <f>IS!AC32</f>
        <v>-2467.1404100701557</v>
      </c>
      <c r="AD11" s="18">
        <f>IS!AD32</f>
        <v>-2541.1546223722626</v>
      </c>
      <c r="AE11" s="18">
        <f>IS!AE32</f>
        <v>-2617.3892610434277</v>
      </c>
      <c r="AF11" s="18">
        <f>IS!AF32</f>
        <v>-2695.910938874732</v>
      </c>
      <c r="AG11" s="18">
        <f>IS!AG32</f>
        <v>-2776.7882670409736</v>
      </c>
    </row>
    <row r="12" spans="1:35">
      <c r="A12" s="45" t="s">
        <v>81</v>
      </c>
      <c r="B12" s="452">
        <v>0</v>
      </c>
      <c r="C12" s="452">
        <f>-(Debt!B36)</f>
        <v>-2176.0868660312376</v>
      </c>
      <c r="D12" s="452">
        <f>-(Debt!B44+Debt!C27+Debt!C36)</f>
        <v>-6469.762593948034</v>
      </c>
      <c r="E12" s="452">
        <f>-(Debt!C44+Debt!D27+Debt!D36)</f>
        <v>-6393.4827401776438</v>
      </c>
      <c r="F12" s="452">
        <f>-(Debt!D44+Debt!E27+Debt!E36)</f>
        <v>-6300.6915830135767</v>
      </c>
      <c r="G12" s="452">
        <f>-(Debt!E44+Debt!F27+Debt!F36)</f>
        <v>-6122.9310549468546</v>
      </c>
      <c r="H12" s="452">
        <f>-(Debt!F44+Debt!G27+Debt!G36)</f>
        <v>-5891.7711482166251</v>
      </c>
      <c r="I12" s="452">
        <f>-(Debt!G44+Debt!H27+Debt!H36)</f>
        <v>-5618.5768280412485</v>
      </c>
      <c r="J12" s="452">
        <f>-(Debt!H44+Debt!I27+Debt!I36)</f>
        <v>-5317.8055018206251</v>
      </c>
      <c r="K12" s="452">
        <f>-(Debt!I44+Debt!J27+Debt!J36)</f>
        <v>-4967.5271974529132</v>
      </c>
      <c r="L12" s="452">
        <f>-(Debt!J44+Debt!K27+Debt!K36)</f>
        <v>-4580.9876053662974</v>
      </c>
      <c r="M12" s="452">
        <f>-(Debt!K44+Debt!L27+Debt!L36)</f>
        <v>-4142.7724562932199</v>
      </c>
      <c r="N12" s="452">
        <f>-(Debt!L44+Debt!M27+Debt!M36)</f>
        <v>-3650.9400565902761</v>
      </c>
      <c r="O12" s="452">
        <f>-(Debt!M44+Debt!N27+Debt!N36)</f>
        <v>-3092.9801755590743</v>
      </c>
      <c r="P12" s="452">
        <f>-(Debt!N44+Debt!O27+Debt!O36)</f>
        <v>-2475.9095914154123</v>
      </c>
      <c r="Q12" s="452">
        <f>-(Debt!O44+Debt!P27+Debt!P36)</f>
        <v>-1791.4006096676112</v>
      </c>
      <c r="R12" s="452">
        <f>-(Debt!P44+Debt!Q27+Debt!Q36)</f>
        <v>-1041.4330880526204</v>
      </c>
      <c r="S12" s="452">
        <f>-(Debt!Q44+Debt!R27+Debt!R36)</f>
        <v>-215.32579404045737</v>
      </c>
      <c r="T12" s="452">
        <f>-(Debt!R44+Debt!S27+Debt!S36)</f>
        <v>0</v>
      </c>
      <c r="U12" s="452">
        <f>-(Debt!S44+Debt!T27+Debt!T36)</f>
        <v>0</v>
      </c>
      <c r="V12" s="452">
        <f>-(Debt!T44+Debt!U27+Debt!U36)</f>
        <v>0</v>
      </c>
      <c r="W12" s="452">
        <f>-(Debt!U44+Debt!V27+Debt!V36)</f>
        <v>0</v>
      </c>
      <c r="X12" s="452">
        <f>-(Debt!V44+Debt!W27+Debt!W36)</f>
        <v>-6.9451673073672628</v>
      </c>
      <c r="Y12" s="452">
        <f>-(Debt!W44+Debt!X27+Debt!X36)</f>
        <v>-64.564768330556561</v>
      </c>
      <c r="Z12" s="452">
        <f>-(Debt!X44+Debt!Y27+Debt!Y36)</f>
        <v>-216.59654295690734</v>
      </c>
      <c r="AA12" s="452">
        <f>-(Debt!Y44+Debt!Z27+Debt!Z36)</f>
        <v>-385.95251084017679</v>
      </c>
      <c r="AB12" s="452">
        <f>-(Debt!Z44+Debt!AA27+Debt!AA36)</f>
        <v>-574.91209248103075</v>
      </c>
      <c r="AC12" s="452">
        <f>-(Debt!AA44+Debt!AB27+Debt!AB36)</f>
        <v>-784.76850631110347</v>
      </c>
      <c r="AD12" s="452">
        <f>-(Debt!AB44+Debt!AC27+Debt!AC36)</f>
        <v>-1018.2346269261129</v>
      </c>
      <c r="AE12" s="452">
        <f>-(Debt!AC44+Debt!AD27+Debt!AD36)</f>
        <v>-1274.9504007065457</v>
      </c>
      <c r="AF12" s="452">
        <f>-(Debt!AD44+Debt!AE27+Debt!AE36)</f>
        <v>-1561.1766678241297</v>
      </c>
      <c r="AG12" s="452">
        <f>-(Debt!AE44+Debt!AF27+Debt!AF36)</f>
        <v>-1057.1774924468141</v>
      </c>
      <c r="AH12" s="13"/>
      <c r="AI12" s="13"/>
    </row>
    <row r="13" spans="1:35">
      <c r="A13" s="45" t="s">
        <v>360</v>
      </c>
      <c r="B13" s="64">
        <f>SUM(B11:B12)</f>
        <v>0</v>
      </c>
      <c r="C13" s="64">
        <f t="shared" ref="C13:AG13" si="0">SUM(C11:C12)</f>
        <v>3427.0787519210839</v>
      </c>
      <c r="D13" s="64">
        <f t="shared" si="0"/>
        <v>3101.3441796845227</v>
      </c>
      <c r="E13" s="64">
        <f t="shared" si="0"/>
        <v>3142.2744334549134</v>
      </c>
      <c r="F13" s="64">
        <f t="shared" si="0"/>
        <v>4490.532982227307</v>
      </c>
      <c r="G13" s="64">
        <f t="shared" si="0"/>
        <v>5504.3760129486973</v>
      </c>
      <c r="H13" s="64">
        <f t="shared" si="0"/>
        <v>5859.902392166312</v>
      </c>
      <c r="I13" s="64">
        <f t="shared" si="0"/>
        <v>6254.3880809134716</v>
      </c>
      <c r="J13" s="64">
        <f t="shared" si="0"/>
        <v>6673.0792357301088</v>
      </c>
      <c r="K13" s="64">
        <f t="shared" si="0"/>
        <v>7385.5012790153705</v>
      </c>
      <c r="L13" s="64">
        <f t="shared" si="0"/>
        <v>7889.704810111667</v>
      </c>
      <c r="M13" s="64">
        <f t="shared" si="0"/>
        <v>8704.4579284401152</v>
      </c>
      <c r="N13" s="64">
        <f t="shared" si="0"/>
        <v>9313.2298679753039</v>
      </c>
      <c r="O13" s="64">
        <f t="shared" si="0"/>
        <v>10262.5320435345</v>
      </c>
      <c r="P13" s="64">
        <f t="shared" si="0"/>
        <v>10995.293143319519</v>
      </c>
      <c r="Q13" s="64">
        <f t="shared" si="0"/>
        <v>11790.341594746249</v>
      </c>
      <c r="R13" s="64">
        <f t="shared" si="0"/>
        <v>12645.284355855903</v>
      </c>
      <c r="S13" s="64">
        <f t="shared" si="0"/>
        <v>13617.370368559055</v>
      </c>
      <c r="T13" s="64">
        <f t="shared" si="0"/>
        <v>13958.794108824613</v>
      </c>
      <c r="U13" s="64">
        <f t="shared" si="0"/>
        <v>14044.391782004705</v>
      </c>
      <c r="V13" s="64">
        <f t="shared" si="0"/>
        <v>14122.56240087765</v>
      </c>
      <c r="W13" s="64">
        <f t="shared" si="0"/>
        <v>4708.3814795136022</v>
      </c>
      <c r="X13" s="64">
        <f t="shared" si="0"/>
        <v>-2135.122157343033</v>
      </c>
      <c r="Y13" s="64">
        <f t="shared" si="0"/>
        <v>-2256.5870680672901</v>
      </c>
      <c r="Z13" s="64">
        <f t="shared" si="0"/>
        <v>-2474.3795116857441</v>
      </c>
      <c r="AA13" s="64">
        <f t="shared" si="0"/>
        <v>-2711.4689686308793</v>
      </c>
      <c r="AB13" s="64">
        <f t="shared" si="0"/>
        <v>-2970.1940440054545</v>
      </c>
      <c r="AC13" s="64">
        <f t="shared" si="0"/>
        <v>-3251.9089163812591</v>
      </c>
      <c r="AD13" s="64">
        <f t="shared" si="0"/>
        <v>-3559.3892492983755</v>
      </c>
      <c r="AE13" s="64">
        <f t="shared" si="0"/>
        <v>-3892.3396617499734</v>
      </c>
      <c r="AF13" s="64">
        <f t="shared" si="0"/>
        <v>-4257.0876066988621</v>
      </c>
      <c r="AG13" s="64">
        <f t="shared" si="0"/>
        <v>-3833.9657594877876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361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-469.32988344234536</v>
      </c>
      <c r="R15" s="18">
        <f>-Taxes!Q24-Taxes!Q41</f>
        <v>-3889.4494640662606</v>
      </c>
      <c r="S15" s="18">
        <f>-Taxes!R24-Taxes!R41</f>
        <v>-5428.1924066381507</v>
      </c>
      <c r="T15" s="18">
        <f>-Taxes!S24-Taxes!S41</f>
        <v>-5520.7030700401338</v>
      </c>
      <c r="U15" s="18">
        <f>-Taxes!T24-Taxes!T41</f>
        <v>-5554.556949782861</v>
      </c>
      <c r="V15" s="18">
        <f>-Taxes!U24-Taxes!U41</f>
        <v>-5585.4734295471098</v>
      </c>
      <c r="W15" s="18">
        <f>-Taxes!V24-Taxes!V41</f>
        <v>-1862.1648751476296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82</v>
      </c>
      <c r="B16" s="64">
        <v>0</v>
      </c>
      <c r="C16" s="23">
        <f>-Debt!B48</f>
        <v>-292.62460161116906</v>
      </c>
      <c r="D16" s="23">
        <f>-Debt!C48</f>
        <v>-898.488438995264</v>
      </c>
      <c r="E16" s="23">
        <f>-Debt!D48</f>
        <v>-948.49446103601076</v>
      </c>
      <c r="F16" s="23">
        <f>-Debt!E48</f>
        <v>-1765.1303299638967</v>
      </c>
      <c r="G16" s="23">
        <f>-Debt!F48</f>
        <v>-2655.1522074536624</v>
      </c>
      <c r="H16" s="23">
        <f>-Debt!G48</f>
        <v>-3124.1266246883897</v>
      </c>
      <c r="I16" s="23">
        <f>-Debt!H48</f>
        <v>-3491.2117435676992</v>
      </c>
      <c r="J16" s="23">
        <f>-Debt!I48</f>
        <v>-3889.6203464366772</v>
      </c>
      <c r="K16" s="23">
        <f>-Debt!J48</f>
        <v>-4459.0670564461834</v>
      </c>
      <c r="L16" s="23">
        <f>-Debt!K48</f>
        <v>-4989.2870272987711</v>
      </c>
      <c r="M16" s="23">
        <f>-Debt!L48</f>
        <v>-5667.4996938130644</v>
      </c>
      <c r="N16" s="23">
        <f>-Debt!M48</f>
        <v>-6305.8646983268773</v>
      </c>
      <c r="O16" s="23">
        <f>-Debt!N48</f>
        <v>-7098.6457028405421</v>
      </c>
      <c r="P16" s="23">
        <f>-Debt!O48</f>
        <v>-7864.366828510585</v>
      </c>
      <c r="Q16" s="23">
        <f>-Debt!P48</f>
        <v>-8634.8940433782846</v>
      </c>
      <c r="R16" s="23">
        <f>-Debt!Q48</f>
        <v>-9473.8505829529568</v>
      </c>
      <c r="S16" s="23">
        <f>-Debt!R48</f>
        <v>-5087.3581409258104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332.88358803241397</v>
      </c>
      <c r="Y16" s="23">
        <f>-Debt!X48</f>
        <v>1738.4914621579765</v>
      </c>
      <c r="Z16" s="23">
        <f>-Debt!Y48</f>
        <v>1941.9240962697918</v>
      </c>
      <c r="AA16" s="23">
        <f>-Debt!Z48</f>
        <v>2160.6382816510454</v>
      </c>
      <c r="AB16" s="23">
        <f>-Debt!AA48</f>
        <v>2404.0569868469856</v>
      </c>
      <c r="AC16" s="23">
        <f>-Debt!AB48</f>
        <v>2668.7877475080386</v>
      </c>
      <c r="AD16" s="23">
        <f>-Debt!AC48</f>
        <v>2960.1059883155103</v>
      </c>
      <c r="AE16" s="23">
        <f>-Debt!AD48</f>
        <v>3272.3748707358191</v>
      </c>
      <c r="AF16" s="23">
        <f>-Debt!AE48</f>
        <v>3619.8953611995385</v>
      </c>
      <c r="AG16" s="23">
        <f>-Debt!AF48</f>
        <v>3710.1924827683215</v>
      </c>
    </row>
    <row r="17" spans="1:33">
      <c r="A17" s="45" t="s">
        <v>362</v>
      </c>
      <c r="B17" s="453">
        <v>0</v>
      </c>
      <c r="C17" s="453">
        <v>0</v>
      </c>
      <c r="D17" s="453">
        <v>0</v>
      </c>
      <c r="E17" s="453">
        <v>0</v>
      </c>
      <c r="F17" s="453">
        <v>0</v>
      </c>
      <c r="G17" s="453">
        <v>0</v>
      </c>
      <c r="H17" s="453">
        <v>0</v>
      </c>
      <c r="I17" s="453">
        <v>0</v>
      </c>
      <c r="J17" s="453">
        <v>0</v>
      </c>
      <c r="K17" s="453">
        <v>0</v>
      </c>
      <c r="L17" s="453">
        <v>0</v>
      </c>
      <c r="M17" s="453">
        <v>0</v>
      </c>
      <c r="N17" s="453">
        <v>0</v>
      </c>
      <c r="O17" s="453">
        <v>0</v>
      </c>
      <c r="P17" s="453">
        <v>0</v>
      </c>
      <c r="Q17" s="453">
        <v>0</v>
      </c>
      <c r="R17" s="453">
        <v>0</v>
      </c>
      <c r="S17" s="453">
        <v>0</v>
      </c>
      <c r="T17" s="453">
        <v>0</v>
      </c>
      <c r="U17" s="453">
        <v>0</v>
      </c>
      <c r="V17" s="453">
        <v>0</v>
      </c>
      <c r="W17" s="453">
        <v>0</v>
      </c>
      <c r="X17" s="453">
        <v>0</v>
      </c>
      <c r="Y17" s="453">
        <v>0</v>
      </c>
      <c r="Z17" s="453">
        <v>0</v>
      </c>
      <c r="AA17" s="453">
        <v>0</v>
      </c>
      <c r="AB17" s="453">
        <v>0</v>
      </c>
      <c r="AC17" s="453">
        <v>0</v>
      </c>
      <c r="AD17" s="453">
        <v>0</v>
      </c>
      <c r="AE17" s="453">
        <v>0</v>
      </c>
      <c r="AF17" s="453">
        <v>0</v>
      </c>
      <c r="AG17" s="453">
        <v>0</v>
      </c>
    </row>
    <row r="18" spans="1:33">
      <c r="A18" s="45" t="s">
        <v>363</v>
      </c>
      <c r="B18" s="64">
        <f>B13+B17+B16+B15</f>
        <v>0</v>
      </c>
      <c r="C18" s="64">
        <f t="shared" ref="C18:AG18" si="1">C13+C17+C16+C15</f>
        <v>3134.4541503099149</v>
      </c>
      <c r="D18" s="64">
        <f t="shared" si="1"/>
        <v>2202.8557406892587</v>
      </c>
      <c r="E18" s="64">
        <f t="shared" si="1"/>
        <v>2193.7799724189026</v>
      </c>
      <c r="F18" s="64">
        <f t="shared" si="1"/>
        <v>2725.4026522634103</v>
      </c>
      <c r="G18" s="64">
        <f t="shared" si="1"/>
        <v>2849.2238054950349</v>
      </c>
      <c r="H18" s="64">
        <f t="shared" si="1"/>
        <v>2735.7757674779223</v>
      </c>
      <c r="I18" s="64">
        <f t="shared" si="1"/>
        <v>2763.1763373457725</v>
      </c>
      <c r="J18" s="64">
        <f t="shared" si="1"/>
        <v>2783.4588892934316</v>
      </c>
      <c r="K18" s="64">
        <f t="shared" si="1"/>
        <v>2926.4342225691871</v>
      </c>
      <c r="L18" s="64">
        <f t="shared" si="1"/>
        <v>2900.4177828128959</v>
      </c>
      <c r="M18" s="64">
        <f t="shared" si="1"/>
        <v>3036.9582346270508</v>
      </c>
      <c r="N18" s="64">
        <f t="shared" si="1"/>
        <v>3007.3651696484267</v>
      </c>
      <c r="O18" s="64">
        <f t="shared" si="1"/>
        <v>3163.8863406939581</v>
      </c>
      <c r="P18" s="64">
        <f t="shared" si="1"/>
        <v>3130.926314808934</v>
      </c>
      <c r="Q18" s="64">
        <f t="shared" si="1"/>
        <v>2686.1176679256191</v>
      </c>
      <c r="R18" s="64">
        <f t="shared" si="1"/>
        <v>-718.01569116331393</v>
      </c>
      <c r="S18" s="64">
        <f t="shared" si="1"/>
        <v>3101.8198209950933</v>
      </c>
      <c r="T18" s="64">
        <f t="shared" si="1"/>
        <v>8438.0910387844797</v>
      </c>
      <c r="U18" s="64">
        <f t="shared" si="1"/>
        <v>8489.8348322218444</v>
      </c>
      <c r="V18" s="64">
        <f t="shared" si="1"/>
        <v>8537.0889713305405</v>
      </c>
      <c r="W18" s="64">
        <f t="shared" si="1"/>
        <v>2846.2166043659727</v>
      </c>
      <c r="X18" s="64">
        <f t="shared" si="1"/>
        <v>-1802.2385693106189</v>
      </c>
      <c r="Y18" s="64">
        <f t="shared" si="1"/>
        <v>-518.09560590931369</v>
      </c>
      <c r="Z18" s="64">
        <f t="shared" si="1"/>
        <v>-532.4554154159523</v>
      </c>
      <c r="AA18" s="64">
        <f t="shared" si="1"/>
        <v>-550.8306869798339</v>
      </c>
      <c r="AB18" s="64">
        <f t="shared" si="1"/>
        <v>-566.13705715846891</v>
      </c>
      <c r="AC18" s="64">
        <f t="shared" si="1"/>
        <v>-583.12116887322054</v>
      </c>
      <c r="AD18" s="64">
        <f t="shared" si="1"/>
        <v>-599.28326098286516</v>
      </c>
      <c r="AE18" s="64">
        <f t="shared" si="1"/>
        <v>-619.96479101415434</v>
      </c>
      <c r="AF18" s="64">
        <f t="shared" si="1"/>
        <v>-637.19224549932369</v>
      </c>
      <c r="AG18" s="64">
        <f t="shared" si="1"/>
        <v>-123.77327671946614</v>
      </c>
    </row>
    <row r="19" spans="1:33">
      <c r="A19" s="340"/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05"/>
      <c r="AB19" s="405"/>
      <c r="AC19" s="405"/>
      <c r="AD19" s="405"/>
      <c r="AE19" s="405"/>
      <c r="AF19" s="405"/>
      <c r="AG19" s="405"/>
    </row>
    <row r="20" spans="1:33">
      <c r="A20" s="454" t="s">
        <v>414</v>
      </c>
      <c r="B20" s="525">
        <v>1</v>
      </c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5"/>
      <c r="AG20" s="405"/>
    </row>
    <row r="21" spans="1:33">
      <c r="B21" s="64">
        <f>$B$20*B18</f>
        <v>0</v>
      </c>
      <c r="C21" s="64">
        <f t="shared" ref="C21:AG21" si="2">$B$20*C18</f>
        <v>3134.4541503099149</v>
      </c>
      <c r="D21" s="64">
        <f t="shared" si="2"/>
        <v>2202.8557406892587</v>
      </c>
      <c r="E21" s="64">
        <f t="shared" si="2"/>
        <v>2193.7799724189026</v>
      </c>
      <c r="F21" s="64">
        <f t="shared" si="2"/>
        <v>2725.4026522634103</v>
      </c>
      <c r="G21" s="64">
        <f t="shared" si="2"/>
        <v>2849.2238054950349</v>
      </c>
      <c r="H21" s="64">
        <f t="shared" si="2"/>
        <v>2735.7757674779223</v>
      </c>
      <c r="I21" s="64">
        <f t="shared" si="2"/>
        <v>2763.1763373457725</v>
      </c>
      <c r="J21" s="64">
        <f t="shared" si="2"/>
        <v>2783.4588892934316</v>
      </c>
      <c r="K21" s="64">
        <f t="shared" si="2"/>
        <v>2926.4342225691871</v>
      </c>
      <c r="L21" s="64">
        <f t="shared" si="2"/>
        <v>2900.4177828128959</v>
      </c>
      <c r="M21" s="64">
        <f t="shared" si="2"/>
        <v>3036.9582346270508</v>
      </c>
      <c r="N21" s="64">
        <f t="shared" si="2"/>
        <v>3007.3651696484267</v>
      </c>
      <c r="O21" s="64">
        <f t="shared" si="2"/>
        <v>3163.8863406939581</v>
      </c>
      <c r="P21" s="64">
        <f t="shared" si="2"/>
        <v>3130.926314808934</v>
      </c>
      <c r="Q21" s="64">
        <f t="shared" si="2"/>
        <v>2686.1176679256191</v>
      </c>
      <c r="R21" s="64">
        <f t="shared" si="2"/>
        <v>-718.01569116331393</v>
      </c>
      <c r="S21" s="64">
        <f t="shared" si="2"/>
        <v>3101.8198209950933</v>
      </c>
      <c r="T21" s="64">
        <f t="shared" si="2"/>
        <v>8438.0910387844797</v>
      </c>
      <c r="U21" s="64">
        <f t="shared" si="2"/>
        <v>8489.8348322218444</v>
      </c>
      <c r="V21" s="64">
        <f t="shared" si="2"/>
        <v>8537.0889713305405</v>
      </c>
      <c r="W21" s="64">
        <f t="shared" si="2"/>
        <v>2846.2166043659727</v>
      </c>
      <c r="X21" s="64">
        <f t="shared" si="2"/>
        <v>-1802.2385693106189</v>
      </c>
      <c r="Y21" s="64">
        <f t="shared" si="2"/>
        <v>-518.09560590931369</v>
      </c>
      <c r="Z21" s="64">
        <f t="shared" si="2"/>
        <v>-532.4554154159523</v>
      </c>
      <c r="AA21" s="64">
        <f t="shared" si="2"/>
        <v>-550.8306869798339</v>
      </c>
      <c r="AB21" s="64">
        <f t="shared" si="2"/>
        <v>-566.13705715846891</v>
      </c>
      <c r="AC21" s="64">
        <f t="shared" si="2"/>
        <v>-583.12116887322054</v>
      </c>
      <c r="AD21" s="64">
        <f t="shared" si="2"/>
        <v>-599.28326098286516</v>
      </c>
      <c r="AE21" s="64">
        <f t="shared" si="2"/>
        <v>-619.96479101415434</v>
      </c>
      <c r="AF21" s="64">
        <f t="shared" si="2"/>
        <v>-637.19224549932369</v>
      </c>
      <c r="AG21" s="64">
        <f t="shared" si="2"/>
        <v>-123.77327671946614</v>
      </c>
    </row>
    <row r="22" spans="1:33">
      <c r="B22" s="405"/>
      <c r="C22" s="405"/>
      <c r="D22" s="405"/>
      <c r="E22" s="405"/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5"/>
      <c r="AG22" s="405"/>
    </row>
    <row r="23" spans="1:33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</row>
    <row r="24" spans="1:33">
      <c r="A24" s="455" t="s">
        <v>370</v>
      </c>
      <c r="B24" s="461">
        <v>0.14000000000000001</v>
      </c>
      <c r="AA24" s="59"/>
      <c r="AB24" s="59"/>
      <c r="AC24" s="59"/>
      <c r="AD24" s="59"/>
    </row>
    <row r="25" spans="1:33">
      <c r="A25" s="45" t="s">
        <v>56</v>
      </c>
      <c r="B25" s="18">
        <f>-Assumptions!C11</f>
        <v>-29222.982201330975</v>
      </c>
      <c r="C25" s="18">
        <f t="shared" ref="C25:V25" si="3">+B29</f>
        <v>-29222.982201330975</v>
      </c>
      <c r="D25" s="18">
        <f t="shared" si="3"/>
        <v>-29222.982201330975</v>
      </c>
      <c r="E25" s="18">
        <f t="shared" si="3"/>
        <v>-29222.982201330975</v>
      </c>
      <c r="F25" s="18">
        <f t="shared" si="3"/>
        <v>-29222.982201330975</v>
      </c>
      <c r="G25" s="18">
        <f t="shared" si="3"/>
        <v>-29222.982201330975</v>
      </c>
      <c r="H25" s="18">
        <f t="shared" si="3"/>
        <v>-29222.982201330975</v>
      </c>
      <c r="I25" s="18">
        <f t="shared" si="3"/>
        <v>-29222.982201330975</v>
      </c>
      <c r="J25" s="18">
        <f t="shared" si="3"/>
        <v>-29222.982201330975</v>
      </c>
      <c r="K25" s="18">
        <f t="shared" si="3"/>
        <v>-29222.982201330975</v>
      </c>
      <c r="L25" s="18">
        <f t="shared" si="3"/>
        <v>-29222.982201330975</v>
      </c>
      <c r="M25" s="18">
        <f t="shared" si="3"/>
        <v>-29222.982201330975</v>
      </c>
      <c r="N25" s="18">
        <f t="shared" si="3"/>
        <v>-29222.982201330975</v>
      </c>
      <c r="O25" s="18">
        <f t="shared" si="3"/>
        <v>-29222.982201330975</v>
      </c>
      <c r="P25" s="18">
        <f t="shared" si="3"/>
        <v>-29222.982201330975</v>
      </c>
      <c r="Q25" s="18">
        <f t="shared" si="3"/>
        <v>-29222.982201330975</v>
      </c>
      <c r="R25" s="18">
        <f t="shared" si="3"/>
        <v>-29222.982201330975</v>
      </c>
      <c r="S25" s="18">
        <f t="shared" si="3"/>
        <v>-29222.982201330975</v>
      </c>
      <c r="T25" s="18">
        <f t="shared" si="3"/>
        <v>-29222.982201330975</v>
      </c>
      <c r="U25" s="18">
        <f t="shared" si="3"/>
        <v>-24876.108670732832</v>
      </c>
      <c r="V25" s="18">
        <f t="shared" si="3"/>
        <v>-19868.929052413587</v>
      </c>
      <c r="W25" s="18">
        <f t="shared" ref="W25:AG25" si="4">+V29</f>
        <v>-14113.490148420948</v>
      </c>
      <c r="X25" s="18">
        <f t="shared" si="4"/>
        <v>-13243.162164833908</v>
      </c>
      <c r="Y25" s="18">
        <f t="shared" si="4"/>
        <v>-13243.162164833908</v>
      </c>
      <c r="Z25" s="18">
        <f t="shared" si="4"/>
        <v>-13243.162164833908</v>
      </c>
      <c r="AA25" s="18">
        <f t="shared" si="4"/>
        <v>-13243.162164833908</v>
      </c>
      <c r="AB25" s="18">
        <f t="shared" si="4"/>
        <v>-13243.162164833908</v>
      </c>
      <c r="AC25" s="18">
        <f t="shared" si="4"/>
        <v>-13243.162164833908</v>
      </c>
      <c r="AD25" s="18">
        <f t="shared" si="4"/>
        <v>-13243.162164833908</v>
      </c>
      <c r="AE25" s="18">
        <f t="shared" si="4"/>
        <v>-13243.162164833908</v>
      </c>
      <c r="AF25" s="18">
        <f t="shared" si="4"/>
        <v>-13243.162164833908</v>
      </c>
      <c r="AG25" s="18">
        <f t="shared" si="4"/>
        <v>-13243.162164833908</v>
      </c>
    </row>
    <row r="26" spans="1:33">
      <c r="A26" s="45" t="s">
        <v>369</v>
      </c>
      <c r="B26" s="18">
        <v>0</v>
      </c>
      <c r="C26" s="18">
        <f>+-B25*$B$24</f>
        <v>4091.217508186337</v>
      </c>
      <c r="D26" s="18">
        <f t="shared" ref="D26:V26" si="5">+-D25*$B$24</f>
        <v>4091.217508186337</v>
      </c>
      <c r="E26" s="18">
        <f t="shared" si="5"/>
        <v>4091.217508186337</v>
      </c>
      <c r="F26" s="18">
        <f t="shared" si="5"/>
        <v>4091.217508186337</v>
      </c>
      <c r="G26" s="18">
        <f t="shared" si="5"/>
        <v>4091.217508186337</v>
      </c>
      <c r="H26" s="18">
        <f t="shared" si="5"/>
        <v>4091.217508186337</v>
      </c>
      <c r="I26" s="18">
        <f t="shared" si="5"/>
        <v>4091.217508186337</v>
      </c>
      <c r="J26" s="18">
        <f t="shared" si="5"/>
        <v>4091.217508186337</v>
      </c>
      <c r="K26" s="18">
        <f t="shared" si="5"/>
        <v>4091.217508186337</v>
      </c>
      <c r="L26" s="18">
        <f t="shared" si="5"/>
        <v>4091.217508186337</v>
      </c>
      <c r="M26" s="18">
        <f t="shared" si="5"/>
        <v>4091.217508186337</v>
      </c>
      <c r="N26" s="18">
        <f t="shared" si="5"/>
        <v>4091.217508186337</v>
      </c>
      <c r="O26" s="18">
        <f t="shared" si="5"/>
        <v>4091.217508186337</v>
      </c>
      <c r="P26" s="18">
        <f t="shared" si="5"/>
        <v>4091.217508186337</v>
      </c>
      <c r="Q26" s="18">
        <f t="shared" si="5"/>
        <v>4091.217508186337</v>
      </c>
      <c r="R26" s="18">
        <f t="shared" si="5"/>
        <v>4091.217508186337</v>
      </c>
      <c r="S26" s="18">
        <f t="shared" si="5"/>
        <v>4091.217508186337</v>
      </c>
      <c r="T26" s="18">
        <f t="shared" si="5"/>
        <v>4091.217508186337</v>
      </c>
      <c r="U26" s="18">
        <f t="shared" si="5"/>
        <v>3482.6552139025966</v>
      </c>
      <c r="V26" s="18">
        <f t="shared" si="5"/>
        <v>2781.6500673379023</v>
      </c>
      <c r="W26" s="18">
        <f t="shared" ref="W26:AG26" si="6">+-W25*$B$24</f>
        <v>1975.8886207789328</v>
      </c>
      <c r="X26" s="18">
        <f t="shared" si="6"/>
        <v>1854.0427030767473</v>
      </c>
      <c r="Y26" s="18">
        <f t="shared" si="6"/>
        <v>1854.0427030767473</v>
      </c>
      <c r="Z26" s="18">
        <f t="shared" si="6"/>
        <v>1854.0427030767473</v>
      </c>
      <c r="AA26" s="18">
        <f t="shared" si="6"/>
        <v>1854.0427030767473</v>
      </c>
      <c r="AB26" s="18">
        <f t="shared" si="6"/>
        <v>1854.0427030767473</v>
      </c>
      <c r="AC26" s="18">
        <f t="shared" si="6"/>
        <v>1854.0427030767473</v>
      </c>
      <c r="AD26" s="18">
        <f t="shared" si="6"/>
        <v>1854.0427030767473</v>
      </c>
      <c r="AE26" s="18">
        <f t="shared" si="6"/>
        <v>1854.0427030767473</v>
      </c>
      <c r="AF26" s="18">
        <f t="shared" si="6"/>
        <v>1854.0427030767473</v>
      </c>
      <c r="AG26" s="18">
        <f t="shared" si="6"/>
        <v>1854.0427030767473</v>
      </c>
    </row>
    <row r="27" spans="1:33">
      <c r="A27" s="45" t="s">
        <v>365</v>
      </c>
      <c r="B27" s="18">
        <f>B21</f>
        <v>0</v>
      </c>
      <c r="C27" s="18">
        <f t="shared" ref="C27:AG27" si="7">C21</f>
        <v>3134.4541503099149</v>
      </c>
      <c r="D27" s="18">
        <f t="shared" si="7"/>
        <v>2202.8557406892587</v>
      </c>
      <c r="E27" s="18">
        <f t="shared" si="7"/>
        <v>2193.7799724189026</v>
      </c>
      <c r="F27" s="18">
        <f t="shared" si="7"/>
        <v>2725.4026522634103</v>
      </c>
      <c r="G27" s="18">
        <f t="shared" si="7"/>
        <v>2849.2238054950349</v>
      </c>
      <c r="H27" s="18">
        <f t="shared" si="7"/>
        <v>2735.7757674779223</v>
      </c>
      <c r="I27" s="18">
        <f t="shared" si="7"/>
        <v>2763.1763373457725</v>
      </c>
      <c r="J27" s="18">
        <f t="shared" si="7"/>
        <v>2783.4588892934316</v>
      </c>
      <c r="K27" s="18">
        <f t="shared" si="7"/>
        <v>2926.4342225691871</v>
      </c>
      <c r="L27" s="18">
        <f t="shared" si="7"/>
        <v>2900.4177828128959</v>
      </c>
      <c r="M27" s="18">
        <f t="shared" si="7"/>
        <v>3036.9582346270508</v>
      </c>
      <c r="N27" s="18">
        <f t="shared" si="7"/>
        <v>3007.3651696484267</v>
      </c>
      <c r="O27" s="18">
        <f t="shared" si="7"/>
        <v>3163.8863406939581</v>
      </c>
      <c r="P27" s="18">
        <f t="shared" si="7"/>
        <v>3130.926314808934</v>
      </c>
      <c r="Q27" s="18">
        <f t="shared" si="7"/>
        <v>2686.1176679256191</v>
      </c>
      <c r="R27" s="18">
        <f t="shared" si="7"/>
        <v>-718.01569116331393</v>
      </c>
      <c r="S27" s="18">
        <f t="shared" si="7"/>
        <v>3101.8198209950933</v>
      </c>
      <c r="T27" s="18">
        <f t="shared" si="7"/>
        <v>8438.0910387844797</v>
      </c>
      <c r="U27" s="18">
        <f t="shared" si="7"/>
        <v>8489.8348322218444</v>
      </c>
      <c r="V27" s="18">
        <f t="shared" si="7"/>
        <v>8537.0889713305405</v>
      </c>
      <c r="W27" s="18">
        <f t="shared" si="7"/>
        <v>2846.2166043659727</v>
      </c>
      <c r="X27" s="18">
        <f t="shared" si="7"/>
        <v>-1802.2385693106189</v>
      </c>
      <c r="Y27" s="18">
        <f t="shared" si="7"/>
        <v>-518.09560590931369</v>
      </c>
      <c r="Z27" s="18">
        <f t="shared" si="7"/>
        <v>-532.4554154159523</v>
      </c>
      <c r="AA27" s="18">
        <f t="shared" si="7"/>
        <v>-550.8306869798339</v>
      </c>
      <c r="AB27" s="18">
        <f t="shared" si="7"/>
        <v>-566.13705715846891</v>
      </c>
      <c r="AC27" s="18">
        <f t="shared" si="7"/>
        <v>-583.12116887322054</v>
      </c>
      <c r="AD27" s="18">
        <f t="shared" si="7"/>
        <v>-599.28326098286516</v>
      </c>
      <c r="AE27" s="18">
        <f t="shared" si="7"/>
        <v>-619.96479101415434</v>
      </c>
      <c r="AF27" s="18">
        <f t="shared" si="7"/>
        <v>-637.19224549932369</v>
      </c>
      <c r="AG27" s="18">
        <f t="shared" si="7"/>
        <v>-123.77327671946614</v>
      </c>
    </row>
    <row r="28" spans="1:33">
      <c r="A28" s="45" t="s">
        <v>368</v>
      </c>
      <c r="B28" s="315">
        <v>0</v>
      </c>
      <c r="C28" s="315">
        <f t="shared" ref="C28:V28" si="8">+IF(C27&gt;C26,C27-C26,0)</f>
        <v>0</v>
      </c>
      <c r="D28" s="315">
        <f t="shared" si="8"/>
        <v>0</v>
      </c>
      <c r="E28" s="315">
        <f t="shared" si="8"/>
        <v>0</v>
      </c>
      <c r="F28" s="315">
        <f t="shared" si="8"/>
        <v>0</v>
      </c>
      <c r="G28" s="315">
        <f t="shared" si="8"/>
        <v>0</v>
      </c>
      <c r="H28" s="315">
        <f t="shared" si="8"/>
        <v>0</v>
      </c>
      <c r="I28" s="315">
        <f t="shared" si="8"/>
        <v>0</v>
      </c>
      <c r="J28" s="315">
        <f t="shared" si="8"/>
        <v>0</v>
      </c>
      <c r="K28" s="315">
        <f t="shared" si="8"/>
        <v>0</v>
      </c>
      <c r="L28" s="315">
        <f t="shared" si="8"/>
        <v>0</v>
      </c>
      <c r="M28" s="315">
        <f t="shared" si="8"/>
        <v>0</v>
      </c>
      <c r="N28" s="315">
        <f t="shared" si="8"/>
        <v>0</v>
      </c>
      <c r="O28" s="315">
        <f t="shared" si="8"/>
        <v>0</v>
      </c>
      <c r="P28" s="315">
        <f t="shared" si="8"/>
        <v>0</v>
      </c>
      <c r="Q28" s="315">
        <f t="shared" si="8"/>
        <v>0</v>
      </c>
      <c r="R28" s="315">
        <f t="shared" si="8"/>
        <v>0</v>
      </c>
      <c r="S28" s="315">
        <f t="shared" si="8"/>
        <v>0</v>
      </c>
      <c r="T28" s="315">
        <f t="shared" si="8"/>
        <v>4346.8735305981427</v>
      </c>
      <c r="U28" s="315">
        <f t="shared" si="8"/>
        <v>5007.1796183192473</v>
      </c>
      <c r="V28" s="315">
        <f t="shared" si="8"/>
        <v>5755.4389039926382</v>
      </c>
      <c r="W28" s="315">
        <f t="shared" ref="W28:AG28" si="9">+IF(W27&gt;W26,W27-W26,0)</f>
        <v>870.32798358703985</v>
      </c>
      <c r="X28" s="315">
        <f t="shared" si="9"/>
        <v>0</v>
      </c>
      <c r="Y28" s="315">
        <f t="shared" si="9"/>
        <v>0</v>
      </c>
      <c r="Z28" s="315">
        <f t="shared" si="9"/>
        <v>0</v>
      </c>
      <c r="AA28" s="315">
        <f t="shared" si="9"/>
        <v>0</v>
      </c>
      <c r="AB28" s="315">
        <f t="shared" si="9"/>
        <v>0</v>
      </c>
      <c r="AC28" s="315">
        <f t="shared" si="9"/>
        <v>0</v>
      </c>
      <c r="AD28" s="315">
        <f t="shared" si="9"/>
        <v>0</v>
      </c>
      <c r="AE28" s="315">
        <f t="shared" si="9"/>
        <v>0</v>
      </c>
      <c r="AF28" s="315">
        <f t="shared" si="9"/>
        <v>0</v>
      </c>
      <c r="AG28" s="315">
        <f t="shared" si="9"/>
        <v>0</v>
      </c>
    </row>
    <row r="29" spans="1:33">
      <c r="A29" s="45" t="s">
        <v>59</v>
      </c>
      <c r="B29" s="18">
        <f t="shared" ref="B29:V29" si="10">+B25+B28</f>
        <v>-29222.982201330975</v>
      </c>
      <c r="C29" s="18">
        <f t="shared" si="10"/>
        <v>-29222.982201330975</v>
      </c>
      <c r="D29" s="18">
        <f t="shared" si="10"/>
        <v>-29222.982201330975</v>
      </c>
      <c r="E29" s="18">
        <f t="shared" si="10"/>
        <v>-29222.982201330975</v>
      </c>
      <c r="F29" s="18">
        <f t="shared" si="10"/>
        <v>-29222.982201330975</v>
      </c>
      <c r="G29" s="18">
        <f t="shared" si="10"/>
        <v>-29222.982201330975</v>
      </c>
      <c r="H29" s="18">
        <f t="shared" si="10"/>
        <v>-29222.982201330975</v>
      </c>
      <c r="I29" s="18">
        <f t="shared" si="10"/>
        <v>-29222.982201330975</v>
      </c>
      <c r="J29" s="18">
        <f t="shared" si="10"/>
        <v>-29222.982201330975</v>
      </c>
      <c r="K29" s="18">
        <f t="shared" si="10"/>
        <v>-29222.982201330975</v>
      </c>
      <c r="L29" s="18">
        <f t="shared" si="10"/>
        <v>-29222.982201330975</v>
      </c>
      <c r="M29" s="18">
        <f t="shared" si="10"/>
        <v>-29222.982201330975</v>
      </c>
      <c r="N29" s="18">
        <f t="shared" si="10"/>
        <v>-29222.982201330975</v>
      </c>
      <c r="O29" s="18">
        <f t="shared" si="10"/>
        <v>-29222.982201330975</v>
      </c>
      <c r="P29" s="18">
        <f t="shared" si="10"/>
        <v>-29222.982201330975</v>
      </c>
      <c r="Q29" s="18">
        <f t="shared" si="10"/>
        <v>-29222.982201330975</v>
      </c>
      <c r="R29" s="18">
        <f t="shared" si="10"/>
        <v>-29222.982201330975</v>
      </c>
      <c r="S29" s="18">
        <f t="shared" si="10"/>
        <v>-29222.982201330975</v>
      </c>
      <c r="T29" s="18">
        <f t="shared" si="10"/>
        <v>-24876.108670732832</v>
      </c>
      <c r="U29" s="18">
        <f t="shared" si="10"/>
        <v>-19868.929052413587</v>
      </c>
      <c r="V29" s="18">
        <f t="shared" si="10"/>
        <v>-14113.490148420948</v>
      </c>
      <c r="W29" s="18">
        <f t="shared" ref="W29:AG29" si="11">+W25+W28</f>
        <v>-13243.162164833908</v>
      </c>
      <c r="X29" s="18">
        <f t="shared" si="11"/>
        <v>-13243.162164833908</v>
      </c>
      <c r="Y29" s="18">
        <f t="shared" si="11"/>
        <v>-13243.162164833908</v>
      </c>
      <c r="Z29" s="18">
        <f t="shared" si="11"/>
        <v>-13243.162164833908</v>
      </c>
      <c r="AA29" s="18">
        <f t="shared" si="11"/>
        <v>-13243.162164833908</v>
      </c>
      <c r="AB29" s="18">
        <f t="shared" si="11"/>
        <v>-13243.162164833908</v>
      </c>
      <c r="AC29" s="18">
        <f t="shared" si="11"/>
        <v>-13243.162164833908</v>
      </c>
      <c r="AD29" s="18">
        <f t="shared" si="11"/>
        <v>-13243.162164833908</v>
      </c>
      <c r="AE29" s="18">
        <f t="shared" si="11"/>
        <v>-13243.162164833908</v>
      </c>
      <c r="AF29" s="18">
        <f t="shared" si="11"/>
        <v>-13243.162164833908</v>
      </c>
      <c r="AG29" s="18">
        <f t="shared" si="11"/>
        <v>-13243.162164833908</v>
      </c>
    </row>
    <row r="30" spans="1:33">
      <c r="A30" s="45"/>
    </row>
    <row r="31" spans="1:33">
      <c r="A31" s="45"/>
    </row>
    <row r="32" spans="1:33">
      <c r="A32" s="45"/>
    </row>
    <row r="33" spans="1:33">
      <c r="A33" s="455" t="s">
        <v>401</v>
      </c>
    </row>
    <row r="34" spans="1:33">
      <c r="A34" s="455"/>
    </row>
    <row r="35" spans="1:33">
      <c r="A35" s="454" t="s">
        <v>367</v>
      </c>
    </row>
    <row r="36" spans="1:33" s="18" customFormat="1">
      <c r="A36" s="45" t="s">
        <v>366</v>
      </c>
      <c r="B36" s="18">
        <f>-Assumptions!C11*Assumptions!$G$48</f>
        <v>-29222.982201330975</v>
      </c>
    </row>
    <row r="37" spans="1:33" s="18" customFormat="1">
      <c r="A37" s="45" t="s">
        <v>365</v>
      </c>
      <c r="B37" s="462">
        <f>B21*Assumptions!$G$48</f>
        <v>0</v>
      </c>
      <c r="C37" s="462">
        <f>C21*Assumptions!$G$48</f>
        <v>3134.4541503099149</v>
      </c>
      <c r="D37" s="462">
        <f>D21*Assumptions!$G$48</f>
        <v>2202.8557406892587</v>
      </c>
      <c r="E37" s="462">
        <f>E21*Assumptions!$G$48</f>
        <v>2193.7799724189026</v>
      </c>
      <c r="F37" s="462">
        <f>F21*Assumptions!$G$48</f>
        <v>2725.4026522634103</v>
      </c>
      <c r="G37" s="462">
        <f>G21*Assumptions!$G$48</f>
        <v>2849.2238054950349</v>
      </c>
      <c r="H37" s="462">
        <f>H21*Assumptions!$G$48</f>
        <v>2735.7757674779223</v>
      </c>
      <c r="I37" s="462">
        <f>I21*Assumptions!$G$48</f>
        <v>2763.1763373457725</v>
      </c>
      <c r="J37" s="462">
        <f>J21*Assumptions!$G$48</f>
        <v>2783.4588892934316</v>
      </c>
      <c r="K37" s="462">
        <f>K21*Assumptions!$G$48</f>
        <v>2926.4342225691871</v>
      </c>
      <c r="L37" s="462">
        <f>L21*Assumptions!$G$48</f>
        <v>2900.4177828128959</v>
      </c>
      <c r="M37" s="462">
        <f>M21*Assumptions!$G$48</f>
        <v>3036.9582346270508</v>
      </c>
      <c r="N37" s="462">
        <f>N21*Assumptions!$G$48</f>
        <v>3007.3651696484267</v>
      </c>
      <c r="O37" s="462">
        <f>O21*Assumptions!$G$48</f>
        <v>3163.8863406939581</v>
      </c>
      <c r="P37" s="462">
        <f>P21*Assumptions!$G$48</f>
        <v>3130.926314808934</v>
      </c>
      <c r="Q37" s="462">
        <f>Q21*Assumptions!$G$48</f>
        <v>2686.1176679256191</v>
      </c>
      <c r="R37" s="462">
        <f>R21*Assumptions!$G$48</f>
        <v>-718.01569116331393</v>
      </c>
      <c r="S37" s="462">
        <f>S21*Assumptions!$G$48</f>
        <v>3101.8198209950933</v>
      </c>
      <c r="T37" s="462">
        <f>T21*Assumptions!$G$48</f>
        <v>8438.0910387844797</v>
      </c>
      <c r="U37" s="462">
        <f>U21*Assumptions!$G$48</f>
        <v>8489.8348322218444</v>
      </c>
      <c r="V37" s="462">
        <f>V21*Assumptions!$G$48</f>
        <v>8537.0889713305405</v>
      </c>
      <c r="W37" s="462">
        <f>W21*Assumptions!$G$48</f>
        <v>2846.2166043659727</v>
      </c>
      <c r="X37" s="462">
        <f>X21*Assumptions!$G$48</f>
        <v>-1802.2385693106189</v>
      </c>
      <c r="Y37" s="462">
        <f>Y21*Assumptions!$G$48</f>
        <v>-518.09560590931369</v>
      </c>
      <c r="Z37" s="462">
        <f>Z21*Assumptions!$G$48</f>
        <v>-532.4554154159523</v>
      </c>
      <c r="AA37" s="462">
        <f>AA21*Assumptions!$G$48</f>
        <v>-550.8306869798339</v>
      </c>
      <c r="AB37" s="462">
        <f>AB21*Assumptions!$G$48</f>
        <v>-566.13705715846891</v>
      </c>
      <c r="AC37" s="462">
        <f>AC21*Assumptions!$G$48</f>
        <v>-583.12116887322054</v>
      </c>
      <c r="AD37" s="462">
        <f>AD21*Assumptions!$G$48</f>
        <v>-599.28326098286516</v>
      </c>
      <c r="AE37" s="462">
        <f>AE21*Assumptions!$G$48</f>
        <v>-619.96479101415434</v>
      </c>
      <c r="AF37" s="462">
        <f>AF21*Assumptions!$G$48</f>
        <v>-637.19224549932369</v>
      </c>
      <c r="AG37" s="462">
        <f>AG21*Assumptions!$G$48</f>
        <v>-123.77327671946614</v>
      </c>
    </row>
    <row r="38" spans="1:33" s="18" customFormat="1">
      <c r="A38" s="45" t="s">
        <v>364</v>
      </c>
      <c r="B38" s="18">
        <f t="shared" ref="B38:AG38" si="12">SUM(B36:B37)</f>
        <v>-29222.982201330975</v>
      </c>
      <c r="C38" s="18">
        <f t="shared" si="12"/>
        <v>3134.4541503099149</v>
      </c>
      <c r="D38" s="18">
        <f t="shared" si="12"/>
        <v>2202.8557406892587</v>
      </c>
      <c r="E38" s="18">
        <f t="shared" si="12"/>
        <v>2193.7799724189026</v>
      </c>
      <c r="F38" s="18">
        <f t="shared" si="12"/>
        <v>2725.4026522634103</v>
      </c>
      <c r="G38" s="18">
        <f t="shared" si="12"/>
        <v>2849.2238054950349</v>
      </c>
      <c r="H38" s="18">
        <f t="shared" si="12"/>
        <v>2735.7757674779223</v>
      </c>
      <c r="I38" s="18">
        <f t="shared" si="12"/>
        <v>2763.1763373457725</v>
      </c>
      <c r="J38" s="18">
        <f t="shared" si="12"/>
        <v>2783.4588892934316</v>
      </c>
      <c r="K38" s="18">
        <f t="shared" si="12"/>
        <v>2926.4342225691871</v>
      </c>
      <c r="L38" s="18">
        <f t="shared" si="12"/>
        <v>2900.4177828128959</v>
      </c>
      <c r="M38" s="18">
        <f t="shared" si="12"/>
        <v>3036.9582346270508</v>
      </c>
      <c r="N38" s="18">
        <f t="shared" si="12"/>
        <v>3007.3651696484267</v>
      </c>
      <c r="O38" s="18">
        <f t="shared" si="12"/>
        <v>3163.8863406939581</v>
      </c>
      <c r="P38" s="18">
        <f t="shared" si="12"/>
        <v>3130.926314808934</v>
      </c>
      <c r="Q38" s="18">
        <f t="shared" si="12"/>
        <v>2686.1176679256191</v>
      </c>
      <c r="R38" s="18">
        <f t="shared" si="12"/>
        <v>-718.01569116331393</v>
      </c>
      <c r="S38" s="18">
        <f t="shared" si="12"/>
        <v>3101.8198209950933</v>
      </c>
      <c r="T38" s="18">
        <f t="shared" si="12"/>
        <v>8438.0910387844797</v>
      </c>
      <c r="U38" s="18">
        <f t="shared" si="12"/>
        <v>8489.8348322218444</v>
      </c>
      <c r="V38" s="18">
        <f t="shared" si="12"/>
        <v>8537.0889713305405</v>
      </c>
      <c r="W38" s="18">
        <f t="shared" si="12"/>
        <v>2846.2166043659727</v>
      </c>
      <c r="X38" s="18">
        <f t="shared" si="12"/>
        <v>-1802.2385693106189</v>
      </c>
      <c r="Y38" s="18">
        <f t="shared" si="12"/>
        <v>-518.09560590931369</v>
      </c>
      <c r="Z38" s="18">
        <f t="shared" si="12"/>
        <v>-532.4554154159523</v>
      </c>
      <c r="AA38" s="18">
        <f t="shared" si="12"/>
        <v>-550.8306869798339</v>
      </c>
      <c r="AB38" s="18">
        <f t="shared" si="12"/>
        <v>-566.13705715846891</v>
      </c>
      <c r="AC38" s="18">
        <f t="shared" si="12"/>
        <v>-583.12116887322054</v>
      </c>
      <c r="AD38" s="18">
        <f t="shared" si="12"/>
        <v>-599.28326098286516</v>
      </c>
      <c r="AE38" s="18">
        <f t="shared" si="12"/>
        <v>-619.96479101415434</v>
      </c>
      <c r="AF38" s="18">
        <f t="shared" si="12"/>
        <v>-637.19224549932369</v>
      </c>
      <c r="AG38" s="18">
        <f t="shared" si="12"/>
        <v>-123.77327671946614</v>
      </c>
    </row>
    <row r="39" spans="1:33">
      <c r="B39" s="454" t="s">
        <v>1</v>
      </c>
      <c r="C39" s="460">
        <f>XIRR(B38:AG38,B8:AG8)</f>
        <v>7.6020619273185736E-2</v>
      </c>
    </row>
    <row r="40" spans="1:33">
      <c r="A40" s="45"/>
      <c r="B40" s="456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366</v>
      </c>
      <c r="B42" s="18">
        <f>-Assumptions!C11*Assumptions!$G$48</f>
        <v>-29222.982201330975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365</v>
      </c>
      <c r="B43" s="457">
        <f>B21*Assumptions!$G$48</f>
        <v>0</v>
      </c>
      <c r="C43" s="457">
        <f>C21*Assumptions!$G$48</f>
        <v>3134.4541503099149</v>
      </c>
      <c r="D43" s="457">
        <f>D21*Assumptions!$G$48</f>
        <v>2202.8557406892587</v>
      </c>
      <c r="E43" s="457">
        <f>E21*Assumptions!$G$48</f>
        <v>2193.7799724189026</v>
      </c>
      <c r="F43" s="457">
        <f>F21*Assumptions!$G$48</f>
        <v>2725.4026522634103</v>
      </c>
      <c r="G43" s="457">
        <f>G21*Assumptions!$G$48</f>
        <v>2849.2238054950349</v>
      </c>
      <c r="H43" s="457">
        <f>H21*Assumptions!$G$48</f>
        <v>2735.7757674779223</v>
      </c>
      <c r="I43" s="457">
        <f>I21*Assumptions!$G$48</f>
        <v>2763.1763373457725</v>
      </c>
      <c r="J43" s="457">
        <f>J21*Assumptions!$G$48</f>
        <v>2783.4588892934316</v>
      </c>
      <c r="K43" s="457">
        <f>K21*Assumptions!$G$48</f>
        <v>2926.4342225691871</v>
      </c>
      <c r="L43" s="457">
        <f>L21*Assumptions!$G$48</f>
        <v>2900.4177828128959</v>
      </c>
      <c r="M43" s="457">
        <f>M21*Assumptions!$G$48</f>
        <v>3036.9582346270508</v>
      </c>
      <c r="N43" s="457">
        <f>N21*Assumptions!$G$48</f>
        <v>3007.3651696484267</v>
      </c>
      <c r="O43" s="457">
        <f>O21*Assumptions!$G$48</f>
        <v>3163.8863406939581</v>
      </c>
      <c r="P43" s="457">
        <f>P21*Assumptions!$G$48</f>
        <v>3130.926314808934</v>
      </c>
      <c r="Q43" s="457">
        <f>Q21*Assumptions!$G$48</f>
        <v>2686.1176679256191</v>
      </c>
      <c r="R43" s="457">
        <f>R21*Assumptions!$G$48</f>
        <v>-718.01569116331393</v>
      </c>
      <c r="S43" s="457">
        <f>S21*Assumptions!$G$48</f>
        <v>3101.8198209950933</v>
      </c>
      <c r="T43" s="457">
        <f>T21*Assumptions!$G$48</f>
        <v>8438.0910387844797</v>
      </c>
      <c r="U43" s="457">
        <f>U21*Assumptions!$G$48</f>
        <v>8489.8348322218444</v>
      </c>
      <c r="V43" s="457">
        <f>V21*Assumptions!$G$48</f>
        <v>8537.0889713305405</v>
      </c>
      <c r="W43" s="457">
        <f>W21*Assumptions!$G$48</f>
        <v>2846.2166043659727</v>
      </c>
      <c r="X43" s="457">
        <f>X21*Assumptions!$G$48</f>
        <v>-1802.2385693106189</v>
      </c>
      <c r="Y43" s="457">
        <f>Y21*Assumptions!$G$48</f>
        <v>-518.09560590931369</v>
      </c>
      <c r="Z43" s="457">
        <f>Z21*Assumptions!$G$48</f>
        <v>-532.4554154159523</v>
      </c>
      <c r="AA43" s="457">
        <f>AA21*Assumptions!$G$48</f>
        <v>-550.8306869798339</v>
      </c>
      <c r="AB43" s="457">
        <f>AB21*Assumptions!$G$48</f>
        <v>-566.13705715846891</v>
      </c>
      <c r="AC43" s="457">
        <f>AC21*Assumptions!$G$48</f>
        <v>-583.12116887322054</v>
      </c>
      <c r="AD43" s="457">
        <f>AD21*Assumptions!$G$48</f>
        <v>-599.28326098286516</v>
      </c>
      <c r="AE43" s="457">
        <f>AE21*Assumptions!$G$48</f>
        <v>-619.96479101415434</v>
      </c>
      <c r="AF43" s="457">
        <f>AF21*Assumptions!$G$48</f>
        <v>-637.19224549932369</v>
      </c>
      <c r="AG43" s="457">
        <f>AG21*Assumptions!$G$48</f>
        <v>-123.77327671946614</v>
      </c>
    </row>
    <row r="44" spans="1:33">
      <c r="A44" s="56" t="s">
        <v>127</v>
      </c>
      <c r="B44" s="315">
        <v>0</v>
      </c>
      <c r="C44" s="315">
        <v>0</v>
      </c>
      <c r="D44" s="315">
        <v>0</v>
      </c>
      <c r="E44" s="315">
        <v>0</v>
      </c>
      <c r="F44" s="315">
        <v>0</v>
      </c>
      <c r="G44" s="315">
        <v>0</v>
      </c>
      <c r="H44" s="315">
        <v>0</v>
      </c>
      <c r="I44" s="315">
        <v>0</v>
      </c>
      <c r="J44" s="315">
        <v>0</v>
      </c>
      <c r="K44" s="315">
        <v>0</v>
      </c>
      <c r="L44" s="315">
        <v>0</v>
      </c>
      <c r="M44" s="315">
        <v>0</v>
      </c>
      <c r="N44" s="315">
        <v>0</v>
      </c>
      <c r="O44" s="315">
        <v>0</v>
      </c>
      <c r="P44" s="315">
        <v>0</v>
      </c>
      <c r="Q44" s="315">
        <v>0</v>
      </c>
      <c r="R44" s="315">
        <v>0</v>
      </c>
      <c r="S44" s="315">
        <v>0</v>
      </c>
      <c r="T44" s="315">
        <v>0</v>
      </c>
      <c r="U44" s="315">
        <v>0</v>
      </c>
      <c r="V44" s="315">
        <v>0</v>
      </c>
      <c r="W44" s="315">
        <v>0</v>
      </c>
      <c r="X44" s="315">
        <v>0</v>
      </c>
      <c r="Y44" s="315">
        <v>0</v>
      </c>
      <c r="Z44" s="315">
        <v>0</v>
      </c>
      <c r="AA44" s="315">
        <v>0</v>
      </c>
      <c r="AB44" s="315">
        <v>0</v>
      </c>
      <c r="AC44" s="315">
        <v>0</v>
      </c>
      <c r="AD44" s="315">
        <v>0</v>
      </c>
      <c r="AE44" s="315">
        <v>0</v>
      </c>
      <c r="AF44" s="315">
        <v>0</v>
      </c>
      <c r="AG44" s="315">
        <f>Assumptions!H23*IS!AF32*Assumptions!G48</f>
        <v>-13479.554694373659</v>
      </c>
    </row>
    <row r="45" spans="1:33">
      <c r="A45" s="56" t="s">
        <v>364</v>
      </c>
      <c r="B45" s="18">
        <f t="shared" ref="B45:AG45" si="13">SUM(B42:B44)</f>
        <v>-29222.982201330975</v>
      </c>
      <c r="C45" s="18">
        <f t="shared" si="13"/>
        <v>3134.4541503099149</v>
      </c>
      <c r="D45" s="18">
        <f t="shared" si="13"/>
        <v>2202.8557406892587</v>
      </c>
      <c r="E45" s="18">
        <f t="shared" si="13"/>
        <v>2193.7799724189026</v>
      </c>
      <c r="F45" s="18">
        <f t="shared" si="13"/>
        <v>2725.4026522634103</v>
      </c>
      <c r="G45" s="18">
        <f t="shared" si="13"/>
        <v>2849.2238054950349</v>
      </c>
      <c r="H45" s="18">
        <f t="shared" si="13"/>
        <v>2735.7757674779223</v>
      </c>
      <c r="I45" s="18">
        <f t="shared" si="13"/>
        <v>2763.1763373457725</v>
      </c>
      <c r="J45" s="18">
        <f t="shared" si="13"/>
        <v>2783.4588892934316</v>
      </c>
      <c r="K45" s="18">
        <f t="shared" si="13"/>
        <v>2926.4342225691871</v>
      </c>
      <c r="L45" s="18">
        <f t="shared" si="13"/>
        <v>2900.4177828128959</v>
      </c>
      <c r="M45" s="18">
        <f t="shared" si="13"/>
        <v>3036.9582346270508</v>
      </c>
      <c r="N45" s="18">
        <f t="shared" si="13"/>
        <v>3007.3651696484267</v>
      </c>
      <c r="O45" s="18">
        <f t="shared" si="13"/>
        <v>3163.8863406939581</v>
      </c>
      <c r="P45" s="18">
        <f t="shared" si="13"/>
        <v>3130.926314808934</v>
      </c>
      <c r="Q45" s="18">
        <f t="shared" si="13"/>
        <v>2686.1176679256191</v>
      </c>
      <c r="R45" s="18">
        <f t="shared" si="13"/>
        <v>-718.01569116331393</v>
      </c>
      <c r="S45" s="18">
        <f t="shared" si="13"/>
        <v>3101.8198209950933</v>
      </c>
      <c r="T45" s="18">
        <f t="shared" si="13"/>
        <v>8438.0910387844797</v>
      </c>
      <c r="U45" s="18">
        <f t="shared" si="13"/>
        <v>8489.8348322218444</v>
      </c>
      <c r="V45" s="18">
        <f t="shared" si="13"/>
        <v>8537.0889713305405</v>
      </c>
      <c r="W45" s="18">
        <f t="shared" si="13"/>
        <v>2846.2166043659727</v>
      </c>
      <c r="X45" s="18">
        <f t="shared" si="13"/>
        <v>-1802.2385693106189</v>
      </c>
      <c r="Y45" s="18">
        <f t="shared" si="13"/>
        <v>-518.09560590931369</v>
      </c>
      <c r="Z45" s="18">
        <f t="shared" si="13"/>
        <v>-532.4554154159523</v>
      </c>
      <c r="AA45" s="18">
        <f t="shared" si="13"/>
        <v>-550.8306869798339</v>
      </c>
      <c r="AB45" s="18">
        <f t="shared" si="13"/>
        <v>-566.13705715846891</v>
      </c>
      <c r="AC45" s="18">
        <f t="shared" si="13"/>
        <v>-583.12116887322054</v>
      </c>
      <c r="AD45" s="18">
        <f t="shared" si="13"/>
        <v>-599.28326098286516</v>
      </c>
      <c r="AE45" s="18">
        <f t="shared" si="13"/>
        <v>-619.96479101415434</v>
      </c>
      <c r="AF45" s="18">
        <f t="shared" si="13"/>
        <v>-637.19224549932369</v>
      </c>
      <c r="AG45" s="18">
        <f t="shared" si="13"/>
        <v>-13603.327971093126</v>
      </c>
    </row>
    <row r="46" spans="1:33">
      <c r="A46" s="13"/>
      <c r="B46" s="454" t="s">
        <v>1</v>
      </c>
      <c r="C46" s="460">
        <f>XIRR(B45:AG45,B8:AG8)</f>
        <v>7.0541241765022286E-2</v>
      </c>
    </row>
    <row r="47" spans="1:33">
      <c r="A47" s="56"/>
      <c r="B47" s="456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366</v>
      </c>
      <c r="B49" s="18">
        <f>-Assumptions!C11*Assumptions!G48</f>
        <v>-29222.982201330975</v>
      </c>
    </row>
    <row r="50" spans="1:33" s="18" customFormat="1">
      <c r="A50" s="56" t="s">
        <v>365</v>
      </c>
      <c r="B50" s="18">
        <f>+B21*Assumptions!$G$48</f>
        <v>0</v>
      </c>
      <c r="C50" s="18">
        <f>+C21*Assumptions!$G$48</f>
        <v>3134.4541503099149</v>
      </c>
      <c r="D50" s="18">
        <f>+D21*Assumptions!$G$48</f>
        <v>2202.8557406892587</v>
      </c>
      <c r="E50" s="18">
        <f>+E21*Assumptions!$G$48</f>
        <v>2193.7799724189026</v>
      </c>
      <c r="F50" s="18">
        <f>+F21*Assumptions!$G$48</f>
        <v>2725.4026522634103</v>
      </c>
      <c r="G50" s="18">
        <f>+G21*Assumptions!$G$48</f>
        <v>2849.2238054950349</v>
      </c>
      <c r="H50" s="18">
        <f>+H21*Assumptions!$G$48</f>
        <v>2735.7757674779223</v>
      </c>
      <c r="I50" s="18">
        <f>+I21*Assumptions!$G$48</f>
        <v>2763.1763373457725</v>
      </c>
      <c r="J50" s="18">
        <f>+J21*Assumptions!$G$48</f>
        <v>2783.4588892934316</v>
      </c>
      <c r="K50" s="18">
        <f>+K21*Assumptions!$G$48</f>
        <v>2926.4342225691871</v>
      </c>
      <c r="L50" s="18">
        <f>+L21*Assumptions!$G$48</f>
        <v>2900.4177828128959</v>
      </c>
      <c r="M50" s="18">
        <f>+M21*Assumptions!$G$48</f>
        <v>3036.9582346270508</v>
      </c>
      <c r="N50" s="18">
        <f>+N21*Assumptions!$G$48</f>
        <v>3007.3651696484267</v>
      </c>
      <c r="O50" s="18">
        <f>+O21*Assumptions!$G$48</f>
        <v>3163.8863406939581</v>
      </c>
      <c r="P50" s="18">
        <f>+P21*Assumptions!$G$48</f>
        <v>3130.926314808934</v>
      </c>
      <c r="Q50" s="18">
        <f>+Q21*Assumptions!$G$48</f>
        <v>2686.1176679256191</v>
      </c>
      <c r="R50" s="18">
        <f>+R21*Assumptions!$G$48</f>
        <v>-718.01569116331393</v>
      </c>
      <c r="S50" s="18">
        <f>+S21*Assumptions!$G$48</f>
        <v>3101.8198209950933</v>
      </c>
      <c r="T50" s="18">
        <f>+T21*Assumptions!$G$48</f>
        <v>8438.0910387844797</v>
      </c>
      <c r="U50" s="18">
        <f>+U21*Assumptions!$G$48</f>
        <v>8489.8348322218444</v>
      </c>
      <c r="V50" s="18">
        <f>+V21*Assumptions!$G$48</f>
        <v>8537.0889713305405</v>
      </c>
      <c r="W50" s="18">
        <f>+W21*Assumptions!$G$48</f>
        <v>2846.2166043659727</v>
      </c>
      <c r="X50" s="18">
        <f>+X21*Assumptions!$G$48</f>
        <v>-1802.2385693106189</v>
      </c>
      <c r="Y50" s="18">
        <f>+Y21*Assumptions!$G$48</f>
        <v>-518.09560590931369</v>
      </c>
      <c r="Z50" s="18">
        <f>+Z21*Assumptions!$G$48</f>
        <v>-532.4554154159523</v>
      </c>
      <c r="AA50" s="18">
        <f>+AA21*Assumptions!$G$48</f>
        <v>-550.8306869798339</v>
      </c>
      <c r="AB50" s="18">
        <f>+AB21*Assumptions!$G$48</f>
        <v>-566.13705715846891</v>
      </c>
      <c r="AC50" s="18">
        <f>+AC21*Assumptions!$G$48</f>
        <v>-583.12116887322054</v>
      </c>
      <c r="AD50" s="18">
        <f>+AD21*Assumptions!$G$48</f>
        <v>-599.28326098286516</v>
      </c>
      <c r="AE50" s="18">
        <f>+AE21*Assumptions!$G$48</f>
        <v>-619.96479101415434</v>
      </c>
      <c r="AF50" s="18">
        <f>+AF21*Assumptions!$G$48</f>
        <v>-637.19224549932369</v>
      </c>
      <c r="AG50" s="18">
        <f>+AG21*Assumptions!$G$48</f>
        <v>-123.77327671946614</v>
      </c>
    </row>
    <row r="51" spans="1:33" s="18" customFormat="1">
      <c r="A51" s="56" t="s">
        <v>127</v>
      </c>
      <c r="B51" s="315">
        <v>0</v>
      </c>
      <c r="C51" s="315">
        <v>0</v>
      </c>
      <c r="D51" s="315">
        <v>0</v>
      </c>
      <c r="E51" s="315">
        <v>0</v>
      </c>
      <c r="F51" s="315">
        <v>0</v>
      </c>
      <c r="G51" s="315">
        <v>0</v>
      </c>
      <c r="H51" s="315">
        <v>0</v>
      </c>
      <c r="I51" s="315">
        <v>0</v>
      </c>
      <c r="J51" s="315">
        <v>0</v>
      </c>
      <c r="K51" s="315">
        <v>0</v>
      </c>
      <c r="L51" s="315">
        <v>0</v>
      </c>
      <c r="M51" s="315">
        <v>0</v>
      </c>
      <c r="N51" s="315">
        <v>0</v>
      </c>
      <c r="O51" s="315">
        <v>0</v>
      </c>
      <c r="P51" s="315">
        <v>0</v>
      </c>
      <c r="Q51" s="315">
        <v>0</v>
      </c>
      <c r="R51" s="315">
        <v>0</v>
      </c>
      <c r="S51" s="315">
        <v>0</v>
      </c>
      <c r="T51" s="315">
        <v>0</v>
      </c>
      <c r="U51" s="315">
        <v>0</v>
      </c>
      <c r="V51" s="315">
        <v>0</v>
      </c>
      <c r="W51" s="315">
        <v>0</v>
      </c>
      <c r="X51" s="315">
        <v>0</v>
      </c>
      <c r="Y51" s="315">
        <v>0</v>
      </c>
      <c r="Z51" s="315">
        <v>0</v>
      </c>
      <c r="AA51" s="315">
        <v>0</v>
      </c>
      <c r="AB51" s="315">
        <v>0</v>
      </c>
      <c r="AC51" s="315">
        <v>0</v>
      </c>
      <c r="AD51" s="315">
        <v>0</v>
      </c>
      <c r="AE51" s="315">
        <v>0</v>
      </c>
      <c r="AF51" s="315">
        <v>0</v>
      </c>
      <c r="AG51" s="315">
        <f>Assumptions!H24*Assumptions!C58*Assumptions!G48</f>
        <v>21173.732945915366</v>
      </c>
    </row>
    <row r="52" spans="1:33" s="18" customFormat="1">
      <c r="A52" s="56" t="s">
        <v>364</v>
      </c>
      <c r="B52" s="18">
        <f>SUM(B49:B51)</f>
        <v>-29222.982201330975</v>
      </c>
      <c r="C52" s="18">
        <f t="shared" ref="C52:AG52" si="14">SUM(C49:C51)</f>
        <v>3134.4541503099149</v>
      </c>
      <c r="D52" s="18">
        <f t="shared" si="14"/>
        <v>2202.8557406892587</v>
      </c>
      <c r="E52" s="18">
        <f t="shared" si="14"/>
        <v>2193.7799724189026</v>
      </c>
      <c r="F52" s="18">
        <f t="shared" si="14"/>
        <v>2725.4026522634103</v>
      </c>
      <c r="G52" s="18">
        <f t="shared" si="14"/>
        <v>2849.2238054950349</v>
      </c>
      <c r="H52" s="18">
        <f t="shared" si="14"/>
        <v>2735.7757674779223</v>
      </c>
      <c r="I52" s="18">
        <f t="shared" si="14"/>
        <v>2763.1763373457725</v>
      </c>
      <c r="J52" s="18">
        <f t="shared" si="14"/>
        <v>2783.4588892934316</v>
      </c>
      <c r="K52" s="18">
        <f t="shared" si="14"/>
        <v>2926.4342225691871</v>
      </c>
      <c r="L52" s="18">
        <f t="shared" si="14"/>
        <v>2900.4177828128959</v>
      </c>
      <c r="M52" s="18">
        <f t="shared" si="14"/>
        <v>3036.9582346270508</v>
      </c>
      <c r="N52" s="18">
        <f t="shared" si="14"/>
        <v>3007.3651696484267</v>
      </c>
      <c r="O52" s="18">
        <f t="shared" si="14"/>
        <v>3163.8863406939581</v>
      </c>
      <c r="P52" s="18">
        <f t="shared" si="14"/>
        <v>3130.926314808934</v>
      </c>
      <c r="Q52" s="18">
        <f t="shared" si="14"/>
        <v>2686.1176679256191</v>
      </c>
      <c r="R52" s="18">
        <f t="shared" si="14"/>
        <v>-718.01569116331393</v>
      </c>
      <c r="S52" s="18">
        <f t="shared" si="14"/>
        <v>3101.8198209950933</v>
      </c>
      <c r="T52" s="18">
        <f t="shared" si="14"/>
        <v>8438.0910387844797</v>
      </c>
      <c r="U52" s="18">
        <f t="shared" si="14"/>
        <v>8489.8348322218444</v>
      </c>
      <c r="V52" s="18">
        <f t="shared" si="14"/>
        <v>8537.0889713305405</v>
      </c>
      <c r="W52" s="18">
        <f t="shared" si="14"/>
        <v>2846.2166043659727</v>
      </c>
      <c r="X52" s="18">
        <f t="shared" si="14"/>
        <v>-1802.2385693106189</v>
      </c>
      <c r="Y52" s="18">
        <f t="shared" si="14"/>
        <v>-518.09560590931369</v>
      </c>
      <c r="Z52" s="18">
        <f t="shared" si="14"/>
        <v>-532.4554154159523</v>
      </c>
      <c r="AA52" s="18">
        <f t="shared" si="14"/>
        <v>-550.8306869798339</v>
      </c>
      <c r="AB52" s="18">
        <f t="shared" si="14"/>
        <v>-566.13705715846891</v>
      </c>
      <c r="AC52" s="18">
        <f t="shared" si="14"/>
        <v>-583.12116887322054</v>
      </c>
      <c r="AD52" s="18">
        <f t="shared" si="14"/>
        <v>-599.28326098286516</v>
      </c>
      <c r="AE52" s="18">
        <f t="shared" si="14"/>
        <v>-619.96479101415434</v>
      </c>
      <c r="AF52" s="18">
        <f t="shared" si="14"/>
        <v>-637.19224549932369</v>
      </c>
      <c r="AG52" s="18">
        <f t="shared" si="14"/>
        <v>21049.959669195901</v>
      </c>
    </row>
    <row r="53" spans="1:33">
      <c r="A53" s="13"/>
      <c r="B53" s="454" t="s">
        <v>1</v>
      </c>
      <c r="C53" s="460">
        <f>XIRR(B52:AG52,B8:AG8)</f>
        <v>8.2561513781547566E-2</v>
      </c>
    </row>
    <row r="54" spans="1:33">
      <c r="A54" s="56"/>
      <c r="B54" s="456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366</v>
      </c>
      <c r="B56" s="18">
        <f>-Assumptions!C11*Assumptions!G48</f>
        <v>-29222.982201330975</v>
      </c>
    </row>
    <row r="57" spans="1:33" s="18" customFormat="1">
      <c r="A57" s="56" t="s">
        <v>365</v>
      </c>
      <c r="B57" s="457">
        <f>B21*Assumptions!$G$48</f>
        <v>0</v>
      </c>
      <c r="C57" s="457">
        <f>C21*Assumptions!$G$48</f>
        <v>3134.4541503099149</v>
      </c>
      <c r="D57" s="457">
        <f>D21*Assumptions!$G$48</f>
        <v>2202.8557406892587</v>
      </c>
      <c r="E57" s="457">
        <f>E21*Assumptions!$G$48</f>
        <v>2193.7799724189026</v>
      </c>
      <c r="F57" s="457">
        <f>F21*Assumptions!$G$48</f>
        <v>2725.4026522634103</v>
      </c>
      <c r="G57" s="457">
        <f>G21*Assumptions!$G$48</f>
        <v>2849.2238054950349</v>
      </c>
      <c r="H57" s="457">
        <f>H21*Assumptions!$G$48</f>
        <v>2735.7757674779223</v>
      </c>
      <c r="I57" s="457">
        <f>I21*Assumptions!$G$48</f>
        <v>2763.1763373457725</v>
      </c>
      <c r="J57" s="457">
        <f>J21*Assumptions!$G$48</f>
        <v>2783.4588892934316</v>
      </c>
      <c r="K57" s="457">
        <f>K21*Assumptions!$G$48</f>
        <v>2926.4342225691871</v>
      </c>
      <c r="L57" s="457">
        <f>L21*Assumptions!$G$48</f>
        <v>2900.4177828128959</v>
      </c>
      <c r="M57" s="457">
        <f>M21*Assumptions!$G$48</f>
        <v>3036.9582346270508</v>
      </c>
      <c r="N57" s="457">
        <f>N21*Assumptions!$G$48</f>
        <v>3007.3651696484267</v>
      </c>
      <c r="O57" s="457">
        <f>O21*Assumptions!$G$48</f>
        <v>3163.8863406939581</v>
      </c>
      <c r="P57" s="457">
        <f>P21*Assumptions!$G$48</f>
        <v>3130.926314808934</v>
      </c>
      <c r="Q57" s="457">
        <f>Q21*Assumptions!$G$48</f>
        <v>2686.1176679256191</v>
      </c>
      <c r="R57" s="457">
        <f>R21*Assumptions!$G$48</f>
        <v>-718.01569116331393</v>
      </c>
      <c r="S57" s="457">
        <f>S21*Assumptions!$G$48</f>
        <v>3101.8198209950933</v>
      </c>
      <c r="T57" s="457">
        <f>T21*Assumptions!$G$48</f>
        <v>8438.0910387844797</v>
      </c>
      <c r="U57" s="457">
        <f>U21*Assumptions!$G$48</f>
        <v>8489.8348322218444</v>
      </c>
      <c r="V57" s="457">
        <f>V21*Assumptions!$G$48</f>
        <v>8537.0889713305405</v>
      </c>
      <c r="W57" s="457">
        <f>W21*Assumptions!$G$48</f>
        <v>2846.2166043659727</v>
      </c>
      <c r="X57" s="457">
        <f>X21*Assumptions!$G$48</f>
        <v>-1802.2385693106189</v>
      </c>
      <c r="Y57" s="457">
        <f>Y21*Assumptions!$G$48</f>
        <v>-518.09560590931369</v>
      </c>
      <c r="Z57" s="457">
        <f>Z21*Assumptions!$G$48</f>
        <v>-532.4554154159523</v>
      </c>
      <c r="AA57" s="457">
        <f>AA21*Assumptions!$G$48</f>
        <v>-550.8306869798339</v>
      </c>
      <c r="AB57" s="457">
        <f>AB21*Assumptions!$G$48</f>
        <v>-566.13705715846891</v>
      </c>
      <c r="AC57" s="457">
        <f>AC21*Assumptions!$G$48</f>
        <v>-583.12116887322054</v>
      </c>
      <c r="AD57" s="457">
        <f>AD21*Assumptions!$G$48</f>
        <v>-599.28326098286516</v>
      </c>
      <c r="AE57" s="457">
        <f>AE21*Assumptions!$G$48</f>
        <v>-619.96479101415434</v>
      </c>
      <c r="AF57" s="457">
        <f>AF21*Assumptions!$G$48</f>
        <v>-637.19224549932369</v>
      </c>
      <c r="AG57" s="457">
        <f>AG21*Assumptions!$G$48</f>
        <v>-123.77327671946614</v>
      </c>
    </row>
    <row r="58" spans="1:33" s="18" customFormat="1">
      <c r="A58" s="56" t="s">
        <v>127</v>
      </c>
      <c r="B58" s="315">
        <v>0</v>
      </c>
      <c r="C58" s="315">
        <v>0</v>
      </c>
      <c r="D58" s="315">
        <v>0</v>
      </c>
      <c r="E58" s="315">
        <v>0</v>
      </c>
      <c r="F58" s="315">
        <v>0</v>
      </c>
      <c r="G58" s="315">
        <v>0</v>
      </c>
      <c r="H58" s="315">
        <v>0</v>
      </c>
      <c r="I58" s="315">
        <v>0</v>
      </c>
      <c r="J58" s="315">
        <v>0</v>
      </c>
      <c r="K58" s="315">
        <v>0</v>
      </c>
      <c r="L58" s="315">
        <v>0</v>
      </c>
      <c r="M58" s="315">
        <v>0</v>
      </c>
      <c r="N58" s="315">
        <v>0</v>
      </c>
      <c r="O58" s="315">
        <v>0</v>
      </c>
      <c r="P58" s="315">
        <v>0</v>
      </c>
      <c r="Q58" s="315">
        <v>0</v>
      </c>
      <c r="R58" s="315">
        <v>0</v>
      </c>
      <c r="S58" s="315">
        <v>0</v>
      </c>
      <c r="T58" s="315">
        <v>0</v>
      </c>
      <c r="U58" s="315">
        <v>0</v>
      </c>
      <c r="V58" s="315">
        <v>0</v>
      </c>
      <c r="W58" s="315">
        <v>0</v>
      </c>
      <c r="X58" s="315">
        <v>0</v>
      </c>
      <c r="Y58" s="315">
        <v>0</v>
      </c>
      <c r="Z58" s="315">
        <v>0</v>
      </c>
      <c r="AA58" s="315">
        <v>0</v>
      </c>
      <c r="AB58" s="315">
        <v>0</v>
      </c>
      <c r="AC58" s="315">
        <v>0</v>
      </c>
      <c r="AD58" s="315">
        <v>0</v>
      </c>
      <c r="AE58" s="315">
        <v>0</v>
      </c>
      <c r="AF58" s="315">
        <v>0</v>
      </c>
      <c r="AG58" s="315">
        <f>Assumptions!H25*Assumptions!H68*Assumptions!G48</f>
        <v>38000</v>
      </c>
    </row>
    <row r="59" spans="1:33" s="18" customFormat="1" ht="12" customHeight="1">
      <c r="A59" s="56" t="s">
        <v>364</v>
      </c>
      <c r="B59" s="18">
        <f>SUM(B56:B58)</f>
        <v>-29222.982201330975</v>
      </c>
      <c r="C59" s="18">
        <f t="shared" ref="C59:AG59" si="15">SUM(C56:C58)</f>
        <v>3134.4541503099149</v>
      </c>
      <c r="D59" s="18">
        <f t="shared" si="15"/>
        <v>2202.8557406892587</v>
      </c>
      <c r="E59" s="18">
        <f t="shared" si="15"/>
        <v>2193.7799724189026</v>
      </c>
      <c r="F59" s="18">
        <f t="shared" si="15"/>
        <v>2725.4026522634103</v>
      </c>
      <c r="G59" s="18">
        <f t="shared" si="15"/>
        <v>2849.2238054950349</v>
      </c>
      <c r="H59" s="18">
        <f t="shared" si="15"/>
        <v>2735.7757674779223</v>
      </c>
      <c r="I59" s="18">
        <f t="shared" si="15"/>
        <v>2763.1763373457725</v>
      </c>
      <c r="J59" s="18">
        <f t="shared" si="15"/>
        <v>2783.4588892934316</v>
      </c>
      <c r="K59" s="18">
        <f t="shared" si="15"/>
        <v>2926.4342225691871</v>
      </c>
      <c r="L59" s="18">
        <f t="shared" si="15"/>
        <v>2900.4177828128959</v>
      </c>
      <c r="M59" s="18">
        <f t="shared" si="15"/>
        <v>3036.9582346270508</v>
      </c>
      <c r="N59" s="18">
        <f t="shared" si="15"/>
        <v>3007.3651696484267</v>
      </c>
      <c r="O59" s="18">
        <f t="shared" si="15"/>
        <v>3163.8863406939581</v>
      </c>
      <c r="P59" s="18">
        <f t="shared" si="15"/>
        <v>3130.926314808934</v>
      </c>
      <c r="Q59" s="18">
        <f t="shared" si="15"/>
        <v>2686.1176679256191</v>
      </c>
      <c r="R59" s="18">
        <f t="shared" si="15"/>
        <v>-718.01569116331393</v>
      </c>
      <c r="S59" s="18">
        <f t="shared" si="15"/>
        <v>3101.8198209950933</v>
      </c>
      <c r="T59" s="18">
        <f t="shared" si="15"/>
        <v>8438.0910387844797</v>
      </c>
      <c r="U59" s="18">
        <f t="shared" si="15"/>
        <v>8489.8348322218444</v>
      </c>
      <c r="V59" s="18">
        <f t="shared" si="15"/>
        <v>8537.0889713305405</v>
      </c>
      <c r="W59" s="18">
        <f t="shared" si="15"/>
        <v>2846.2166043659727</v>
      </c>
      <c r="X59" s="18">
        <f t="shared" si="15"/>
        <v>-1802.2385693106189</v>
      </c>
      <c r="Y59" s="18">
        <f t="shared" si="15"/>
        <v>-518.09560590931369</v>
      </c>
      <c r="Z59" s="18">
        <f t="shared" si="15"/>
        <v>-532.4554154159523</v>
      </c>
      <c r="AA59" s="18">
        <f t="shared" si="15"/>
        <v>-550.8306869798339</v>
      </c>
      <c r="AB59" s="18">
        <f t="shared" si="15"/>
        <v>-566.13705715846891</v>
      </c>
      <c r="AC59" s="18">
        <f t="shared" si="15"/>
        <v>-583.12116887322054</v>
      </c>
      <c r="AD59" s="18">
        <f t="shared" si="15"/>
        <v>-599.28326098286516</v>
      </c>
      <c r="AE59" s="18">
        <f t="shared" si="15"/>
        <v>-619.96479101415434</v>
      </c>
      <c r="AF59" s="18">
        <f t="shared" si="15"/>
        <v>-637.19224549932369</v>
      </c>
      <c r="AG59" s="18">
        <f t="shared" si="15"/>
        <v>37876.226723280532</v>
      </c>
    </row>
    <row r="60" spans="1:33">
      <c r="A60" s="13"/>
      <c r="B60" s="454" t="s">
        <v>1</v>
      </c>
      <c r="C60" s="460">
        <f>XIRR(B59:AG59,B8:AG8)</f>
        <v>8.6701235175132757E-2</v>
      </c>
    </row>
    <row r="61" spans="1:33">
      <c r="A61" s="56"/>
      <c r="B61" s="456"/>
    </row>
    <row r="62" spans="1:33">
      <c r="A62" s="45"/>
    </row>
  </sheetData>
  <pageMargins left="0.75" right="0.75" top="1" bottom="1" header="0.5" footer="0.5"/>
  <pageSetup scale="54" fitToWidth="2" orientation="landscape" horizontalDpi="0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"/>
  <sheetViews>
    <sheetView zoomScale="75" workbookViewId="0">
      <selection activeCell="B10" sqref="B10 L5 B4"/>
    </sheetView>
  </sheetViews>
  <sheetFormatPr defaultRowHeight="12.75"/>
  <cols>
    <col min="1" max="1" width="30.7109375" customWidth="1"/>
    <col min="2" max="2" width="14.28515625" customWidth="1"/>
    <col min="3" max="4" width="10.140625" bestFit="1" customWidth="1"/>
  </cols>
  <sheetData>
    <row r="2" spans="1:22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</row>
    <row r="3" spans="1:22">
      <c r="A3" t="s">
        <v>441</v>
      </c>
      <c r="C3" s="541"/>
      <c r="D3" s="541"/>
      <c r="E3" s="541">
        <v>36831</v>
      </c>
      <c r="F3" s="541">
        <v>36861</v>
      </c>
      <c r="G3" s="541">
        <v>36892</v>
      </c>
      <c r="H3" s="541">
        <v>36923</v>
      </c>
      <c r="I3" s="541">
        <v>36951</v>
      </c>
      <c r="J3" s="541">
        <v>36982</v>
      </c>
      <c r="K3" s="541">
        <v>37012</v>
      </c>
      <c r="L3" s="541">
        <v>37043</v>
      </c>
      <c r="M3" s="181"/>
      <c r="N3" s="181"/>
      <c r="O3" s="181"/>
      <c r="P3" s="181"/>
      <c r="Q3" s="181"/>
      <c r="R3" s="181"/>
      <c r="S3" s="181"/>
      <c r="T3" s="181"/>
      <c r="U3" s="181"/>
      <c r="V3" s="181"/>
    </row>
    <row r="4" spans="1:22">
      <c r="A4" t="s">
        <v>442</v>
      </c>
      <c r="B4" s="542">
        <v>7.0000000000000007E-2</v>
      </c>
    </row>
    <row r="5" spans="1:22">
      <c r="A5" t="s">
        <v>443</v>
      </c>
      <c r="C5" s="543">
        <f>SUM(E5:L5)</f>
        <v>1</v>
      </c>
      <c r="E5" s="544">
        <v>0.25</v>
      </c>
      <c r="F5" s="544">
        <v>0.18</v>
      </c>
      <c r="G5" s="544">
        <v>0.15</v>
      </c>
      <c r="H5" s="544">
        <v>0.12</v>
      </c>
      <c r="I5" s="544">
        <v>0.1</v>
      </c>
      <c r="J5" s="544">
        <v>0.08</v>
      </c>
      <c r="K5" s="544">
        <v>0.06</v>
      </c>
      <c r="L5" s="544">
        <v>0.06</v>
      </c>
    </row>
    <row r="7" spans="1:22">
      <c r="A7" t="s">
        <v>444</v>
      </c>
      <c r="B7" s="545">
        <f>Assumptions!C34</f>
        <v>96489.798429326824</v>
      </c>
    </row>
    <row r="8" spans="1:22">
      <c r="A8" t="s">
        <v>445</v>
      </c>
      <c r="B8" s="546">
        <f>Assumptions!C20+Assumptions!C21</f>
        <v>57289.798429326831</v>
      </c>
    </row>
    <row r="10" spans="1:22">
      <c r="A10" t="s">
        <v>446</v>
      </c>
      <c r="B10" s="547">
        <f>B7-B8</f>
        <v>39199.999999999993</v>
      </c>
      <c r="E10" s="546">
        <f t="shared" ref="E10:L10" si="0">$B$10*E5*$B$4</f>
        <v>685.99999999999989</v>
      </c>
      <c r="F10" s="546">
        <f t="shared" si="0"/>
        <v>493.9199999999999</v>
      </c>
      <c r="G10" s="546">
        <f t="shared" si="0"/>
        <v>411.59999999999997</v>
      </c>
      <c r="H10" s="546">
        <f t="shared" si="0"/>
        <v>329.28</v>
      </c>
      <c r="I10" s="546">
        <f t="shared" si="0"/>
        <v>274.39999999999998</v>
      </c>
      <c r="J10" s="546">
        <f t="shared" si="0"/>
        <v>219.51999999999998</v>
      </c>
      <c r="K10" s="546">
        <f t="shared" si="0"/>
        <v>164.64</v>
      </c>
      <c r="L10" s="546">
        <f t="shared" si="0"/>
        <v>164.64</v>
      </c>
    </row>
    <row r="12" spans="1:22">
      <c r="A12" t="s">
        <v>447</v>
      </c>
      <c r="B12" s="547">
        <f>SUM(E10:L10)</f>
        <v>2743.9999999999995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Notes</vt:lpstr>
      <vt:lpstr>Tracking Sheet</vt:lpstr>
      <vt:lpstr>Assumptions</vt:lpstr>
      <vt:lpstr>Price_Technical Assumption</vt:lpstr>
      <vt:lpstr>GCurve</vt:lpstr>
      <vt:lpstr>IS</vt:lpstr>
      <vt:lpstr>BS</vt:lpstr>
      <vt:lpstr>Returns Analysis</vt:lpstr>
      <vt:lpstr>IDC-Project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2000-02-17T16:07:09Z</cp:lastPrinted>
  <dcterms:created xsi:type="dcterms:W3CDTF">1999-04-02T01:38:38Z</dcterms:created>
  <dcterms:modified xsi:type="dcterms:W3CDTF">2014-09-03T11:32:07Z</dcterms:modified>
</cp:coreProperties>
</file>