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5.xml" ContentType="application/vnd.ms-excel.controlproperties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5" yWindow="4095" windowWidth="15330" windowHeight="4155" tabRatio="861" firstSheet="1" activeTab="2"/>
  </bookViews>
  <sheets>
    <sheet name="Notes" sheetId="23" r:id="rId1"/>
    <sheet name="Tracking Sheet" sheetId="16" r:id="rId2"/>
    <sheet name="Assumptions" sheetId="2" r:id="rId3"/>
    <sheet name="Price_Technical Assumption" sheetId="3" r:id="rId4"/>
    <sheet name="Options" sheetId="29" r:id="rId5"/>
    <sheet name="IS" sheetId="4" r:id="rId6"/>
    <sheet name="BS" sheetId="19" state="hidden" r:id="rId7"/>
    <sheet name="Returns Analysis" sheetId="25" r:id="rId8"/>
    <sheet name="Debt" sheetId="6" r:id="rId9"/>
    <sheet name="Depreciation" sheetId="7" r:id="rId10"/>
    <sheet name="Taxes" sheetId="8" r:id="rId11"/>
    <sheet name="IDC" sheetId="18" r:id="rId12"/>
    <sheet name="NY East" sheetId="26" r:id="rId13"/>
    <sheet name="Chart_4 Hour Block" sheetId="27" r:id="rId14"/>
    <sheet name="Chart_Monthly" sheetId="28" r:id="rId15"/>
  </sheets>
  <externalReferences>
    <externalReference r:id="rId16"/>
    <externalReference r:id="rId17"/>
    <externalReference r:id="rId18"/>
    <externalReference r:id="rId19"/>
  </externalReferences>
  <definedNames>
    <definedName name="AnnualHours">Assumptions!#REF!</definedName>
    <definedName name="Begin_Op">[3]Sum!$N$7</definedName>
    <definedName name="chillers">[4]PROJECTCONFIGURATION!$M$65</definedName>
    <definedName name="Deg_Rate">Assumptions!$E$12</definedName>
    <definedName name="idc">#REF!</definedName>
    <definedName name="ISO_MW">Assumptions!$H$10</definedName>
    <definedName name="Main_Table">'[1]Maintenance Reserves'!$D$22:$I$45</definedName>
    <definedName name="Maint_Accrual">Assumptions!#REF!</definedName>
    <definedName name="PERIOD1">'[2]Project Assumptions'!#REF!</definedName>
    <definedName name="PERIOD2">'[2]Project Assumptions'!#REF!</definedName>
    <definedName name="principal">'[2]Debt Amortization'!#REF!</definedName>
    <definedName name="_xlnm.Print_Area" localSheetId="2">Assumptions!$A$3:$P$78</definedName>
    <definedName name="_xlnm.Print_Area" localSheetId="6">BS!$A$2:$AH$9</definedName>
    <definedName name="_xlnm.Print_Area" localSheetId="8">Debt!$A$2:$AF$69</definedName>
    <definedName name="_xlnm.Print_Area" localSheetId="9">Depreciation!$A$2:$AH$50</definedName>
    <definedName name="_xlnm.Print_Area" localSheetId="11">IDC!$A$2:$L$59</definedName>
    <definedName name="_xlnm.Print_Area" localSheetId="5">IS!$A$2:$AG$47</definedName>
    <definedName name="_xlnm.Print_Area" localSheetId="10">Taxes!$A$2:$AF$41</definedName>
    <definedName name="_xlnm.Print_Titles" localSheetId="6">BS!$A:$A</definedName>
    <definedName name="_xlnm.Print_Titles" localSheetId="8">Debt!$A:$A</definedName>
    <definedName name="_xlnm.Print_Titles" localSheetId="9">Depreciation!$A:$A</definedName>
    <definedName name="_xlnm.Print_Titles" localSheetId="5">IS!$A:$A</definedName>
    <definedName name="_xlnm.Print_Titles" localSheetId="3">'Price_Technical Assumption'!$A:$B</definedName>
    <definedName name="_xlnm.Print_Titles" localSheetId="7">'Returns Analysis'!$A:$A</definedName>
    <definedName name="_xlnm.Print_Titles" localSheetId="10">Taxes!$A:$A</definedName>
    <definedName name="StartMWh">'[2]Project Assumptions'!#REF!</definedName>
    <definedName name="Variable">Assumptions!#REF!</definedName>
    <definedName name="WaterTreatmentVar">Assumptions!#REF!</definedName>
    <definedName name="wrn.test1." hidden="1">{"Income Statement",#N/A,FALSE,"CFMODEL";"Balance Sheet",#N/A,FALSE,"CFMODEL"}</definedName>
    <definedName name="wrn.test2." hidden="1">{"SourcesUses",#N/A,TRUE,"CFMODEL";"TransOverview",#N/A,TRUE,"CFMODEL"}</definedName>
    <definedName name="wrn.test3." hidden="1">{"SourcesUses",#N/A,TRUE,#N/A;"TransOverview",#N/A,TRUE,"CFMODEL"}</definedName>
    <definedName name="wrn.test4." hidden="1">{"SourcesUses",#N/A,TRUE,"FundsFlow";"TransOverview",#N/A,TRUE,"FundsFlow"}</definedName>
  </definedNames>
  <calcPr calcId="152511" fullCalcOnLoad="1"/>
</workbook>
</file>

<file path=xl/calcChain.xml><?xml version="1.0" encoding="utf-8"?>
<calcChain xmlns="http://schemas.openxmlformats.org/spreadsheetml/2006/main">
  <c r="C12" i="2" l="1"/>
  <c r="AA13" i="2"/>
  <c r="AA14" i="2" s="1"/>
  <c r="U14" i="2"/>
  <c r="V14" i="2"/>
  <c r="W14" i="2"/>
  <c r="X14" i="2"/>
  <c r="Y14" i="2"/>
  <c r="Z14" i="2"/>
  <c r="AB14" i="2"/>
  <c r="N17" i="2"/>
  <c r="P17" i="2"/>
  <c r="H60" i="2" s="1"/>
  <c r="H18" i="2"/>
  <c r="C19" i="2"/>
  <c r="C20" i="2"/>
  <c r="C21" i="2"/>
  <c r="N26" i="2"/>
  <c r="G32" i="2"/>
  <c r="H35" i="2"/>
  <c r="H39" i="2"/>
  <c r="C48" i="2"/>
  <c r="G48" i="2"/>
  <c r="C56" i="2"/>
  <c r="H57" i="2"/>
  <c r="H66" i="2"/>
  <c r="H68" i="2" s="1"/>
  <c r="A69" i="2"/>
  <c r="A70" i="2"/>
  <c r="A71" i="2"/>
  <c r="A2" i="19"/>
  <c r="D8" i="19"/>
  <c r="E8" i="19"/>
  <c r="F8" i="19" s="1"/>
  <c r="G8" i="19" s="1"/>
  <c r="H8" i="19" s="1"/>
  <c r="I8" i="19" s="1"/>
  <c r="J8" i="19" s="1"/>
  <c r="K8" i="19"/>
  <c r="L8" i="19" s="1"/>
  <c r="M8" i="19"/>
  <c r="N8" i="19" s="1"/>
  <c r="O8" i="19" s="1"/>
  <c r="P8" i="19" s="1"/>
  <c r="Q8" i="19" s="1"/>
  <c r="R8" i="19" s="1"/>
  <c r="S8" i="19" s="1"/>
  <c r="T8" i="19" s="1"/>
  <c r="U8" i="19" s="1"/>
  <c r="V8" i="19" s="1"/>
  <c r="W8" i="19" s="1"/>
  <c r="X8" i="19" s="1"/>
  <c r="Y8" i="19" s="1"/>
  <c r="Z8" i="19" s="1"/>
  <c r="AA8" i="19" s="1"/>
  <c r="AB8" i="19" s="1"/>
  <c r="AC8" i="19" s="1"/>
  <c r="AD8" i="19" s="1"/>
  <c r="AE8" i="19" s="1"/>
  <c r="AF8" i="19" s="1"/>
  <c r="AG8" i="19" s="1"/>
  <c r="AH8" i="19" s="1"/>
  <c r="D16" i="19"/>
  <c r="E16" i="19"/>
  <c r="F16" i="19"/>
  <c r="G16" i="19"/>
  <c r="H16" i="19"/>
  <c r="I16" i="19"/>
  <c r="J16" i="19"/>
  <c r="K16" i="19"/>
  <c r="L16" i="19"/>
  <c r="M16" i="19"/>
  <c r="N16" i="19"/>
  <c r="O16" i="19"/>
  <c r="P16" i="19"/>
  <c r="Q16" i="19"/>
  <c r="R16" i="19"/>
  <c r="S16" i="19"/>
  <c r="T16" i="19"/>
  <c r="U16" i="19"/>
  <c r="V16" i="19"/>
  <c r="W16" i="19"/>
  <c r="X16" i="19"/>
  <c r="Y16" i="19"/>
  <c r="Z16" i="19"/>
  <c r="AA16" i="19"/>
  <c r="AB16" i="19"/>
  <c r="AC16" i="19"/>
  <c r="AD16" i="19"/>
  <c r="AE16" i="19"/>
  <c r="AF16" i="19"/>
  <c r="AG16" i="19"/>
  <c r="AH16" i="19"/>
  <c r="C22" i="19"/>
  <c r="D22" i="19"/>
  <c r="E22" i="19"/>
  <c r="F22" i="19"/>
  <c r="G22" i="19"/>
  <c r="H22" i="19"/>
  <c r="I22" i="19"/>
  <c r="J22" i="19"/>
  <c r="K22" i="19"/>
  <c r="L22" i="19"/>
  <c r="M22" i="19"/>
  <c r="N22" i="19"/>
  <c r="O22" i="19"/>
  <c r="P22" i="19"/>
  <c r="Q22" i="19"/>
  <c r="R22" i="19"/>
  <c r="S22" i="19"/>
  <c r="T22" i="19"/>
  <c r="U22" i="19"/>
  <c r="V22" i="19"/>
  <c r="W22" i="19"/>
  <c r="X22" i="19"/>
  <c r="Y22" i="19"/>
  <c r="Z22" i="19"/>
  <c r="AA22" i="19"/>
  <c r="AB22" i="19"/>
  <c r="AC22" i="19"/>
  <c r="AD22" i="19"/>
  <c r="AE22" i="19"/>
  <c r="AF22" i="19"/>
  <c r="AG22" i="19"/>
  <c r="AH22" i="19"/>
  <c r="D33" i="19"/>
  <c r="E33" i="19"/>
  <c r="F33" i="19"/>
  <c r="G33" i="19"/>
  <c r="H33" i="19"/>
  <c r="I33" i="19"/>
  <c r="J33" i="19"/>
  <c r="K33" i="19"/>
  <c r="L33" i="19"/>
  <c r="M33" i="19"/>
  <c r="N33" i="19"/>
  <c r="O33" i="19"/>
  <c r="P33" i="19"/>
  <c r="Q33" i="19"/>
  <c r="R33" i="19"/>
  <c r="S33" i="19"/>
  <c r="T33" i="19"/>
  <c r="U33" i="19"/>
  <c r="V33" i="19"/>
  <c r="W33" i="19"/>
  <c r="X33" i="19"/>
  <c r="Y33" i="19"/>
  <c r="Z33" i="19"/>
  <c r="AA33" i="19"/>
  <c r="AB33" i="19"/>
  <c r="AC33" i="19"/>
  <c r="AD33" i="19"/>
  <c r="AE33" i="19"/>
  <c r="AF33" i="19"/>
  <c r="AG33" i="19"/>
  <c r="AH33" i="19"/>
  <c r="C34" i="19"/>
  <c r="D34" i="19"/>
  <c r="E34" i="19"/>
  <c r="F34" i="19"/>
  <c r="G34" i="19"/>
  <c r="H34" i="19"/>
  <c r="I34" i="19"/>
  <c r="J34" i="19"/>
  <c r="K34" i="19"/>
  <c r="L34" i="19"/>
  <c r="M34" i="19"/>
  <c r="N34" i="19"/>
  <c r="O34" i="19"/>
  <c r="P34" i="19"/>
  <c r="Q34" i="19"/>
  <c r="R34" i="19"/>
  <c r="S34" i="19"/>
  <c r="T34" i="19"/>
  <c r="U34" i="19"/>
  <c r="V34" i="19"/>
  <c r="W34" i="19"/>
  <c r="X34" i="19"/>
  <c r="Y34" i="19"/>
  <c r="Z34" i="19"/>
  <c r="AA34" i="19"/>
  <c r="AB34" i="19"/>
  <c r="AC34" i="19"/>
  <c r="AD34" i="19"/>
  <c r="AE34" i="19"/>
  <c r="AF34" i="19"/>
  <c r="AG34" i="19"/>
  <c r="AH34" i="19"/>
  <c r="C37" i="19"/>
  <c r="C42" i="19"/>
  <c r="A2" i="6"/>
  <c r="B8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AN11" i="6"/>
  <c r="AN12" i="6" s="1"/>
  <c r="B33" i="6"/>
  <c r="B41" i="6"/>
  <c r="C41" i="6"/>
  <c r="D41" i="6"/>
  <c r="E41" i="6"/>
  <c r="F41" i="6"/>
  <c r="G41" i="6"/>
  <c r="H41" i="6"/>
  <c r="I41" i="6"/>
  <c r="J41" i="6"/>
  <c r="K41" i="6"/>
  <c r="L41" i="6"/>
  <c r="M41" i="6"/>
  <c r="N41" i="6"/>
  <c r="O41" i="6"/>
  <c r="P41" i="6"/>
  <c r="Q41" i="6"/>
  <c r="R41" i="6"/>
  <c r="S41" i="6"/>
  <c r="T41" i="6"/>
  <c r="U41" i="6"/>
  <c r="V41" i="6"/>
  <c r="W41" i="6"/>
  <c r="X41" i="6"/>
  <c r="Y41" i="6"/>
  <c r="Z41" i="6"/>
  <c r="AA41" i="6"/>
  <c r="AB41" i="6"/>
  <c r="AC41" i="6"/>
  <c r="AD41" i="6"/>
  <c r="AE41" i="6"/>
  <c r="AF41" i="6"/>
  <c r="E62" i="6"/>
  <c r="E63" i="6"/>
  <c r="E64" i="6" s="1"/>
  <c r="G39" i="2" s="1"/>
  <c r="E65" i="6"/>
  <c r="E67" i="6"/>
  <c r="C74" i="6"/>
  <c r="D74" i="6"/>
  <c r="E74" i="6"/>
  <c r="F74" i="6"/>
  <c r="G74" i="6"/>
  <c r="H74" i="6"/>
  <c r="I74" i="6"/>
  <c r="J74" i="6"/>
  <c r="K74" i="6"/>
  <c r="L74" i="6"/>
  <c r="M74" i="6"/>
  <c r="N74" i="6"/>
  <c r="O74" i="6"/>
  <c r="P74" i="6"/>
  <c r="Q74" i="6"/>
  <c r="R74" i="6"/>
  <c r="S74" i="6"/>
  <c r="T74" i="6"/>
  <c r="U74" i="6"/>
  <c r="V74" i="6"/>
  <c r="W74" i="6"/>
  <c r="X74" i="6"/>
  <c r="Y74" i="6"/>
  <c r="Z74" i="6"/>
  <c r="AA74" i="6"/>
  <c r="AB74" i="6"/>
  <c r="AC74" i="6"/>
  <c r="AD74" i="6"/>
  <c r="AE74" i="6"/>
  <c r="AF74" i="6"/>
  <c r="B75" i="6"/>
  <c r="C75" i="6"/>
  <c r="D75" i="6"/>
  <c r="E75" i="6"/>
  <c r="F75" i="6"/>
  <c r="G75" i="6"/>
  <c r="H75" i="6"/>
  <c r="I75" i="6"/>
  <c r="J75" i="6"/>
  <c r="K75" i="6"/>
  <c r="L75" i="6"/>
  <c r="M75" i="6"/>
  <c r="N75" i="6"/>
  <c r="O75" i="6"/>
  <c r="P75" i="6"/>
  <c r="Q75" i="6"/>
  <c r="R75" i="6"/>
  <c r="S75" i="6"/>
  <c r="T75" i="6"/>
  <c r="U75" i="6"/>
  <c r="V75" i="6"/>
  <c r="W75" i="6"/>
  <c r="X75" i="6"/>
  <c r="Y75" i="6"/>
  <c r="Z75" i="6"/>
  <c r="AA75" i="6"/>
  <c r="AB75" i="6"/>
  <c r="AC75" i="6"/>
  <c r="AD75" i="6"/>
  <c r="AE75" i="6"/>
  <c r="AF75" i="6"/>
  <c r="A2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U8" i="7"/>
  <c r="V8" i="7"/>
  <c r="W8" i="7"/>
  <c r="X8" i="7"/>
  <c r="Y8" i="7"/>
  <c r="Z8" i="7"/>
  <c r="AA8" i="7"/>
  <c r="AB8" i="7"/>
  <c r="AC8" i="7"/>
  <c r="AD8" i="7"/>
  <c r="AE8" i="7"/>
  <c r="AF8" i="7"/>
  <c r="AG8" i="7"/>
  <c r="AH8" i="7"/>
  <c r="B12" i="7"/>
  <c r="B13" i="7"/>
  <c r="E13" i="7"/>
  <c r="E27" i="7" s="1"/>
  <c r="F13" i="7"/>
  <c r="F42" i="7" s="1"/>
  <c r="G13" i="7"/>
  <c r="H13" i="7"/>
  <c r="B14" i="7"/>
  <c r="B18" i="7"/>
  <c r="B26" i="7"/>
  <c r="D26" i="7"/>
  <c r="E26" i="7"/>
  <c r="F26" i="7"/>
  <c r="G26" i="7"/>
  <c r="H26" i="7"/>
  <c r="I26" i="7"/>
  <c r="J26" i="7"/>
  <c r="K26" i="7"/>
  <c r="L26" i="7"/>
  <c r="M26" i="7"/>
  <c r="N26" i="7"/>
  <c r="O26" i="7"/>
  <c r="P26" i="7"/>
  <c r="Q26" i="7"/>
  <c r="R26" i="7"/>
  <c r="S26" i="7"/>
  <c r="T26" i="7"/>
  <c r="U26" i="7"/>
  <c r="V26" i="7"/>
  <c r="W26" i="7"/>
  <c r="X26" i="7"/>
  <c r="Y26" i="7"/>
  <c r="Z26" i="7"/>
  <c r="AA26" i="7"/>
  <c r="AB26" i="7"/>
  <c r="AC26" i="7"/>
  <c r="AD26" i="7"/>
  <c r="AE26" i="7"/>
  <c r="AF26" i="7"/>
  <c r="AG26" i="7"/>
  <c r="AH26" i="7"/>
  <c r="B27" i="7"/>
  <c r="F27" i="7"/>
  <c r="H27" i="7"/>
  <c r="J27" i="7"/>
  <c r="K27" i="7"/>
  <c r="L27" i="7"/>
  <c r="M27" i="7"/>
  <c r="N27" i="7"/>
  <c r="O27" i="7"/>
  <c r="P27" i="7"/>
  <c r="Q27" i="7"/>
  <c r="R27" i="7"/>
  <c r="S27" i="7"/>
  <c r="T27" i="7"/>
  <c r="U27" i="7"/>
  <c r="V27" i="7"/>
  <c r="W27" i="7"/>
  <c r="X27" i="7"/>
  <c r="Y27" i="7"/>
  <c r="Z27" i="7"/>
  <c r="AA27" i="7"/>
  <c r="AB27" i="7"/>
  <c r="AC27" i="7"/>
  <c r="AD27" i="7"/>
  <c r="AE27" i="7"/>
  <c r="AF27" i="7"/>
  <c r="AG27" i="7"/>
  <c r="AH27" i="7"/>
  <c r="B28" i="7"/>
  <c r="B33" i="7"/>
  <c r="B41" i="7"/>
  <c r="C41" i="7"/>
  <c r="B42" i="7"/>
  <c r="E42" i="7"/>
  <c r="H42" i="7"/>
  <c r="J42" i="7"/>
  <c r="K42" i="7"/>
  <c r="L42" i="7"/>
  <c r="M42" i="7"/>
  <c r="N42" i="7"/>
  <c r="O42" i="7"/>
  <c r="P42" i="7"/>
  <c r="Q42" i="7"/>
  <c r="R42" i="7"/>
  <c r="S42" i="7"/>
  <c r="T42" i="7"/>
  <c r="U42" i="7"/>
  <c r="V42" i="7"/>
  <c r="W42" i="7"/>
  <c r="X42" i="7"/>
  <c r="Y42" i="7"/>
  <c r="Z42" i="7"/>
  <c r="AA42" i="7"/>
  <c r="AB42" i="7"/>
  <c r="AC42" i="7"/>
  <c r="AD42" i="7"/>
  <c r="AE42" i="7"/>
  <c r="AF42" i="7"/>
  <c r="AG42" i="7"/>
  <c r="AH42" i="7"/>
  <c r="B43" i="7"/>
  <c r="B47" i="7"/>
  <c r="A2" i="18"/>
  <c r="C8" i="18"/>
  <c r="D8" i="18"/>
  <c r="C15" i="18"/>
  <c r="D15" i="18"/>
  <c r="D34" i="18" s="1"/>
  <c r="E15" i="18"/>
  <c r="A16" i="18"/>
  <c r="C16" i="18"/>
  <c r="E16" i="18" s="1"/>
  <c r="C17" i="18"/>
  <c r="E17" i="18"/>
  <c r="F17" i="18"/>
  <c r="C18" i="18"/>
  <c r="E18" i="18"/>
  <c r="F18" i="18"/>
  <c r="C19" i="18"/>
  <c r="E19" i="18" s="1"/>
  <c r="F19" i="18" s="1"/>
  <c r="C20" i="18"/>
  <c r="E20" i="18" s="1"/>
  <c r="F20" i="18" s="1"/>
  <c r="C21" i="18"/>
  <c r="C22" i="18"/>
  <c r="E22" i="18"/>
  <c r="F22" i="18" s="1"/>
  <c r="C23" i="18"/>
  <c r="E23" i="18" s="1"/>
  <c r="F23" i="18"/>
  <c r="C24" i="18"/>
  <c r="E24" i="18" s="1"/>
  <c r="F24" i="18" s="1"/>
  <c r="C25" i="18"/>
  <c r="E25" i="18"/>
  <c r="F25" i="18" s="1"/>
  <c r="C26" i="18"/>
  <c r="E26" i="18"/>
  <c r="F26" i="18"/>
  <c r="C27" i="18"/>
  <c r="E27" i="18" s="1"/>
  <c r="F27" i="18" s="1"/>
  <c r="C28" i="18"/>
  <c r="E28" i="18" s="1"/>
  <c r="F28" i="18" s="1"/>
  <c r="C29" i="18"/>
  <c r="E29" i="18" s="1"/>
  <c r="F29" i="18" s="1"/>
  <c r="E30" i="18"/>
  <c r="F30" i="18"/>
  <c r="E31" i="18"/>
  <c r="F31" i="18" s="1"/>
  <c r="E32" i="18"/>
  <c r="F32" i="18"/>
  <c r="E33" i="18"/>
  <c r="F33" i="18" s="1"/>
  <c r="H57" i="18"/>
  <c r="I57" i="18"/>
  <c r="J57" i="18"/>
  <c r="K57" i="18"/>
  <c r="L57" i="18"/>
  <c r="D59" i="18"/>
  <c r="A2" i="4"/>
  <c r="C10" i="4"/>
  <c r="D10" i="4"/>
  <c r="E10" i="4"/>
  <c r="F10" i="4"/>
  <c r="G10" i="4"/>
  <c r="H10" i="4"/>
  <c r="I10" i="4"/>
  <c r="J10" i="4"/>
  <c r="K10" i="4"/>
  <c r="L10" i="4"/>
  <c r="AG10" i="4"/>
  <c r="C12" i="4"/>
  <c r="D12" i="4"/>
  <c r="E12" i="4"/>
  <c r="F12" i="4"/>
  <c r="G12" i="4"/>
  <c r="H12" i="4"/>
  <c r="I12" i="4"/>
  <c r="J12" i="4"/>
  <c r="K12" i="4"/>
  <c r="L12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AB17" i="4"/>
  <c r="AC17" i="4"/>
  <c r="AD17" i="4"/>
  <c r="AE17" i="4"/>
  <c r="AF17" i="4"/>
  <c r="AG17" i="4"/>
  <c r="D19" i="4"/>
  <c r="E19" i="4" s="1"/>
  <c r="F19" i="4" s="1"/>
  <c r="G19" i="4"/>
  <c r="H19" i="4" s="1"/>
  <c r="I19" i="4" s="1"/>
  <c r="J19" i="4" s="1"/>
  <c r="K19" i="4" s="1"/>
  <c r="L19" i="4" s="1"/>
  <c r="M19" i="4" s="1"/>
  <c r="N19" i="4" s="1"/>
  <c r="O19" i="4" s="1"/>
  <c r="P19" i="4" s="1"/>
  <c r="Q19" i="4" s="1"/>
  <c r="R19" i="4" s="1"/>
  <c r="S19" i="4" s="1"/>
  <c r="T19" i="4" s="1"/>
  <c r="U19" i="4" s="1"/>
  <c r="V19" i="4" s="1"/>
  <c r="W19" i="4" s="1"/>
  <c r="X19" i="4" s="1"/>
  <c r="Y19" i="4" s="1"/>
  <c r="Z19" i="4" s="1"/>
  <c r="AA19" i="4" s="1"/>
  <c r="AB19" i="4" s="1"/>
  <c r="AC19" i="4" s="1"/>
  <c r="AD19" i="4" s="1"/>
  <c r="AE19" i="4" s="1"/>
  <c r="AF19" i="4" s="1"/>
  <c r="AG19" i="4" s="1"/>
  <c r="C22" i="4"/>
  <c r="D22" i="4"/>
  <c r="E22" i="4"/>
  <c r="F22" i="4" s="1"/>
  <c r="G22" i="4" s="1"/>
  <c r="H22" i="4" s="1"/>
  <c r="I22" i="4" s="1"/>
  <c r="J22" i="4" s="1"/>
  <c r="K22" i="4" s="1"/>
  <c r="L22" i="4" s="1"/>
  <c r="M22" i="4" s="1"/>
  <c r="N22" i="4" s="1"/>
  <c r="O22" i="4" s="1"/>
  <c r="P22" i="4" s="1"/>
  <c r="Q22" i="4" s="1"/>
  <c r="R22" i="4" s="1"/>
  <c r="S22" i="4" s="1"/>
  <c r="T22" i="4" s="1"/>
  <c r="U22" i="4" s="1"/>
  <c r="V22" i="4" s="1"/>
  <c r="W22" i="4" s="1"/>
  <c r="X22" i="4" s="1"/>
  <c r="Y22" i="4" s="1"/>
  <c r="Z22" i="4" s="1"/>
  <c r="AA22" i="4" s="1"/>
  <c r="AB22" i="4" s="1"/>
  <c r="AC22" i="4" s="1"/>
  <c r="AD22" i="4" s="1"/>
  <c r="AE22" i="4" s="1"/>
  <c r="AF22" i="4" s="1"/>
  <c r="AG22" i="4" s="1"/>
  <c r="C23" i="4"/>
  <c r="D23" i="4"/>
  <c r="E23" i="4" s="1"/>
  <c r="F23" i="4"/>
  <c r="G23" i="4" s="1"/>
  <c r="H23" i="4" s="1"/>
  <c r="I23" i="4" s="1"/>
  <c r="J23" i="4" s="1"/>
  <c r="K23" i="4" s="1"/>
  <c r="L23" i="4" s="1"/>
  <c r="M23" i="4" s="1"/>
  <c r="N23" i="4" s="1"/>
  <c r="O23" i="4" s="1"/>
  <c r="P23" i="4" s="1"/>
  <c r="Q23" i="4" s="1"/>
  <c r="R23" i="4" s="1"/>
  <c r="S23" i="4" s="1"/>
  <c r="T23" i="4" s="1"/>
  <c r="U23" i="4" s="1"/>
  <c r="V23" i="4" s="1"/>
  <c r="W23" i="4" s="1"/>
  <c r="X23" i="4" s="1"/>
  <c r="Y23" i="4" s="1"/>
  <c r="Z23" i="4" s="1"/>
  <c r="AA23" i="4" s="1"/>
  <c r="AB23" i="4" s="1"/>
  <c r="AC23" i="4" s="1"/>
  <c r="AD23" i="4" s="1"/>
  <c r="AE23" i="4" s="1"/>
  <c r="AF23" i="4" s="1"/>
  <c r="AG23" i="4" s="1"/>
  <c r="C24" i="4"/>
  <c r="D24" i="4"/>
  <c r="E24" i="4"/>
  <c r="F24" i="4" s="1"/>
  <c r="G24" i="4"/>
  <c r="H24" i="4" s="1"/>
  <c r="I24" i="4" s="1"/>
  <c r="J24" i="4" s="1"/>
  <c r="K24" i="4" s="1"/>
  <c r="L24" i="4" s="1"/>
  <c r="M24" i="4" s="1"/>
  <c r="N24" i="4" s="1"/>
  <c r="O24" i="4" s="1"/>
  <c r="P24" i="4" s="1"/>
  <c r="Q24" i="4" s="1"/>
  <c r="R24" i="4" s="1"/>
  <c r="S24" i="4" s="1"/>
  <c r="T24" i="4" s="1"/>
  <c r="U24" i="4" s="1"/>
  <c r="V24" i="4" s="1"/>
  <c r="W24" i="4" s="1"/>
  <c r="X24" i="4" s="1"/>
  <c r="Y24" i="4" s="1"/>
  <c r="Z24" i="4" s="1"/>
  <c r="AA24" i="4" s="1"/>
  <c r="AB24" i="4" s="1"/>
  <c r="AC24" i="4" s="1"/>
  <c r="AD24" i="4" s="1"/>
  <c r="AE24" i="4" s="1"/>
  <c r="AF24" i="4" s="1"/>
  <c r="AG24" i="4" s="1"/>
  <c r="D25" i="4"/>
  <c r="E25" i="4" s="1"/>
  <c r="F25" i="4" s="1"/>
  <c r="G25" i="4" s="1"/>
  <c r="H25" i="4" s="1"/>
  <c r="I25" i="4" s="1"/>
  <c r="J25" i="4" s="1"/>
  <c r="K25" i="4" s="1"/>
  <c r="L25" i="4" s="1"/>
  <c r="M25" i="4" s="1"/>
  <c r="N25" i="4" s="1"/>
  <c r="O25" i="4" s="1"/>
  <c r="P25" i="4" s="1"/>
  <c r="Q25" i="4" s="1"/>
  <c r="R25" i="4" s="1"/>
  <c r="S25" i="4" s="1"/>
  <c r="T25" i="4" s="1"/>
  <c r="U25" i="4" s="1"/>
  <c r="V25" i="4" s="1"/>
  <c r="W25" i="4" s="1"/>
  <c r="X25" i="4" s="1"/>
  <c r="Y25" i="4" s="1"/>
  <c r="Z25" i="4" s="1"/>
  <c r="AA25" i="4" s="1"/>
  <c r="AB25" i="4" s="1"/>
  <c r="AC25" i="4" s="1"/>
  <c r="AD25" i="4" s="1"/>
  <c r="AE25" i="4" s="1"/>
  <c r="AF25" i="4" s="1"/>
  <c r="AG25" i="4" s="1"/>
  <c r="D28" i="4"/>
  <c r="E28" i="4"/>
  <c r="F28" i="4"/>
  <c r="G28" i="4"/>
  <c r="H28" i="4"/>
  <c r="I28" i="4"/>
  <c r="J28" i="4"/>
  <c r="K28" i="4"/>
  <c r="L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C30" i="4"/>
  <c r="D30" i="4"/>
  <c r="E30" i="4"/>
  <c r="F30" i="4" s="1"/>
  <c r="G30" i="4" s="1"/>
  <c r="H30" i="4" s="1"/>
  <c r="I30" i="4" s="1"/>
  <c r="J30" i="4" s="1"/>
  <c r="K30" i="4" s="1"/>
  <c r="L30" i="4" s="1"/>
  <c r="M30" i="4"/>
  <c r="N30" i="4"/>
  <c r="O30" i="4" s="1"/>
  <c r="P30" i="4" s="1"/>
  <c r="Q30" i="4" s="1"/>
  <c r="R30" i="4" s="1"/>
  <c r="S30" i="4" s="1"/>
  <c r="T30" i="4" s="1"/>
  <c r="U30" i="4" s="1"/>
  <c r="V30" i="4" s="1"/>
  <c r="W30" i="4" s="1"/>
  <c r="X30" i="4" s="1"/>
  <c r="Y30" i="4" s="1"/>
  <c r="Z30" i="4" s="1"/>
  <c r="AA30" i="4" s="1"/>
  <c r="AB30" i="4" s="1"/>
  <c r="AC30" i="4" s="1"/>
  <c r="AD30" i="4" s="1"/>
  <c r="AE30" i="4" s="1"/>
  <c r="AF30" i="4" s="1"/>
  <c r="AG30" i="4" s="1"/>
  <c r="C31" i="4"/>
  <c r="D31" i="4"/>
  <c r="E31" i="4" s="1"/>
  <c r="F31" i="4" s="1"/>
  <c r="G31" i="4" s="1"/>
  <c r="H31" i="4" s="1"/>
  <c r="I31" i="4" s="1"/>
  <c r="J31" i="4" s="1"/>
  <c r="K31" i="4" s="1"/>
  <c r="L31" i="4" s="1"/>
  <c r="M31" i="4" s="1"/>
  <c r="N31" i="4" s="1"/>
  <c r="O31" i="4" s="1"/>
  <c r="P31" i="4" s="1"/>
  <c r="Q31" i="4" s="1"/>
  <c r="R31" i="4" s="1"/>
  <c r="S31" i="4" s="1"/>
  <c r="T31" i="4" s="1"/>
  <c r="U31" i="4" s="1"/>
  <c r="V31" i="4" s="1"/>
  <c r="W31" i="4"/>
  <c r="X31" i="4" s="1"/>
  <c r="Y31" i="4" s="1"/>
  <c r="Z31" i="4" s="1"/>
  <c r="AA31" i="4" s="1"/>
  <c r="AB31" i="4" s="1"/>
  <c r="AC31" i="4" s="1"/>
  <c r="AD31" i="4" s="1"/>
  <c r="AE31" i="4" s="1"/>
  <c r="AF31" i="4" s="1"/>
  <c r="AG31" i="4" s="1"/>
  <c r="B44" i="4"/>
  <c r="B45" i="4"/>
  <c r="C18" i="26"/>
  <c r="D18" i="26"/>
  <c r="E18" i="26"/>
  <c r="F18" i="26"/>
  <c r="G18" i="26"/>
  <c r="H18" i="26"/>
  <c r="I18" i="26"/>
  <c r="J18" i="26"/>
  <c r="K18" i="26"/>
  <c r="L18" i="26"/>
  <c r="M18" i="26"/>
  <c r="N18" i="26"/>
  <c r="O18" i="26"/>
  <c r="P18" i="26"/>
  <c r="Q18" i="26"/>
  <c r="D33" i="26" s="1"/>
  <c r="R18" i="26"/>
  <c r="S18" i="26"/>
  <c r="T18" i="26"/>
  <c r="U18" i="26"/>
  <c r="V18" i="26"/>
  <c r="W18" i="26"/>
  <c r="X18" i="26"/>
  <c r="Y18" i="26"/>
  <c r="Z18" i="26"/>
  <c r="AA18" i="26"/>
  <c r="AB18" i="26"/>
  <c r="AC18" i="26"/>
  <c r="AD18" i="26"/>
  <c r="AE18" i="26"/>
  <c r="AF18" i="26"/>
  <c r="AG18" i="26"/>
  <c r="E33" i="26" s="1"/>
  <c r="AH18" i="26"/>
  <c r="AI18" i="26"/>
  <c r="AJ18" i="26"/>
  <c r="AK18" i="26"/>
  <c r="AL18" i="26"/>
  <c r="AM18" i="26"/>
  <c r="AN18" i="26"/>
  <c r="AO18" i="26"/>
  <c r="AP18" i="26"/>
  <c r="AQ18" i="26"/>
  <c r="AR18" i="26"/>
  <c r="AS18" i="26"/>
  <c r="AT18" i="26"/>
  <c r="AU18" i="26"/>
  <c r="AV18" i="26"/>
  <c r="AW18" i="26"/>
  <c r="AX18" i="26"/>
  <c r="AY18" i="26"/>
  <c r="AZ18" i="26"/>
  <c r="BA18" i="26"/>
  <c r="BB18" i="26"/>
  <c r="BC18" i="26"/>
  <c r="BD18" i="26"/>
  <c r="BE18" i="26"/>
  <c r="G33" i="26" s="1"/>
  <c r="BF18" i="26"/>
  <c r="BG18" i="26"/>
  <c r="BH18" i="26"/>
  <c r="BI18" i="26"/>
  <c r="BJ18" i="26"/>
  <c r="BK18" i="26"/>
  <c r="BL18" i="26"/>
  <c r="BM18" i="26"/>
  <c r="BN18" i="26"/>
  <c r="BO18" i="26"/>
  <c r="BP18" i="26"/>
  <c r="BQ18" i="26"/>
  <c r="BR18" i="26"/>
  <c r="BS18" i="26"/>
  <c r="BT18" i="26"/>
  <c r="BU18" i="26"/>
  <c r="BV18" i="26"/>
  <c r="BW18" i="26"/>
  <c r="BX18" i="26"/>
  <c r="BY18" i="26"/>
  <c r="BZ18" i="26"/>
  <c r="CA18" i="26"/>
  <c r="CB18" i="26"/>
  <c r="CC18" i="26"/>
  <c r="CD18" i="26"/>
  <c r="CE18" i="26"/>
  <c r="CF18" i="26"/>
  <c r="CG18" i="26"/>
  <c r="CH18" i="26"/>
  <c r="CI18" i="26"/>
  <c r="CJ18" i="26"/>
  <c r="CK18" i="26"/>
  <c r="CL18" i="26"/>
  <c r="CM18" i="26"/>
  <c r="CN18" i="26"/>
  <c r="CO18" i="26"/>
  <c r="CP18" i="26"/>
  <c r="CQ18" i="26"/>
  <c r="CR18" i="26"/>
  <c r="CS18" i="26"/>
  <c r="CT18" i="26"/>
  <c r="CU18" i="26"/>
  <c r="CV18" i="26"/>
  <c r="CW18" i="26"/>
  <c r="CX18" i="26"/>
  <c r="CY18" i="26"/>
  <c r="CZ18" i="26"/>
  <c r="DA18" i="26"/>
  <c r="DB18" i="26"/>
  <c r="DC18" i="26"/>
  <c r="DD18" i="26"/>
  <c r="DE18" i="26"/>
  <c r="DF18" i="26"/>
  <c r="DG18" i="26"/>
  <c r="DH18" i="26"/>
  <c r="DI18" i="26"/>
  <c r="L33" i="26" s="1"/>
  <c r="DJ18" i="26"/>
  <c r="DK18" i="26"/>
  <c r="DL18" i="26"/>
  <c r="DM18" i="26"/>
  <c r="DN18" i="26"/>
  <c r="DO18" i="26"/>
  <c r="DP18" i="26"/>
  <c r="DQ18" i="26"/>
  <c r="DR18" i="26"/>
  <c r="DS18" i="26"/>
  <c r="DT18" i="26"/>
  <c r="DU18" i="26"/>
  <c r="DV18" i="26"/>
  <c r="DW18" i="26"/>
  <c r="DX18" i="26"/>
  <c r="DY18" i="26"/>
  <c r="M33" i="26" s="1"/>
  <c r="DZ18" i="26"/>
  <c r="EA18" i="26"/>
  <c r="EB18" i="26"/>
  <c r="EC18" i="26"/>
  <c r="ED18" i="26"/>
  <c r="EE18" i="26"/>
  <c r="EF18" i="26"/>
  <c r="EG18" i="26"/>
  <c r="EH18" i="26"/>
  <c r="EI18" i="26"/>
  <c r="EJ18" i="26"/>
  <c r="EK18" i="26"/>
  <c r="EL18" i="26"/>
  <c r="EM18" i="26"/>
  <c r="EN18" i="26"/>
  <c r="EO18" i="26"/>
  <c r="EP18" i="26"/>
  <c r="C19" i="26"/>
  <c r="D19" i="26"/>
  <c r="E19" i="26"/>
  <c r="F19" i="26"/>
  <c r="G19" i="26"/>
  <c r="H19" i="26"/>
  <c r="I19" i="26"/>
  <c r="J19" i="26"/>
  <c r="K19" i="26"/>
  <c r="L19" i="26"/>
  <c r="M19" i="26"/>
  <c r="N19" i="26"/>
  <c r="O19" i="26"/>
  <c r="P19" i="26"/>
  <c r="Q19" i="26"/>
  <c r="R19" i="26"/>
  <c r="S19" i="26"/>
  <c r="T19" i="26"/>
  <c r="U19" i="26"/>
  <c r="V19" i="26"/>
  <c r="W19" i="26"/>
  <c r="X19" i="26"/>
  <c r="Y19" i="26"/>
  <c r="Z19" i="26"/>
  <c r="AA19" i="26"/>
  <c r="AB19" i="26"/>
  <c r="AC19" i="26"/>
  <c r="AD19" i="26"/>
  <c r="AE19" i="26"/>
  <c r="AF19" i="26"/>
  <c r="AG19" i="26"/>
  <c r="AH19" i="26"/>
  <c r="AI19" i="26"/>
  <c r="AJ19" i="26"/>
  <c r="AK19" i="26"/>
  <c r="AL19" i="26"/>
  <c r="AM19" i="26"/>
  <c r="AN19" i="26"/>
  <c r="AO19" i="26"/>
  <c r="AP19" i="26"/>
  <c r="AQ19" i="26"/>
  <c r="AR19" i="26"/>
  <c r="AS19" i="26"/>
  <c r="AT19" i="26"/>
  <c r="AU19" i="26"/>
  <c r="AV19" i="26"/>
  <c r="AW19" i="26"/>
  <c r="AX19" i="26"/>
  <c r="AY19" i="26"/>
  <c r="AZ19" i="26"/>
  <c r="BA19" i="26"/>
  <c r="BB19" i="26"/>
  <c r="BC19" i="26"/>
  <c r="BD19" i="26"/>
  <c r="BE19" i="26"/>
  <c r="G34" i="26" s="1"/>
  <c r="BF19" i="26"/>
  <c r="BG19" i="26"/>
  <c r="BH19" i="26"/>
  <c r="BI19" i="26"/>
  <c r="BJ19" i="26"/>
  <c r="BK19" i="26"/>
  <c r="BL19" i="26"/>
  <c r="BM19" i="26"/>
  <c r="H34" i="26" s="1"/>
  <c r="BN19" i="26"/>
  <c r="BO19" i="26"/>
  <c r="BP19" i="26"/>
  <c r="BQ19" i="26"/>
  <c r="BR19" i="26"/>
  <c r="BS19" i="26"/>
  <c r="BT19" i="26"/>
  <c r="BU19" i="26"/>
  <c r="BV19" i="26"/>
  <c r="BW19" i="26"/>
  <c r="BX19" i="26"/>
  <c r="BY19" i="26"/>
  <c r="BZ19" i="26"/>
  <c r="CA19" i="26"/>
  <c r="CB19" i="26"/>
  <c r="CC19" i="26"/>
  <c r="CD19" i="26"/>
  <c r="CE19" i="26"/>
  <c r="CF19" i="26"/>
  <c r="CG19" i="26"/>
  <c r="CH19" i="26"/>
  <c r="CI19" i="26"/>
  <c r="CJ19" i="26"/>
  <c r="CK19" i="26"/>
  <c r="J34" i="26" s="1"/>
  <c r="CL19" i="26"/>
  <c r="CM19" i="26"/>
  <c r="CN19" i="26"/>
  <c r="CO19" i="26"/>
  <c r="CP19" i="26"/>
  <c r="CQ19" i="26"/>
  <c r="CR19" i="26"/>
  <c r="CS19" i="26"/>
  <c r="CT19" i="26"/>
  <c r="CU19" i="26"/>
  <c r="CV19" i="26"/>
  <c r="CW19" i="26"/>
  <c r="CX19" i="26"/>
  <c r="CY19" i="26"/>
  <c r="CZ19" i="26"/>
  <c r="DA19" i="26"/>
  <c r="DB19" i="26"/>
  <c r="DC19" i="26"/>
  <c r="DD19" i="26"/>
  <c r="DE19" i="26"/>
  <c r="DF19" i="26"/>
  <c r="DG19" i="26"/>
  <c r="DH19" i="26"/>
  <c r="DI19" i="26"/>
  <c r="DJ19" i="26"/>
  <c r="DK19" i="26"/>
  <c r="DL19" i="26"/>
  <c r="DM19" i="26"/>
  <c r="DN19" i="26"/>
  <c r="DO19" i="26"/>
  <c r="DP19" i="26"/>
  <c r="DQ19" i="26"/>
  <c r="DR19" i="26"/>
  <c r="DS19" i="26"/>
  <c r="DT19" i="26"/>
  <c r="DU19" i="26"/>
  <c r="DV19" i="26"/>
  <c r="DW19" i="26"/>
  <c r="DX19" i="26"/>
  <c r="DY19" i="26"/>
  <c r="DZ19" i="26"/>
  <c r="EA19" i="26"/>
  <c r="EB19" i="26"/>
  <c r="EC19" i="26"/>
  <c r="ED19" i="26"/>
  <c r="EE19" i="26"/>
  <c r="EF19" i="26"/>
  <c r="EG19" i="26"/>
  <c r="EH19" i="26"/>
  <c r="EI19" i="26"/>
  <c r="EJ19" i="26"/>
  <c r="EK19" i="26"/>
  <c r="EL19" i="26"/>
  <c r="EM19" i="26"/>
  <c r="EN19" i="26"/>
  <c r="EO19" i="26"/>
  <c r="EP19" i="26"/>
  <c r="C20" i="26"/>
  <c r="D20" i="26"/>
  <c r="E20" i="26"/>
  <c r="F20" i="26"/>
  <c r="G20" i="26"/>
  <c r="H20" i="26"/>
  <c r="I20" i="26"/>
  <c r="J20" i="26"/>
  <c r="K20" i="26"/>
  <c r="L20" i="26"/>
  <c r="M20" i="26"/>
  <c r="N20" i="26"/>
  <c r="O20" i="26"/>
  <c r="P20" i="26"/>
  <c r="Q20" i="26"/>
  <c r="R20" i="26"/>
  <c r="S20" i="26"/>
  <c r="T20" i="26"/>
  <c r="U20" i="26"/>
  <c r="V20" i="26"/>
  <c r="W20" i="26"/>
  <c r="X20" i="26"/>
  <c r="Y20" i="26"/>
  <c r="Z20" i="26"/>
  <c r="AA20" i="26"/>
  <c r="AB20" i="26"/>
  <c r="AC20" i="26"/>
  <c r="AD20" i="26"/>
  <c r="AE20" i="26"/>
  <c r="AF20" i="26"/>
  <c r="AG20" i="26"/>
  <c r="E35" i="26" s="1"/>
  <c r="AH20" i="26"/>
  <c r="AI20" i="26"/>
  <c r="AJ20" i="26"/>
  <c r="AK20" i="26"/>
  <c r="AL20" i="26"/>
  <c r="AM20" i="26"/>
  <c r="AN20" i="26"/>
  <c r="AO20" i="26"/>
  <c r="AP20" i="26"/>
  <c r="AQ20" i="26"/>
  <c r="AR20" i="26"/>
  <c r="AS20" i="26"/>
  <c r="AT20" i="26"/>
  <c r="AU20" i="26"/>
  <c r="AV20" i="26"/>
  <c r="AW20" i="26"/>
  <c r="AX20" i="26"/>
  <c r="AY20" i="26"/>
  <c r="AZ20" i="26"/>
  <c r="BA20" i="26"/>
  <c r="BB20" i="26"/>
  <c r="BC20" i="26"/>
  <c r="BD20" i="26"/>
  <c r="BE20" i="26"/>
  <c r="BF20" i="26"/>
  <c r="BG20" i="26"/>
  <c r="BH20" i="26"/>
  <c r="BI20" i="26"/>
  <c r="BJ20" i="26"/>
  <c r="BK20" i="26"/>
  <c r="BL20" i="26"/>
  <c r="BM20" i="26"/>
  <c r="BN20" i="26"/>
  <c r="BO20" i="26"/>
  <c r="BP20" i="26"/>
  <c r="BQ20" i="26"/>
  <c r="BR20" i="26"/>
  <c r="BS20" i="26"/>
  <c r="BT20" i="26"/>
  <c r="BU20" i="26"/>
  <c r="BV20" i="26"/>
  <c r="BW20" i="26"/>
  <c r="BX20" i="26"/>
  <c r="BY20" i="26"/>
  <c r="BZ20" i="26"/>
  <c r="CA20" i="26"/>
  <c r="CB20" i="26"/>
  <c r="CC20" i="26"/>
  <c r="CD20" i="26"/>
  <c r="CE20" i="26"/>
  <c r="CF20" i="26"/>
  <c r="CG20" i="26"/>
  <c r="CH20" i="26"/>
  <c r="CI20" i="26"/>
  <c r="CJ20" i="26"/>
  <c r="CK20" i="26"/>
  <c r="J35" i="26" s="1"/>
  <c r="CL20" i="26"/>
  <c r="CM20" i="26"/>
  <c r="CN20" i="26"/>
  <c r="CO20" i="26"/>
  <c r="CP20" i="26"/>
  <c r="CQ20" i="26"/>
  <c r="CR20" i="26"/>
  <c r="CS20" i="26"/>
  <c r="CT20" i="26"/>
  <c r="CU20" i="26"/>
  <c r="CV20" i="26"/>
  <c r="CW20" i="26"/>
  <c r="CX20" i="26"/>
  <c r="CY20" i="26"/>
  <c r="CZ20" i="26"/>
  <c r="DA20" i="26"/>
  <c r="DB20" i="26"/>
  <c r="DC20" i="26"/>
  <c r="DD20" i="26"/>
  <c r="DE20" i="26"/>
  <c r="DF20" i="26"/>
  <c r="DG20" i="26"/>
  <c r="DH20" i="26"/>
  <c r="DI20" i="26"/>
  <c r="DJ20" i="26"/>
  <c r="DK20" i="26"/>
  <c r="DL20" i="26"/>
  <c r="DM20" i="26"/>
  <c r="DN20" i="26"/>
  <c r="DO20" i="26"/>
  <c r="DP20" i="26"/>
  <c r="DQ20" i="26"/>
  <c r="DR20" i="26"/>
  <c r="DS20" i="26"/>
  <c r="DT20" i="26"/>
  <c r="DU20" i="26"/>
  <c r="DV20" i="26"/>
  <c r="DW20" i="26"/>
  <c r="DX20" i="26"/>
  <c r="DY20" i="26"/>
  <c r="M35" i="26" s="1"/>
  <c r="DZ20" i="26"/>
  <c r="EA20" i="26"/>
  <c r="EB20" i="26"/>
  <c r="EC20" i="26"/>
  <c r="ED20" i="26"/>
  <c r="EE20" i="26"/>
  <c r="EF20" i="26"/>
  <c r="EG20" i="26"/>
  <c r="EH20" i="26"/>
  <c r="EI20" i="26"/>
  <c r="EJ20" i="26"/>
  <c r="EK20" i="26"/>
  <c r="EL20" i="26"/>
  <c r="EM20" i="26"/>
  <c r="EN20" i="26"/>
  <c r="EO20" i="26"/>
  <c r="EP20" i="26"/>
  <c r="C21" i="26"/>
  <c r="D21" i="26"/>
  <c r="E21" i="26"/>
  <c r="F21" i="26"/>
  <c r="G21" i="26"/>
  <c r="H21" i="26"/>
  <c r="I21" i="26"/>
  <c r="J21" i="26"/>
  <c r="K21" i="26"/>
  <c r="L21" i="26"/>
  <c r="M21" i="26"/>
  <c r="N21" i="26"/>
  <c r="O21" i="26"/>
  <c r="P21" i="26"/>
  <c r="Q21" i="26"/>
  <c r="R21" i="26"/>
  <c r="S21" i="26"/>
  <c r="T21" i="26"/>
  <c r="U21" i="26"/>
  <c r="V21" i="26"/>
  <c r="W21" i="26"/>
  <c r="X21" i="26"/>
  <c r="Y21" i="26"/>
  <c r="Z21" i="26"/>
  <c r="AA21" i="26"/>
  <c r="AB21" i="26"/>
  <c r="AC21" i="26"/>
  <c r="AD21" i="26"/>
  <c r="AE21" i="26"/>
  <c r="AF21" i="26"/>
  <c r="AG21" i="26"/>
  <c r="E36" i="26" s="1"/>
  <c r="AH21" i="26"/>
  <c r="AI21" i="26"/>
  <c r="AJ21" i="26"/>
  <c r="AK21" i="26"/>
  <c r="AL21" i="26"/>
  <c r="AM21" i="26"/>
  <c r="AN21" i="26"/>
  <c r="AO21" i="26"/>
  <c r="F36" i="26" s="1"/>
  <c r="AP21" i="26"/>
  <c r="AQ21" i="26"/>
  <c r="AR21" i="26"/>
  <c r="AS21" i="26"/>
  <c r="AT21" i="26"/>
  <c r="AU21" i="26"/>
  <c r="AV21" i="26"/>
  <c r="AW21" i="26"/>
  <c r="AX21" i="26"/>
  <c r="AY21" i="26"/>
  <c r="AZ21" i="26"/>
  <c r="BA21" i="26"/>
  <c r="BB21" i="26"/>
  <c r="BC21" i="26"/>
  <c r="BD21" i="26"/>
  <c r="BE21" i="26"/>
  <c r="BF21" i="26"/>
  <c r="BG21" i="26"/>
  <c r="BH21" i="26"/>
  <c r="BI21" i="26"/>
  <c r="BJ21" i="26"/>
  <c r="BK21" i="26"/>
  <c r="BL21" i="26"/>
  <c r="BM21" i="26"/>
  <c r="BN21" i="26"/>
  <c r="BO21" i="26"/>
  <c r="BP21" i="26"/>
  <c r="BQ21" i="26"/>
  <c r="BR21" i="26"/>
  <c r="BS21" i="26"/>
  <c r="BT21" i="26"/>
  <c r="BU21" i="26"/>
  <c r="BV21" i="26"/>
  <c r="BW21" i="26"/>
  <c r="BX21" i="26"/>
  <c r="BY21" i="26"/>
  <c r="BZ21" i="26"/>
  <c r="CA21" i="26"/>
  <c r="CB21" i="26"/>
  <c r="CC21" i="26"/>
  <c r="CD21" i="26"/>
  <c r="CE21" i="26"/>
  <c r="CF21" i="26"/>
  <c r="CG21" i="26"/>
  <c r="CH21" i="26"/>
  <c r="CI21" i="26"/>
  <c r="CJ21" i="26"/>
  <c r="CK21" i="26"/>
  <c r="CL21" i="26"/>
  <c r="CM21" i="26"/>
  <c r="CN21" i="26"/>
  <c r="CO21" i="26"/>
  <c r="CP21" i="26"/>
  <c r="CQ21" i="26"/>
  <c r="CR21" i="26"/>
  <c r="CS21" i="26"/>
  <c r="CT21" i="26"/>
  <c r="CU21" i="26"/>
  <c r="CV21" i="26"/>
  <c r="CW21" i="26"/>
  <c r="CX21" i="26"/>
  <c r="CY21" i="26"/>
  <c r="CZ21" i="26"/>
  <c r="DA21" i="26"/>
  <c r="DB21" i="26"/>
  <c r="DC21" i="26"/>
  <c r="DD21" i="26"/>
  <c r="DE21" i="26"/>
  <c r="DF21" i="26"/>
  <c r="DG21" i="26"/>
  <c r="DH21" i="26"/>
  <c r="DI21" i="26"/>
  <c r="DJ21" i="26"/>
  <c r="DK21" i="26"/>
  <c r="DL21" i="26"/>
  <c r="DM21" i="26"/>
  <c r="DN21" i="26"/>
  <c r="DO21" i="26"/>
  <c r="DP21" i="26"/>
  <c r="DQ21" i="26"/>
  <c r="DR21" i="26"/>
  <c r="DS21" i="26"/>
  <c r="DT21" i="26"/>
  <c r="DU21" i="26"/>
  <c r="DV21" i="26"/>
  <c r="DW21" i="26"/>
  <c r="DX21" i="26"/>
  <c r="DY21" i="26"/>
  <c r="DZ21" i="26"/>
  <c r="EA21" i="26"/>
  <c r="EB21" i="26"/>
  <c r="EC21" i="26"/>
  <c r="ED21" i="26"/>
  <c r="EE21" i="26"/>
  <c r="EF21" i="26"/>
  <c r="EG21" i="26"/>
  <c r="N36" i="26" s="1"/>
  <c r="EH21" i="26"/>
  <c r="EI21" i="26"/>
  <c r="EJ21" i="26"/>
  <c r="EK21" i="26"/>
  <c r="EL21" i="26"/>
  <c r="EM21" i="26"/>
  <c r="EN21" i="26"/>
  <c r="EO21" i="26"/>
  <c r="EP21" i="26"/>
  <c r="C22" i="26"/>
  <c r="D22" i="26"/>
  <c r="E22" i="26"/>
  <c r="F22" i="26"/>
  <c r="G22" i="26"/>
  <c r="H22" i="26"/>
  <c r="I22" i="26"/>
  <c r="C37" i="26" s="1"/>
  <c r="J22" i="26"/>
  <c r="K22" i="26"/>
  <c r="L22" i="26"/>
  <c r="M22" i="26"/>
  <c r="N22" i="26"/>
  <c r="O22" i="26"/>
  <c r="P22" i="26"/>
  <c r="Q22" i="26"/>
  <c r="R22" i="26"/>
  <c r="S22" i="26"/>
  <c r="T22" i="26"/>
  <c r="U22" i="26"/>
  <c r="V22" i="26"/>
  <c r="W22" i="26"/>
  <c r="X22" i="26"/>
  <c r="Y22" i="26"/>
  <c r="Z22" i="26"/>
  <c r="AA22" i="26"/>
  <c r="AB22" i="26"/>
  <c r="AC22" i="26"/>
  <c r="AD22" i="26"/>
  <c r="AE22" i="26"/>
  <c r="AF22" i="26"/>
  <c r="AG22" i="26"/>
  <c r="AH22" i="26"/>
  <c r="AI22" i="26"/>
  <c r="AJ22" i="26"/>
  <c r="AK22" i="26"/>
  <c r="AL22" i="26"/>
  <c r="AM22" i="26"/>
  <c r="AN22" i="26"/>
  <c r="AO22" i="26"/>
  <c r="AP22" i="26"/>
  <c r="AQ22" i="26"/>
  <c r="AR22" i="26"/>
  <c r="AS22" i="26"/>
  <c r="AT22" i="26"/>
  <c r="AU22" i="26"/>
  <c r="AV22" i="26"/>
  <c r="AW22" i="26"/>
  <c r="AX22" i="26"/>
  <c r="AY22" i="26"/>
  <c r="AZ22" i="26"/>
  <c r="BA22" i="26"/>
  <c r="BB22" i="26"/>
  <c r="BC22" i="26"/>
  <c r="BD22" i="26"/>
  <c r="BE22" i="26"/>
  <c r="BF22" i="26"/>
  <c r="BG22" i="26"/>
  <c r="BH22" i="26"/>
  <c r="BI22" i="26"/>
  <c r="BJ22" i="26"/>
  <c r="BK22" i="26"/>
  <c r="BL22" i="26"/>
  <c r="BM22" i="26"/>
  <c r="BN22" i="26"/>
  <c r="BO22" i="26"/>
  <c r="BP22" i="26"/>
  <c r="BQ22" i="26"/>
  <c r="BR22" i="26"/>
  <c r="BS22" i="26"/>
  <c r="BT22" i="26"/>
  <c r="BU22" i="26"/>
  <c r="BV22" i="26"/>
  <c r="BW22" i="26"/>
  <c r="BX22" i="26"/>
  <c r="BY22" i="26"/>
  <c r="BZ22" i="26"/>
  <c r="CA22" i="26"/>
  <c r="CB22" i="26"/>
  <c r="CC22" i="26"/>
  <c r="I37" i="26" s="1"/>
  <c r="CD22" i="26"/>
  <c r="CE22" i="26"/>
  <c r="CF22" i="26"/>
  <c r="CG22" i="26"/>
  <c r="CH22" i="26"/>
  <c r="CI22" i="26"/>
  <c r="CJ22" i="26"/>
  <c r="CK22" i="26"/>
  <c r="CL22" i="26"/>
  <c r="CM22" i="26"/>
  <c r="CN22" i="26"/>
  <c r="CO22" i="26"/>
  <c r="CP22" i="26"/>
  <c r="CQ22" i="26"/>
  <c r="CR22" i="26"/>
  <c r="CS22" i="26"/>
  <c r="CT22" i="26"/>
  <c r="CU22" i="26"/>
  <c r="CV22" i="26"/>
  <c r="CW22" i="26"/>
  <c r="CX22" i="26"/>
  <c r="CY22" i="26"/>
  <c r="CZ22" i="26"/>
  <c r="DA22" i="26"/>
  <c r="K37" i="26" s="1"/>
  <c r="DB22" i="26"/>
  <c r="DC22" i="26"/>
  <c r="DD22" i="26"/>
  <c r="DE22" i="26"/>
  <c r="DF22" i="26"/>
  <c r="DG22" i="26"/>
  <c r="DH22" i="26"/>
  <c r="DI22" i="26"/>
  <c r="DJ22" i="26"/>
  <c r="DK22" i="26"/>
  <c r="DL22" i="26"/>
  <c r="DM22" i="26"/>
  <c r="DN22" i="26"/>
  <c r="DO22" i="26"/>
  <c r="DP22" i="26"/>
  <c r="DQ22" i="26"/>
  <c r="DR22" i="26"/>
  <c r="DS22" i="26"/>
  <c r="DT22" i="26"/>
  <c r="DU22" i="26"/>
  <c r="DV22" i="26"/>
  <c r="DW22" i="26"/>
  <c r="DX22" i="26"/>
  <c r="DY22" i="26"/>
  <c r="M37" i="26" s="1"/>
  <c r="DZ22" i="26"/>
  <c r="EA22" i="26"/>
  <c r="EB22" i="26"/>
  <c r="EC22" i="26"/>
  <c r="ED22" i="26"/>
  <c r="EE22" i="26"/>
  <c r="EF22" i="26"/>
  <c r="EG22" i="26"/>
  <c r="EH22" i="26"/>
  <c r="EI22" i="26"/>
  <c r="EJ22" i="26"/>
  <c r="EK22" i="26"/>
  <c r="EL22" i="26"/>
  <c r="EM22" i="26"/>
  <c r="EN22" i="26"/>
  <c r="EO22" i="26"/>
  <c r="EP22" i="26"/>
  <c r="C23" i="26"/>
  <c r="D23" i="26"/>
  <c r="E23" i="26"/>
  <c r="F23" i="26"/>
  <c r="G23" i="26"/>
  <c r="H23" i="26"/>
  <c r="I23" i="26"/>
  <c r="J23" i="26"/>
  <c r="K23" i="26"/>
  <c r="L23" i="26"/>
  <c r="M23" i="26"/>
  <c r="N23" i="26"/>
  <c r="O23" i="26"/>
  <c r="P23" i="26"/>
  <c r="Q23" i="26"/>
  <c r="R23" i="26"/>
  <c r="S23" i="26"/>
  <c r="T23" i="26"/>
  <c r="U23" i="26"/>
  <c r="V23" i="26"/>
  <c r="W23" i="26"/>
  <c r="X23" i="26"/>
  <c r="Y23" i="26"/>
  <c r="Z23" i="26"/>
  <c r="AA23" i="26"/>
  <c r="AB23" i="26"/>
  <c r="AC23" i="26"/>
  <c r="AD23" i="26"/>
  <c r="AE23" i="26"/>
  <c r="AF23" i="26"/>
  <c r="AG23" i="26"/>
  <c r="AH23" i="26"/>
  <c r="AI23" i="26"/>
  <c r="AJ23" i="26"/>
  <c r="AK23" i="26"/>
  <c r="AL23" i="26"/>
  <c r="AM23" i="26"/>
  <c r="AN23" i="26"/>
  <c r="AO23" i="26"/>
  <c r="AP23" i="26"/>
  <c r="AQ23" i="26"/>
  <c r="AR23" i="26"/>
  <c r="AS23" i="26"/>
  <c r="AT23" i="26"/>
  <c r="AU23" i="26"/>
  <c r="AV23" i="26"/>
  <c r="AW23" i="26"/>
  <c r="AX23" i="26"/>
  <c r="AY23" i="26"/>
  <c r="AZ23" i="26"/>
  <c r="BA23" i="26"/>
  <c r="BB23" i="26"/>
  <c r="BC23" i="26"/>
  <c r="BD23" i="26"/>
  <c r="BE23" i="26"/>
  <c r="BF23" i="26"/>
  <c r="BG23" i="26"/>
  <c r="BH23" i="26"/>
  <c r="BI23" i="26"/>
  <c r="BJ23" i="26"/>
  <c r="BK23" i="26"/>
  <c r="BL23" i="26"/>
  <c r="BM23" i="26"/>
  <c r="H38" i="26" s="1"/>
  <c r="BN23" i="26"/>
  <c r="BO23" i="26"/>
  <c r="BP23" i="26"/>
  <c r="BQ23" i="26"/>
  <c r="BR23" i="26"/>
  <c r="BS23" i="26"/>
  <c r="BT23" i="26"/>
  <c r="BU23" i="26"/>
  <c r="BV23" i="26"/>
  <c r="BW23" i="26"/>
  <c r="BX23" i="26"/>
  <c r="BY23" i="26"/>
  <c r="BZ23" i="26"/>
  <c r="CA23" i="26"/>
  <c r="CB23" i="26"/>
  <c r="CC23" i="26"/>
  <c r="CD23" i="26"/>
  <c r="CE23" i="26"/>
  <c r="CF23" i="26"/>
  <c r="CG23" i="26"/>
  <c r="CH23" i="26"/>
  <c r="CI23" i="26"/>
  <c r="CJ23" i="26"/>
  <c r="CK23" i="26"/>
  <c r="CL23" i="26"/>
  <c r="CM23" i="26"/>
  <c r="CN23" i="26"/>
  <c r="CO23" i="26"/>
  <c r="CP23" i="26"/>
  <c r="CQ23" i="26"/>
  <c r="CR23" i="26"/>
  <c r="CS23" i="26"/>
  <c r="CT23" i="26"/>
  <c r="CU23" i="26"/>
  <c r="CV23" i="26"/>
  <c r="CW23" i="26"/>
  <c r="CX23" i="26"/>
  <c r="CY23" i="26"/>
  <c r="CZ23" i="26"/>
  <c r="DA23" i="26"/>
  <c r="K38" i="26" s="1"/>
  <c r="DB23" i="26"/>
  <c r="DC23" i="26"/>
  <c r="DD23" i="26"/>
  <c r="DE23" i="26"/>
  <c r="DF23" i="26"/>
  <c r="DG23" i="26"/>
  <c r="DH23" i="26"/>
  <c r="DI23" i="26"/>
  <c r="L38" i="26" s="1"/>
  <c r="DJ23" i="26"/>
  <c r="DK23" i="26"/>
  <c r="DL23" i="26"/>
  <c r="DM23" i="26"/>
  <c r="DN23" i="26"/>
  <c r="DO23" i="26"/>
  <c r="DP23" i="26"/>
  <c r="DQ23" i="26"/>
  <c r="DR23" i="26"/>
  <c r="DS23" i="26"/>
  <c r="DT23" i="26"/>
  <c r="DU23" i="26"/>
  <c r="DV23" i="26"/>
  <c r="DW23" i="26"/>
  <c r="DX23" i="26"/>
  <c r="DY23" i="26"/>
  <c r="DZ23" i="26"/>
  <c r="EA23" i="26"/>
  <c r="EB23" i="26"/>
  <c r="EC23" i="26"/>
  <c r="ED23" i="26"/>
  <c r="EE23" i="26"/>
  <c r="EF23" i="26"/>
  <c r="EG23" i="26"/>
  <c r="N38" i="26" s="1"/>
  <c r="EH23" i="26"/>
  <c r="EI23" i="26"/>
  <c r="EJ23" i="26"/>
  <c r="EK23" i="26"/>
  <c r="EL23" i="26"/>
  <c r="EM23" i="26"/>
  <c r="EN23" i="26"/>
  <c r="EO23" i="26"/>
  <c r="EP23" i="26"/>
  <c r="C24" i="26"/>
  <c r="D24" i="26"/>
  <c r="E24" i="26"/>
  <c r="F24" i="26"/>
  <c r="G24" i="26"/>
  <c r="H24" i="26"/>
  <c r="I24" i="26"/>
  <c r="J24" i="26"/>
  <c r="K24" i="26"/>
  <c r="L24" i="26"/>
  <c r="M24" i="26"/>
  <c r="N24" i="26"/>
  <c r="O24" i="26"/>
  <c r="P24" i="26"/>
  <c r="Q24" i="26"/>
  <c r="R24" i="26"/>
  <c r="S24" i="26"/>
  <c r="T24" i="26"/>
  <c r="U24" i="26"/>
  <c r="V24" i="26"/>
  <c r="W24" i="26"/>
  <c r="X24" i="26"/>
  <c r="Y24" i="26"/>
  <c r="Z24" i="26"/>
  <c r="AA24" i="26"/>
  <c r="AB24" i="26"/>
  <c r="AC24" i="26"/>
  <c r="AD24" i="26"/>
  <c r="AE24" i="26"/>
  <c r="AF24" i="26"/>
  <c r="AG24" i="26"/>
  <c r="AH24" i="26"/>
  <c r="AI24" i="26"/>
  <c r="AJ24" i="26"/>
  <c r="AK24" i="26"/>
  <c r="AL24" i="26"/>
  <c r="AM24" i="26"/>
  <c r="AN24" i="26"/>
  <c r="AO24" i="26"/>
  <c r="AP24" i="26"/>
  <c r="AQ24" i="26"/>
  <c r="AR24" i="26"/>
  <c r="AS24" i="26"/>
  <c r="AT24" i="26"/>
  <c r="AU24" i="26"/>
  <c r="AV24" i="26"/>
  <c r="AW24" i="26"/>
  <c r="AX24" i="26"/>
  <c r="AY24" i="26"/>
  <c r="AZ24" i="26"/>
  <c r="BA24" i="26"/>
  <c r="BB24" i="26"/>
  <c r="BC24" i="26"/>
  <c r="BD24" i="26"/>
  <c r="BE24" i="26"/>
  <c r="G39" i="26" s="1"/>
  <c r="BF24" i="26"/>
  <c r="BG24" i="26"/>
  <c r="BH24" i="26"/>
  <c r="BI24" i="26"/>
  <c r="BJ24" i="26"/>
  <c r="BK24" i="26"/>
  <c r="BL24" i="26"/>
  <c r="BM24" i="26"/>
  <c r="BN24" i="26"/>
  <c r="BO24" i="26"/>
  <c r="BP24" i="26"/>
  <c r="BQ24" i="26"/>
  <c r="BR24" i="26"/>
  <c r="BS24" i="26"/>
  <c r="BT24" i="26"/>
  <c r="BU24" i="26"/>
  <c r="BV24" i="26"/>
  <c r="BW24" i="26"/>
  <c r="BX24" i="26"/>
  <c r="BY24" i="26"/>
  <c r="BZ24" i="26"/>
  <c r="CA24" i="26"/>
  <c r="CB24" i="26"/>
  <c r="CC24" i="26"/>
  <c r="CD24" i="26"/>
  <c r="CE24" i="26"/>
  <c r="CF24" i="26"/>
  <c r="CG24" i="26"/>
  <c r="CH24" i="26"/>
  <c r="CI24" i="26"/>
  <c r="CJ24" i="26"/>
  <c r="CK24" i="26"/>
  <c r="CL24" i="26"/>
  <c r="CM24" i="26"/>
  <c r="CN24" i="26"/>
  <c r="CO24" i="26"/>
  <c r="CP24" i="26"/>
  <c r="CQ24" i="26"/>
  <c r="CR24" i="26"/>
  <c r="CS24" i="26"/>
  <c r="CT24" i="26"/>
  <c r="CU24" i="26"/>
  <c r="CV24" i="26"/>
  <c r="CW24" i="26"/>
  <c r="CX24" i="26"/>
  <c r="CY24" i="26"/>
  <c r="CZ24" i="26"/>
  <c r="DA24" i="26"/>
  <c r="K39" i="26" s="1"/>
  <c r="DB24" i="26"/>
  <c r="DC24" i="26"/>
  <c r="DD24" i="26"/>
  <c r="DE24" i="26"/>
  <c r="DF24" i="26"/>
  <c r="DG24" i="26"/>
  <c r="DH24" i="26"/>
  <c r="DI24" i="26"/>
  <c r="L39" i="26" s="1"/>
  <c r="DJ24" i="26"/>
  <c r="DK24" i="26"/>
  <c r="DL24" i="26"/>
  <c r="DM24" i="26"/>
  <c r="DN24" i="26"/>
  <c r="DO24" i="26"/>
  <c r="DP24" i="26"/>
  <c r="DQ24" i="26"/>
  <c r="DR24" i="26"/>
  <c r="DS24" i="26"/>
  <c r="DT24" i="26"/>
  <c r="DU24" i="26"/>
  <c r="DV24" i="26"/>
  <c r="DW24" i="26"/>
  <c r="DX24" i="26"/>
  <c r="DY24" i="26"/>
  <c r="DZ24" i="26"/>
  <c r="EA24" i="26"/>
  <c r="EB24" i="26"/>
  <c r="EC24" i="26"/>
  <c r="ED24" i="26"/>
  <c r="EE24" i="26"/>
  <c r="EF24" i="26"/>
  <c r="EG24" i="26"/>
  <c r="N39" i="26" s="1"/>
  <c r="EH24" i="26"/>
  <c r="EI24" i="26"/>
  <c r="EJ24" i="26"/>
  <c r="EK24" i="26"/>
  <c r="EL24" i="26"/>
  <c r="EM24" i="26"/>
  <c r="EN24" i="26"/>
  <c r="EO24" i="26"/>
  <c r="EP24" i="26"/>
  <c r="C25" i="26"/>
  <c r="D25" i="26"/>
  <c r="E25" i="26"/>
  <c r="F25" i="26"/>
  <c r="G25" i="26"/>
  <c r="H25" i="26"/>
  <c r="I25" i="26"/>
  <c r="J25" i="26"/>
  <c r="K25" i="26"/>
  <c r="L25" i="26"/>
  <c r="M25" i="26"/>
  <c r="N25" i="26"/>
  <c r="O25" i="26"/>
  <c r="P25" i="26"/>
  <c r="Q25" i="26"/>
  <c r="R25" i="26"/>
  <c r="S25" i="26"/>
  <c r="T25" i="26"/>
  <c r="U25" i="26"/>
  <c r="V25" i="26"/>
  <c r="W25" i="26"/>
  <c r="X25" i="26"/>
  <c r="Y25" i="26"/>
  <c r="Z25" i="26"/>
  <c r="AA25" i="26"/>
  <c r="AB25" i="26"/>
  <c r="AC25" i="26"/>
  <c r="AD25" i="26"/>
  <c r="AE25" i="26"/>
  <c r="AF25" i="26"/>
  <c r="AG25" i="26"/>
  <c r="AH25" i="26"/>
  <c r="AI25" i="26"/>
  <c r="AJ25" i="26"/>
  <c r="AK25" i="26"/>
  <c r="AL25" i="26"/>
  <c r="AM25" i="26"/>
  <c r="AN25" i="26"/>
  <c r="AO25" i="26"/>
  <c r="F40" i="26" s="1"/>
  <c r="AP25" i="26"/>
  <c r="AQ25" i="26"/>
  <c r="AR25" i="26"/>
  <c r="AS25" i="26"/>
  <c r="AT25" i="26"/>
  <c r="AU25" i="26"/>
  <c r="AV25" i="26"/>
  <c r="AW25" i="26"/>
  <c r="AX25" i="26"/>
  <c r="AY25" i="26"/>
  <c r="AZ25" i="26"/>
  <c r="BA25" i="26"/>
  <c r="BB25" i="26"/>
  <c r="BC25" i="26"/>
  <c r="BD25" i="26"/>
  <c r="BE25" i="26"/>
  <c r="G40" i="26" s="1"/>
  <c r="BF25" i="26"/>
  <c r="BG25" i="26"/>
  <c r="BH25" i="26"/>
  <c r="BI25" i="26"/>
  <c r="BJ25" i="26"/>
  <c r="BK25" i="26"/>
  <c r="BL25" i="26"/>
  <c r="BM25" i="26"/>
  <c r="BN25" i="26"/>
  <c r="BO25" i="26"/>
  <c r="BP25" i="26"/>
  <c r="BQ25" i="26"/>
  <c r="BR25" i="26"/>
  <c r="BS25" i="26"/>
  <c r="BT25" i="26"/>
  <c r="BU25" i="26"/>
  <c r="BV25" i="26"/>
  <c r="BW25" i="26"/>
  <c r="BX25" i="26"/>
  <c r="BY25" i="26"/>
  <c r="BZ25" i="26"/>
  <c r="CA25" i="26"/>
  <c r="CB25" i="26"/>
  <c r="CC25" i="26"/>
  <c r="CD25" i="26"/>
  <c r="CE25" i="26"/>
  <c r="CF25" i="26"/>
  <c r="CG25" i="26"/>
  <c r="CH25" i="26"/>
  <c r="CI25" i="26"/>
  <c r="CJ25" i="26"/>
  <c r="CK25" i="26"/>
  <c r="J40" i="26" s="1"/>
  <c r="CL25" i="26"/>
  <c r="CM25" i="26"/>
  <c r="CN25" i="26"/>
  <c r="CO25" i="26"/>
  <c r="CP25" i="26"/>
  <c r="CQ25" i="26"/>
  <c r="CR25" i="26"/>
  <c r="CS25" i="26"/>
  <c r="CT25" i="26"/>
  <c r="CU25" i="26"/>
  <c r="CV25" i="26"/>
  <c r="CW25" i="26"/>
  <c r="CX25" i="26"/>
  <c r="CY25" i="26"/>
  <c r="CZ25" i="26"/>
  <c r="DA25" i="26"/>
  <c r="DB25" i="26"/>
  <c r="DC25" i="26"/>
  <c r="DD25" i="26"/>
  <c r="DE25" i="26"/>
  <c r="DF25" i="26"/>
  <c r="DG25" i="26"/>
  <c r="DH25" i="26"/>
  <c r="DI25" i="26"/>
  <c r="L40" i="26" s="1"/>
  <c r="DJ25" i="26"/>
  <c r="DK25" i="26"/>
  <c r="DL25" i="26"/>
  <c r="DM25" i="26"/>
  <c r="DN25" i="26"/>
  <c r="DO25" i="26"/>
  <c r="DP25" i="26"/>
  <c r="DQ25" i="26"/>
  <c r="DR25" i="26"/>
  <c r="DS25" i="26"/>
  <c r="DT25" i="26"/>
  <c r="DU25" i="26"/>
  <c r="DV25" i="26"/>
  <c r="DW25" i="26"/>
  <c r="DX25" i="26"/>
  <c r="DY25" i="26"/>
  <c r="DZ25" i="26"/>
  <c r="EA25" i="26"/>
  <c r="EB25" i="26"/>
  <c r="EC25" i="26"/>
  <c r="ED25" i="26"/>
  <c r="EE25" i="26"/>
  <c r="EF25" i="26"/>
  <c r="EG25" i="26"/>
  <c r="N40" i="26" s="1"/>
  <c r="EH25" i="26"/>
  <c r="EI25" i="26"/>
  <c r="EJ25" i="26"/>
  <c r="EK25" i="26"/>
  <c r="EL25" i="26"/>
  <c r="EM25" i="26"/>
  <c r="EN25" i="26"/>
  <c r="EO25" i="26"/>
  <c r="EP25" i="26"/>
  <c r="C26" i="26"/>
  <c r="D26" i="26"/>
  <c r="E26" i="26"/>
  <c r="F26" i="26"/>
  <c r="G26" i="26"/>
  <c r="H26" i="26"/>
  <c r="I26" i="26"/>
  <c r="J26" i="26"/>
  <c r="K26" i="26"/>
  <c r="L26" i="26"/>
  <c r="M26" i="26"/>
  <c r="N26" i="26"/>
  <c r="O26" i="26"/>
  <c r="P26" i="26"/>
  <c r="Q26" i="26"/>
  <c r="R26" i="26"/>
  <c r="S26" i="26"/>
  <c r="T26" i="26"/>
  <c r="U26" i="26"/>
  <c r="V26" i="26"/>
  <c r="W26" i="26"/>
  <c r="X26" i="26"/>
  <c r="Y26" i="26"/>
  <c r="Z26" i="26"/>
  <c r="AA26" i="26"/>
  <c r="AB26" i="26"/>
  <c r="AC26" i="26"/>
  <c r="AD26" i="26"/>
  <c r="AE26" i="26"/>
  <c r="AF26" i="26"/>
  <c r="AG26" i="26"/>
  <c r="E41" i="26" s="1"/>
  <c r="AH26" i="26"/>
  <c r="AI26" i="26"/>
  <c r="AJ26" i="26"/>
  <c r="AK26" i="26"/>
  <c r="AL26" i="26"/>
  <c r="AM26" i="26"/>
  <c r="AN26" i="26"/>
  <c r="AO26" i="26"/>
  <c r="AP26" i="26"/>
  <c r="AQ26" i="26"/>
  <c r="AR26" i="26"/>
  <c r="AS26" i="26"/>
  <c r="AT26" i="26"/>
  <c r="AU26" i="26"/>
  <c r="AV26" i="26"/>
  <c r="AW26" i="26"/>
  <c r="AX26" i="26"/>
  <c r="AY26" i="26"/>
  <c r="AZ26" i="26"/>
  <c r="BA26" i="26"/>
  <c r="BB26" i="26"/>
  <c r="BC26" i="26"/>
  <c r="BD26" i="26"/>
  <c r="BE26" i="26"/>
  <c r="G41" i="26" s="1"/>
  <c r="BF26" i="26"/>
  <c r="BG26" i="26"/>
  <c r="BH26" i="26"/>
  <c r="BI26" i="26"/>
  <c r="BJ26" i="26"/>
  <c r="BK26" i="26"/>
  <c r="BL26" i="26"/>
  <c r="BM26" i="26"/>
  <c r="BN26" i="26"/>
  <c r="BO26" i="26"/>
  <c r="BP26" i="26"/>
  <c r="BQ26" i="26"/>
  <c r="BR26" i="26"/>
  <c r="BS26" i="26"/>
  <c r="BT26" i="26"/>
  <c r="BU26" i="26"/>
  <c r="BV26" i="26"/>
  <c r="BW26" i="26"/>
  <c r="BX26" i="26"/>
  <c r="BY26" i="26"/>
  <c r="BZ26" i="26"/>
  <c r="CA26" i="26"/>
  <c r="CB26" i="26"/>
  <c r="CC26" i="26"/>
  <c r="CD26" i="26"/>
  <c r="CE26" i="26"/>
  <c r="CF26" i="26"/>
  <c r="CG26" i="26"/>
  <c r="CH26" i="26"/>
  <c r="CI26" i="26"/>
  <c r="CJ26" i="26"/>
  <c r="CK26" i="26"/>
  <c r="J41" i="26" s="1"/>
  <c r="CL26" i="26"/>
  <c r="CM26" i="26"/>
  <c r="CN26" i="26"/>
  <c r="CO26" i="26"/>
  <c r="CP26" i="26"/>
  <c r="CQ26" i="26"/>
  <c r="CR26" i="26"/>
  <c r="CS26" i="26"/>
  <c r="CT26" i="26"/>
  <c r="CU26" i="26"/>
  <c r="CV26" i="26"/>
  <c r="CW26" i="26"/>
  <c r="CX26" i="26"/>
  <c r="CY26" i="26"/>
  <c r="CZ26" i="26"/>
  <c r="DA26" i="26"/>
  <c r="DB26" i="26"/>
  <c r="DC26" i="26"/>
  <c r="DD26" i="26"/>
  <c r="DE26" i="26"/>
  <c r="DF26" i="26"/>
  <c r="DG26" i="26"/>
  <c r="DH26" i="26"/>
  <c r="DI26" i="26"/>
  <c r="L41" i="26" s="1"/>
  <c r="DJ26" i="26"/>
  <c r="DK26" i="26"/>
  <c r="DL26" i="26"/>
  <c r="DM26" i="26"/>
  <c r="DN26" i="26"/>
  <c r="DO26" i="26"/>
  <c r="DP26" i="26"/>
  <c r="DQ26" i="26"/>
  <c r="DR26" i="26"/>
  <c r="DS26" i="26"/>
  <c r="DT26" i="26"/>
  <c r="DU26" i="26"/>
  <c r="DV26" i="26"/>
  <c r="DW26" i="26"/>
  <c r="DX26" i="26"/>
  <c r="DY26" i="26"/>
  <c r="M41" i="26" s="1"/>
  <c r="DZ26" i="26"/>
  <c r="EA26" i="26"/>
  <c r="EB26" i="26"/>
  <c r="EC26" i="26"/>
  <c r="ED26" i="26"/>
  <c r="EE26" i="26"/>
  <c r="EF26" i="26"/>
  <c r="EG26" i="26"/>
  <c r="EH26" i="26"/>
  <c r="EI26" i="26"/>
  <c r="EJ26" i="26"/>
  <c r="EK26" i="26"/>
  <c r="EL26" i="26"/>
  <c r="EM26" i="26"/>
  <c r="EN26" i="26"/>
  <c r="EO26" i="26"/>
  <c r="EP26" i="26"/>
  <c r="C27" i="26"/>
  <c r="D27" i="26"/>
  <c r="E27" i="26"/>
  <c r="F27" i="26"/>
  <c r="G27" i="26"/>
  <c r="H27" i="26"/>
  <c r="I27" i="26"/>
  <c r="J27" i="26"/>
  <c r="K27" i="26"/>
  <c r="L27" i="26"/>
  <c r="M27" i="26"/>
  <c r="N27" i="26"/>
  <c r="O27" i="26"/>
  <c r="P27" i="26"/>
  <c r="Q27" i="26"/>
  <c r="R27" i="26"/>
  <c r="S27" i="26"/>
  <c r="T27" i="26"/>
  <c r="U27" i="26"/>
  <c r="V27" i="26"/>
  <c r="W27" i="26"/>
  <c r="X27" i="26"/>
  <c r="Y27" i="26"/>
  <c r="Z27" i="26"/>
  <c r="AA27" i="26"/>
  <c r="AB27" i="26"/>
  <c r="AC27" i="26"/>
  <c r="AD27" i="26"/>
  <c r="AE27" i="26"/>
  <c r="AF27" i="26"/>
  <c r="AG27" i="26"/>
  <c r="E42" i="26" s="1"/>
  <c r="AH27" i="26"/>
  <c r="AI27" i="26"/>
  <c r="AJ27" i="26"/>
  <c r="AK27" i="26"/>
  <c r="AL27" i="26"/>
  <c r="AM27" i="26"/>
  <c r="AN27" i="26"/>
  <c r="AO27" i="26"/>
  <c r="AP27" i="26"/>
  <c r="AQ27" i="26"/>
  <c r="AR27" i="26"/>
  <c r="AS27" i="26"/>
  <c r="AT27" i="26"/>
  <c r="AU27" i="26"/>
  <c r="AV27" i="26"/>
  <c r="AW27" i="26"/>
  <c r="AX27" i="26"/>
  <c r="AY27" i="26"/>
  <c r="AZ27" i="26"/>
  <c r="BA27" i="26"/>
  <c r="BB27" i="26"/>
  <c r="BC27" i="26"/>
  <c r="BD27" i="26"/>
  <c r="BE27" i="26"/>
  <c r="G42" i="26" s="1"/>
  <c r="BF27" i="26"/>
  <c r="BG27" i="26"/>
  <c r="BH27" i="26"/>
  <c r="BI27" i="26"/>
  <c r="BJ27" i="26"/>
  <c r="BK27" i="26"/>
  <c r="BL27" i="26"/>
  <c r="BM27" i="26"/>
  <c r="BN27" i="26"/>
  <c r="BO27" i="26"/>
  <c r="BP27" i="26"/>
  <c r="BQ27" i="26"/>
  <c r="BR27" i="26"/>
  <c r="BS27" i="26"/>
  <c r="BT27" i="26"/>
  <c r="BU27" i="26"/>
  <c r="BV27" i="26"/>
  <c r="BW27" i="26"/>
  <c r="BX27" i="26"/>
  <c r="BY27" i="26"/>
  <c r="BZ27" i="26"/>
  <c r="CA27" i="26"/>
  <c r="CB27" i="26"/>
  <c r="CC27" i="26"/>
  <c r="CD27" i="26"/>
  <c r="CE27" i="26"/>
  <c r="CF27" i="26"/>
  <c r="CG27" i="26"/>
  <c r="CH27" i="26"/>
  <c r="CI27" i="26"/>
  <c r="CJ27" i="26"/>
  <c r="CK27" i="26"/>
  <c r="CL27" i="26"/>
  <c r="CM27" i="26"/>
  <c r="CN27" i="26"/>
  <c r="CO27" i="26"/>
  <c r="CP27" i="26"/>
  <c r="CQ27" i="26"/>
  <c r="CR27" i="26"/>
  <c r="CS27" i="26"/>
  <c r="CT27" i="26"/>
  <c r="CU27" i="26"/>
  <c r="CV27" i="26"/>
  <c r="CW27" i="26"/>
  <c r="CX27" i="26"/>
  <c r="CY27" i="26"/>
  <c r="CZ27" i="26"/>
  <c r="DA27" i="26"/>
  <c r="DB27" i="26"/>
  <c r="DC27" i="26"/>
  <c r="DD27" i="26"/>
  <c r="DE27" i="26"/>
  <c r="DF27" i="26"/>
  <c r="DG27" i="26"/>
  <c r="DH27" i="26"/>
  <c r="DI27" i="26"/>
  <c r="DJ27" i="26"/>
  <c r="DK27" i="26"/>
  <c r="DL27" i="26"/>
  <c r="DM27" i="26"/>
  <c r="DN27" i="26"/>
  <c r="DO27" i="26"/>
  <c r="DP27" i="26"/>
  <c r="DQ27" i="26"/>
  <c r="DR27" i="26"/>
  <c r="DS27" i="26"/>
  <c r="DT27" i="26"/>
  <c r="DU27" i="26"/>
  <c r="DV27" i="26"/>
  <c r="DW27" i="26"/>
  <c r="DX27" i="26"/>
  <c r="DY27" i="26"/>
  <c r="DZ27" i="26"/>
  <c r="EA27" i="26"/>
  <c r="EB27" i="26"/>
  <c r="EC27" i="26"/>
  <c r="ED27" i="26"/>
  <c r="EE27" i="26"/>
  <c r="EF27" i="26"/>
  <c r="EG27" i="26"/>
  <c r="EH27" i="26"/>
  <c r="EI27" i="26"/>
  <c r="EJ27" i="26"/>
  <c r="EK27" i="26"/>
  <c r="EL27" i="26"/>
  <c r="EM27" i="26"/>
  <c r="EN27" i="26"/>
  <c r="EO27" i="26"/>
  <c r="EP27" i="26"/>
  <c r="C28" i="26"/>
  <c r="D28" i="26"/>
  <c r="E28" i="26"/>
  <c r="F28" i="26"/>
  <c r="G28" i="26"/>
  <c r="H28" i="26"/>
  <c r="I28" i="26"/>
  <c r="J28" i="26"/>
  <c r="K28" i="26"/>
  <c r="L28" i="26"/>
  <c r="M28" i="26"/>
  <c r="N28" i="26"/>
  <c r="O28" i="26"/>
  <c r="P28" i="26"/>
  <c r="Q28" i="26"/>
  <c r="R28" i="26"/>
  <c r="S28" i="26"/>
  <c r="T28" i="26"/>
  <c r="U28" i="26"/>
  <c r="V28" i="26"/>
  <c r="W28" i="26"/>
  <c r="X28" i="26"/>
  <c r="Y28" i="26"/>
  <c r="Z28" i="26"/>
  <c r="AA28" i="26"/>
  <c r="AB28" i="26"/>
  <c r="AC28" i="26"/>
  <c r="AD28" i="26"/>
  <c r="AE28" i="26"/>
  <c r="AF28" i="26"/>
  <c r="AG28" i="26"/>
  <c r="E43" i="26" s="1"/>
  <c r="AH28" i="26"/>
  <c r="AI28" i="26"/>
  <c r="AJ28" i="26"/>
  <c r="AK28" i="26"/>
  <c r="AL28" i="26"/>
  <c r="AM28" i="26"/>
  <c r="AN28" i="26"/>
  <c r="AO28" i="26"/>
  <c r="AP28" i="26"/>
  <c r="AQ28" i="26"/>
  <c r="AR28" i="26"/>
  <c r="AS28" i="26"/>
  <c r="AT28" i="26"/>
  <c r="AU28" i="26"/>
  <c r="AV28" i="26"/>
  <c r="AW28" i="26"/>
  <c r="AX28" i="26"/>
  <c r="AY28" i="26"/>
  <c r="AZ28" i="26"/>
  <c r="BA28" i="26"/>
  <c r="BB28" i="26"/>
  <c r="BC28" i="26"/>
  <c r="BD28" i="26"/>
  <c r="BE28" i="26"/>
  <c r="BF28" i="26"/>
  <c r="BG28" i="26"/>
  <c r="BH28" i="26"/>
  <c r="BI28" i="26"/>
  <c r="BJ28" i="26"/>
  <c r="BK28" i="26"/>
  <c r="BL28" i="26"/>
  <c r="BM28" i="26"/>
  <c r="BN28" i="26"/>
  <c r="BO28" i="26"/>
  <c r="BP28" i="26"/>
  <c r="BQ28" i="26"/>
  <c r="BR28" i="26"/>
  <c r="BS28" i="26"/>
  <c r="BT28" i="26"/>
  <c r="BU28" i="26"/>
  <c r="BV28" i="26"/>
  <c r="BW28" i="26"/>
  <c r="BX28" i="26"/>
  <c r="BY28" i="26"/>
  <c r="BZ28" i="26"/>
  <c r="CA28" i="26"/>
  <c r="CB28" i="26"/>
  <c r="CC28" i="26"/>
  <c r="CD28" i="26"/>
  <c r="CE28" i="26"/>
  <c r="CF28" i="26"/>
  <c r="CG28" i="26"/>
  <c r="CH28" i="26"/>
  <c r="CI28" i="26"/>
  <c r="CJ28" i="26"/>
  <c r="CK28" i="26"/>
  <c r="J43" i="26" s="1"/>
  <c r="CL28" i="26"/>
  <c r="CM28" i="26"/>
  <c r="CN28" i="26"/>
  <c r="CO28" i="26"/>
  <c r="CP28" i="26"/>
  <c r="CQ28" i="26"/>
  <c r="CR28" i="26"/>
  <c r="CS28" i="26"/>
  <c r="CT28" i="26"/>
  <c r="CU28" i="26"/>
  <c r="CV28" i="26"/>
  <c r="CW28" i="26"/>
  <c r="CX28" i="26"/>
  <c r="CY28" i="26"/>
  <c r="CZ28" i="26"/>
  <c r="DA28" i="26"/>
  <c r="K43" i="26" s="1"/>
  <c r="DB28" i="26"/>
  <c r="DC28" i="26"/>
  <c r="DD28" i="26"/>
  <c r="DE28" i="26"/>
  <c r="DF28" i="26"/>
  <c r="DG28" i="26"/>
  <c r="DH28" i="26"/>
  <c r="DI28" i="26"/>
  <c r="DJ28" i="26"/>
  <c r="DK28" i="26"/>
  <c r="DL28" i="26"/>
  <c r="DM28" i="26"/>
  <c r="DN28" i="26"/>
  <c r="DO28" i="26"/>
  <c r="DP28" i="26"/>
  <c r="DQ28" i="26"/>
  <c r="DR28" i="26"/>
  <c r="DS28" i="26"/>
  <c r="DT28" i="26"/>
  <c r="DU28" i="26"/>
  <c r="DV28" i="26"/>
  <c r="DW28" i="26"/>
  <c r="DX28" i="26"/>
  <c r="DY28" i="26"/>
  <c r="M43" i="26" s="1"/>
  <c r="DZ28" i="26"/>
  <c r="EA28" i="26"/>
  <c r="EB28" i="26"/>
  <c r="EC28" i="26"/>
  <c r="ED28" i="26"/>
  <c r="EE28" i="26"/>
  <c r="EF28" i="26"/>
  <c r="EG28" i="26"/>
  <c r="EH28" i="26"/>
  <c r="EI28" i="26"/>
  <c r="EJ28" i="26"/>
  <c r="EK28" i="26"/>
  <c r="EL28" i="26"/>
  <c r="EM28" i="26"/>
  <c r="EN28" i="26"/>
  <c r="EO28" i="26"/>
  <c r="EP28" i="26"/>
  <c r="F38" i="26"/>
  <c r="F39" i="26"/>
  <c r="J42" i="26"/>
  <c r="M42" i="26"/>
  <c r="M6" i="29"/>
  <c r="M10" i="4" s="1"/>
  <c r="N6" i="29"/>
  <c r="N10" i="4" s="1"/>
  <c r="O6" i="29"/>
  <c r="B2" i="3"/>
  <c r="D7" i="3"/>
  <c r="D8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19" i="3"/>
  <c r="E19" i="3" s="1"/>
  <c r="F19" i="3"/>
  <c r="H19" i="3"/>
  <c r="K19" i="3"/>
  <c r="M19" i="3"/>
  <c r="N19" i="3"/>
  <c r="P19" i="3"/>
  <c r="S19" i="3"/>
  <c r="U19" i="3"/>
  <c r="X19" i="3"/>
  <c r="Z19" i="3"/>
  <c r="AA19" i="3"/>
  <c r="AC19" i="3"/>
  <c r="AF19" i="3"/>
  <c r="AH19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P34" i="3" s="1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F34" i="3" s="1"/>
  <c r="AG30" i="3"/>
  <c r="AH30" i="3"/>
  <c r="K34" i="3"/>
  <c r="S34" i="3"/>
  <c r="X34" i="3"/>
  <c r="Y34" i="3"/>
  <c r="AD34" i="3"/>
  <c r="A38" i="3"/>
  <c r="D41" i="3"/>
  <c r="D44" i="3"/>
  <c r="D46" i="3" s="1"/>
  <c r="D34" i="3" s="1"/>
  <c r="E44" i="3"/>
  <c r="E46" i="3" s="1"/>
  <c r="E34" i="3" s="1"/>
  <c r="F44" i="3"/>
  <c r="G44" i="3"/>
  <c r="H44" i="3"/>
  <c r="I44" i="3"/>
  <c r="I46" i="3" s="1"/>
  <c r="I34" i="3" s="1"/>
  <c r="J44" i="3"/>
  <c r="J46" i="3" s="1"/>
  <c r="J34" i="3" s="1"/>
  <c r="K44" i="3"/>
  <c r="L44" i="3"/>
  <c r="L46" i="3" s="1"/>
  <c r="L34" i="3" s="1"/>
  <c r="M44" i="3"/>
  <c r="N44" i="3"/>
  <c r="O44" i="3"/>
  <c r="P44" i="3"/>
  <c r="Q44" i="3"/>
  <c r="Q46" i="3" s="1"/>
  <c r="Q34" i="3" s="1"/>
  <c r="R44" i="3"/>
  <c r="R46" i="3" s="1"/>
  <c r="R34" i="3" s="1"/>
  <c r="S44" i="3"/>
  <c r="T44" i="3"/>
  <c r="T46" i="3" s="1"/>
  <c r="T34" i="3" s="1"/>
  <c r="U44" i="3"/>
  <c r="V44" i="3"/>
  <c r="W44" i="3"/>
  <c r="X44" i="3"/>
  <c r="Y44" i="3"/>
  <c r="Y46" i="3" s="1"/>
  <c r="Z44" i="3"/>
  <c r="Z46" i="3" s="1"/>
  <c r="Z34" i="3" s="1"/>
  <c r="AA44" i="3"/>
  <c r="AB44" i="3"/>
  <c r="AB46" i="3" s="1"/>
  <c r="AB34" i="3" s="1"/>
  <c r="AC44" i="3"/>
  <c r="AD44" i="3"/>
  <c r="AE44" i="3"/>
  <c r="AF44" i="3"/>
  <c r="AG44" i="3"/>
  <c r="AG46" i="3" s="1"/>
  <c r="AG34" i="3" s="1"/>
  <c r="AH44" i="3"/>
  <c r="F46" i="3"/>
  <c r="F34" i="3" s="1"/>
  <c r="G46" i="3"/>
  <c r="G34" i="3" s="1"/>
  <c r="H46" i="3"/>
  <c r="K46" i="3"/>
  <c r="M46" i="3"/>
  <c r="M34" i="3" s="1"/>
  <c r="N46" i="3"/>
  <c r="N34" i="3" s="1"/>
  <c r="O46" i="3"/>
  <c r="O34" i="3" s="1"/>
  <c r="P46" i="3"/>
  <c r="S46" i="3"/>
  <c r="U46" i="3"/>
  <c r="U34" i="3" s="1"/>
  <c r="V46" i="3"/>
  <c r="V34" i="3" s="1"/>
  <c r="W46" i="3"/>
  <c r="W34" i="3" s="1"/>
  <c r="X46" i="3"/>
  <c r="AA46" i="3"/>
  <c r="AA34" i="3" s="1"/>
  <c r="AC46" i="3"/>
  <c r="AC34" i="3" s="1"/>
  <c r="AD46" i="3"/>
  <c r="AE46" i="3"/>
  <c r="AE34" i="3" s="1"/>
  <c r="AF46" i="3"/>
  <c r="AH46" i="3"/>
  <c r="AH34" i="3" s="1"/>
  <c r="A2" i="25"/>
  <c r="B8" i="25"/>
  <c r="C8" i="25"/>
  <c r="D8" i="25"/>
  <c r="E8" i="25"/>
  <c r="F8" i="25"/>
  <c r="G8" i="25"/>
  <c r="H8" i="25"/>
  <c r="I8" i="25"/>
  <c r="J8" i="25"/>
  <c r="K8" i="25"/>
  <c r="L8" i="25"/>
  <c r="M8" i="25"/>
  <c r="N8" i="25"/>
  <c r="O8" i="25"/>
  <c r="P8" i="25"/>
  <c r="Q8" i="25"/>
  <c r="R8" i="25"/>
  <c r="S8" i="25"/>
  <c r="T8" i="25"/>
  <c r="U8" i="25"/>
  <c r="V8" i="25"/>
  <c r="W8" i="25"/>
  <c r="X8" i="25"/>
  <c r="Y8" i="25"/>
  <c r="Z8" i="25"/>
  <c r="AA8" i="25"/>
  <c r="AB8" i="25"/>
  <c r="AC8" i="25"/>
  <c r="AD8" i="25"/>
  <c r="AE8" i="25"/>
  <c r="AF8" i="25"/>
  <c r="AG8" i="25"/>
  <c r="B13" i="25"/>
  <c r="B18" i="25"/>
  <c r="B21" i="25" s="1"/>
  <c r="A41" i="25"/>
  <c r="A48" i="25"/>
  <c r="A55" i="25"/>
  <c r="AG58" i="25"/>
  <c r="M58" i="25" s="1"/>
  <c r="A2" i="8"/>
  <c r="B6" i="8"/>
  <c r="B7" i="8"/>
  <c r="B8" i="8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Y8" i="8"/>
  <c r="Z8" i="8"/>
  <c r="AA8" i="8"/>
  <c r="AB8" i="8"/>
  <c r="AC8" i="8"/>
  <c r="AD8" i="8"/>
  <c r="AE8" i="8"/>
  <c r="AF8" i="8"/>
  <c r="B15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B32" i="8"/>
  <c r="C32" i="8"/>
  <c r="D32" i="8"/>
  <c r="E32" i="8"/>
  <c r="F32" i="8"/>
  <c r="G32" i="8"/>
  <c r="H32" i="8"/>
  <c r="I32" i="8"/>
  <c r="J32" i="8"/>
  <c r="K32" i="8"/>
  <c r="L32" i="8"/>
  <c r="M32" i="8"/>
  <c r="N32" i="8"/>
  <c r="O32" i="8"/>
  <c r="P32" i="8"/>
  <c r="Q32" i="8"/>
  <c r="R32" i="8"/>
  <c r="S32" i="8"/>
  <c r="T32" i="8"/>
  <c r="U32" i="8"/>
  <c r="V32" i="8"/>
  <c r="W32" i="8"/>
  <c r="X32" i="8"/>
  <c r="Y32" i="8"/>
  <c r="Z32" i="8"/>
  <c r="AA32" i="8"/>
  <c r="AB32" i="8"/>
  <c r="AC32" i="8"/>
  <c r="AD32" i="8"/>
  <c r="AE32" i="8"/>
  <c r="AF32" i="8"/>
  <c r="A2" i="16"/>
  <c r="C11" i="4" l="1"/>
  <c r="E41" i="3"/>
  <c r="B50" i="25"/>
  <c r="B43" i="25"/>
  <c r="B27" i="25"/>
  <c r="L42" i="26"/>
  <c r="D19" i="2"/>
  <c r="C34" i="2"/>
  <c r="D7" i="7"/>
  <c r="D7" i="19"/>
  <c r="C7" i="4"/>
  <c r="C4" i="29"/>
  <c r="E8" i="3"/>
  <c r="C7" i="25"/>
  <c r="G43" i="26"/>
  <c r="B37" i="25"/>
  <c r="B57" i="25"/>
  <c r="F16" i="18"/>
  <c r="E34" i="18"/>
  <c r="D36" i="3"/>
  <c r="D38" i="3" s="1"/>
  <c r="I43" i="26"/>
  <c r="K42" i="26"/>
  <c r="I42" i="26"/>
  <c r="C42" i="26"/>
  <c r="E21" i="18"/>
  <c r="F21" i="18" s="1"/>
  <c r="C34" i="18"/>
  <c r="D6" i="19"/>
  <c r="D6" i="7"/>
  <c r="C6" i="4"/>
  <c r="E21" i="3"/>
  <c r="E7" i="3"/>
  <c r="D35" i="3"/>
  <c r="D21" i="3"/>
  <c r="C6" i="25"/>
  <c r="O10" i="4"/>
  <c r="P6" i="29"/>
  <c r="N43" i="26"/>
  <c r="L43" i="26"/>
  <c r="H43" i="26"/>
  <c r="F43" i="26"/>
  <c r="D43" i="26"/>
  <c r="N42" i="26"/>
  <c r="H42" i="26"/>
  <c r="F42" i="26"/>
  <c r="D42" i="26"/>
  <c r="N41" i="26"/>
  <c r="H41" i="26"/>
  <c r="F41" i="26"/>
  <c r="D41" i="26"/>
  <c r="D40" i="26"/>
  <c r="D39" i="26"/>
  <c r="D38" i="26"/>
  <c r="H37" i="26"/>
  <c r="H36" i="26"/>
  <c r="C43" i="26"/>
  <c r="K41" i="26"/>
  <c r="I41" i="26"/>
  <c r="I40" i="26"/>
  <c r="I39" i="26"/>
  <c r="C39" i="26"/>
  <c r="I38" i="26"/>
  <c r="C38" i="26"/>
  <c r="M36" i="26"/>
  <c r="K35" i="26"/>
  <c r="C35" i="26"/>
  <c r="H34" i="3"/>
  <c r="V19" i="3"/>
  <c r="J19" i="3"/>
  <c r="G42" i="7"/>
  <c r="G27" i="7"/>
  <c r="H40" i="26"/>
  <c r="J39" i="26"/>
  <c r="H39" i="26"/>
  <c r="J38" i="26"/>
  <c r="N37" i="26"/>
  <c r="L37" i="26"/>
  <c r="J37" i="26"/>
  <c r="F37" i="26"/>
  <c r="O37" i="26" s="1"/>
  <c r="D37" i="26"/>
  <c r="L36" i="26"/>
  <c r="J36" i="26"/>
  <c r="D36" i="26"/>
  <c r="N35" i="26"/>
  <c r="L35" i="26"/>
  <c r="H35" i="26"/>
  <c r="F35" i="26"/>
  <c r="D35" i="26"/>
  <c r="N34" i="26"/>
  <c r="L34" i="26"/>
  <c r="F34" i="26"/>
  <c r="D34" i="26"/>
  <c r="N33" i="26"/>
  <c r="J33" i="26"/>
  <c r="H33" i="26"/>
  <c r="F33" i="26"/>
  <c r="C41" i="26"/>
  <c r="O41" i="26" s="1"/>
  <c r="M40" i="26"/>
  <c r="K40" i="26"/>
  <c r="E40" i="26"/>
  <c r="C40" i="26"/>
  <c r="O40" i="26" s="1"/>
  <c r="M39" i="26"/>
  <c r="E39" i="26"/>
  <c r="M38" i="26"/>
  <c r="G38" i="26"/>
  <c r="E38" i="26"/>
  <c r="G37" i="26"/>
  <c r="E37" i="26"/>
  <c r="K36" i="26"/>
  <c r="I36" i="26"/>
  <c r="G36" i="26"/>
  <c r="C36" i="26"/>
  <c r="I35" i="26"/>
  <c r="G35" i="26"/>
  <c r="M34" i="26"/>
  <c r="K34" i="26"/>
  <c r="I34" i="26"/>
  <c r="E34" i="26"/>
  <c r="C34" i="26"/>
  <c r="K33" i="26"/>
  <c r="I33" i="26"/>
  <c r="C29" i="26"/>
  <c r="C30" i="26"/>
  <c r="C33" i="26"/>
  <c r="AD19" i="3"/>
  <c r="R19" i="3"/>
  <c r="I19" i="3"/>
  <c r="Q19" i="3"/>
  <c r="Y19" i="3"/>
  <c r="AG19" i="3"/>
  <c r="D19" i="3"/>
  <c r="L19" i="3"/>
  <c r="T19" i="3"/>
  <c r="AB19" i="3"/>
  <c r="G19" i="3"/>
  <c r="O19" i="3"/>
  <c r="W19" i="3"/>
  <c r="AE19" i="3"/>
  <c r="C14" i="4"/>
  <c r="F15" i="18"/>
  <c r="A17" i="18"/>
  <c r="O19" i="2"/>
  <c r="O21" i="2"/>
  <c r="D24" i="2"/>
  <c r="D37" i="2"/>
  <c r="D40" i="2"/>
  <c r="D44" i="2"/>
  <c r="D55" i="2"/>
  <c r="O24" i="2"/>
  <c r="D22" i="2"/>
  <c r="D27" i="2"/>
  <c r="D30" i="2"/>
  <c r="D32" i="2"/>
  <c r="D38" i="2"/>
  <c r="D41" i="2"/>
  <c r="D45" i="2"/>
  <c r="H62" i="2"/>
  <c r="O20" i="2"/>
  <c r="O25" i="2"/>
  <c r="D28" i="2"/>
  <c r="D39" i="2"/>
  <c r="D42" i="2"/>
  <c r="D53" i="2"/>
  <c r="D33" i="2"/>
  <c r="D47" i="2"/>
  <c r="D49" i="2"/>
  <c r="D31" i="2"/>
  <c r="D20" i="2"/>
  <c r="D26" i="2"/>
  <c r="D48" i="2"/>
  <c r="D56" i="2"/>
  <c r="D12" i="2"/>
  <c r="O22" i="2"/>
  <c r="D43" i="2"/>
  <c r="D23" i="2"/>
  <c r="O23" i="2"/>
  <c r="D25" i="2"/>
  <c r="D54" i="2"/>
  <c r="D29" i="2"/>
  <c r="D13" i="7"/>
  <c r="B36" i="6"/>
  <c r="D21" i="2"/>
  <c r="H29" i="4" l="1"/>
  <c r="P29" i="4"/>
  <c r="X29" i="4"/>
  <c r="AF29" i="4"/>
  <c r="I29" i="4"/>
  <c r="Q29" i="4"/>
  <c r="Y29" i="4"/>
  <c r="AG29" i="4"/>
  <c r="J29" i="4"/>
  <c r="R29" i="4"/>
  <c r="Z29" i="4"/>
  <c r="C29" i="4"/>
  <c r="K29" i="4"/>
  <c r="S29" i="4"/>
  <c r="AA29" i="4"/>
  <c r="F29" i="4"/>
  <c r="N29" i="4"/>
  <c r="V29" i="4"/>
  <c r="AD29" i="4"/>
  <c r="M29" i="4"/>
  <c r="O29" i="4"/>
  <c r="T29" i="4"/>
  <c r="U29" i="4"/>
  <c r="D29" i="4"/>
  <c r="W29" i="4"/>
  <c r="AE29" i="4"/>
  <c r="E29" i="4"/>
  <c r="AB29" i="4"/>
  <c r="G29" i="4"/>
  <c r="L29" i="4"/>
  <c r="AC29" i="4"/>
  <c r="O36" i="26"/>
  <c r="N32" i="2"/>
  <c r="O32" i="2" s="1"/>
  <c r="N30" i="2"/>
  <c r="O30" i="2" s="1"/>
  <c r="C19" i="4"/>
  <c r="M28" i="4"/>
  <c r="C28" i="4"/>
  <c r="N33" i="2" s="1"/>
  <c r="O33" i="2" s="1"/>
  <c r="O42" i="26"/>
  <c r="B7" i="6"/>
  <c r="C7" i="6" s="1"/>
  <c r="D7" i="6" s="1"/>
  <c r="E7" i="6" s="1"/>
  <c r="F7" i="6" s="1"/>
  <c r="G7" i="6" s="1"/>
  <c r="H7" i="6" s="1"/>
  <c r="I7" i="6" s="1"/>
  <c r="J7" i="6" s="1"/>
  <c r="K7" i="6" s="1"/>
  <c r="L7" i="6" s="1"/>
  <c r="M7" i="6" s="1"/>
  <c r="N7" i="6" s="1"/>
  <c r="O7" i="6" s="1"/>
  <c r="P7" i="6" s="1"/>
  <c r="Q7" i="6" s="1"/>
  <c r="R7" i="6" s="1"/>
  <c r="S7" i="6" s="1"/>
  <c r="T7" i="6" s="1"/>
  <c r="U7" i="6" s="1"/>
  <c r="V7" i="6" s="1"/>
  <c r="W7" i="6" s="1"/>
  <c r="X7" i="6" s="1"/>
  <c r="Y7" i="6" s="1"/>
  <c r="Z7" i="6" s="1"/>
  <c r="AA7" i="6" s="1"/>
  <c r="AB7" i="6" s="1"/>
  <c r="AC7" i="6" s="1"/>
  <c r="AD7" i="6" s="1"/>
  <c r="AE7" i="6" s="1"/>
  <c r="AF7" i="6" s="1"/>
  <c r="B73" i="2"/>
  <c r="O34" i="26"/>
  <c r="O35" i="26"/>
  <c r="P10" i="4"/>
  <c r="Q6" i="29"/>
  <c r="D14" i="7"/>
  <c r="D41" i="7"/>
  <c r="D43" i="7"/>
  <c r="D47" i="7" s="1"/>
  <c r="D11" i="4"/>
  <c r="D14" i="4" s="1"/>
  <c r="F41" i="3"/>
  <c r="O26" i="2"/>
  <c r="D42" i="7"/>
  <c r="D27" i="7"/>
  <c r="A18" i="18"/>
  <c r="O33" i="26"/>
  <c r="O38" i="26"/>
  <c r="G18" i="4"/>
  <c r="O18" i="4"/>
  <c r="W18" i="4"/>
  <c r="AE18" i="4"/>
  <c r="H18" i="4"/>
  <c r="P18" i="4"/>
  <c r="X18" i="4"/>
  <c r="AF18" i="4"/>
  <c r="I18" i="4"/>
  <c r="Q18" i="4"/>
  <c r="Y18" i="4"/>
  <c r="AG18" i="4"/>
  <c r="D18" i="4"/>
  <c r="L18" i="4"/>
  <c r="T18" i="4"/>
  <c r="AB18" i="4"/>
  <c r="N18" i="4"/>
  <c r="AD18" i="4"/>
  <c r="R18" i="4"/>
  <c r="C18" i="4"/>
  <c r="S18" i="4"/>
  <c r="E18" i="4"/>
  <c r="U18" i="4"/>
  <c r="C21" i="4"/>
  <c r="D21" i="4" s="1"/>
  <c r="E21" i="4" s="1"/>
  <c r="F21" i="4" s="1"/>
  <c r="G21" i="4" s="1"/>
  <c r="H21" i="4" s="1"/>
  <c r="I21" i="4" s="1"/>
  <c r="J21" i="4" s="1"/>
  <c r="K21" i="4" s="1"/>
  <c r="L21" i="4" s="1"/>
  <c r="M21" i="4" s="1"/>
  <c r="N21" i="4" s="1"/>
  <c r="O21" i="4" s="1"/>
  <c r="P21" i="4" s="1"/>
  <c r="Q21" i="4" s="1"/>
  <c r="R21" i="4" s="1"/>
  <c r="S21" i="4" s="1"/>
  <c r="T21" i="4" s="1"/>
  <c r="U21" i="4" s="1"/>
  <c r="V21" i="4" s="1"/>
  <c r="W21" i="4" s="1"/>
  <c r="X21" i="4" s="1"/>
  <c r="Y21" i="4" s="1"/>
  <c r="Z21" i="4" s="1"/>
  <c r="AA21" i="4" s="1"/>
  <c r="AB21" i="4" s="1"/>
  <c r="AC21" i="4" s="1"/>
  <c r="AD21" i="4" s="1"/>
  <c r="AE21" i="4" s="1"/>
  <c r="AF21" i="4" s="1"/>
  <c r="AG21" i="4" s="1"/>
  <c r="K18" i="4"/>
  <c r="AA18" i="4"/>
  <c r="M18" i="4"/>
  <c r="V18" i="4"/>
  <c r="Z18" i="4"/>
  <c r="AC18" i="4"/>
  <c r="J18" i="4"/>
  <c r="C20" i="4"/>
  <c r="D20" i="4" s="1"/>
  <c r="E20" i="4" s="1"/>
  <c r="F20" i="4" s="1"/>
  <c r="G20" i="4" s="1"/>
  <c r="H20" i="4" s="1"/>
  <c r="I20" i="4" s="1"/>
  <c r="J20" i="4" s="1"/>
  <c r="K20" i="4" s="1"/>
  <c r="L20" i="4" s="1"/>
  <c r="M20" i="4" s="1"/>
  <c r="N20" i="4" s="1"/>
  <c r="O20" i="4" s="1"/>
  <c r="P20" i="4" s="1"/>
  <c r="Q20" i="4" s="1"/>
  <c r="R20" i="4" s="1"/>
  <c r="S20" i="4" s="1"/>
  <c r="T20" i="4" s="1"/>
  <c r="U20" i="4" s="1"/>
  <c r="V20" i="4" s="1"/>
  <c r="W20" i="4" s="1"/>
  <c r="X20" i="4" s="1"/>
  <c r="Y20" i="4" s="1"/>
  <c r="Z20" i="4" s="1"/>
  <c r="AA20" i="4" s="1"/>
  <c r="AB20" i="4" s="1"/>
  <c r="AC20" i="4" s="1"/>
  <c r="AD20" i="4" s="1"/>
  <c r="AE20" i="4" s="1"/>
  <c r="AF20" i="4" s="1"/>
  <c r="AG20" i="4" s="1"/>
  <c r="F18" i="4"/>
  <c r="D34" i="2"/>
  <c r="B49" i="6"/>
  <c r="C12" i="25"/>
  <c r="I13" i="7"/>
  <c r="O43" i="26"/>
  <c r="F34" i="18"/>
  <c r="G15" i="18"/>
  <c r="H16" i="18" s="1"/>
  <c r="O39" i="26"/>
  <c r="E6" i="19"/>
  <c r="E6" i="7"/>
  <c r="D6" i="4"/>
  <c r="E35" i="3"/>
  <c r="E36" i="3" s="1"/>
  <c r="E38" i="3" s="1"/>
  <c r="F21" i="3"/>
  <c r="D6" i="25"/>
  <c r="C6" i="8"/>
  <c r="F7" i="3"/>
  <c r="E7" i="19"/>
  <c r="E7" i="7"/>
  <c r="D7" i="4"/>
  <c r="C73" i="2" s="1"/>
  <c r="D4" i="29"/>
  <c r="F8" i="3"/>
  <c r="D7" i="25"/>
  <c r="C7" i="8"/>
  <c r="Q10" i="4" l="1"/>
  <c r="R6" i="29"/>
  <c r="E14" i="7"/>
  <c r="E41" i="7"/>
  <c r="E43" i="7"/>
  <c r="E47" i="7" s="1"/>
  <c r="N29" i="2"/>
  <c r="O29" i="2" s="1"/>
  <c r="E11" i="4"/>
  <c r="E14" i="4" s="1"/>
  <c r="G41" i="3"/>
  <c r="F6" i="19"/>
  <c r="F6" i="7"/>
  <c r="E6" i="4"/>
  <c r="G7" i="3"/>
  <c r="F35" i="3"/>
  <c r="F36" i="3" s="1"/>
  <c r="F38" i="3" s="1"/>
  <c r="G21" i="3"/>
  <c r="E6" i="25"/>
  <c r="D6" i="8"/>
  <c r="A19" i="18"/>
  <c r="I16" i="18"/>
  <c r="G16" i="18"/>
  <c r="I27" i="7"/>
  <c r="I42" i="7"/>
  <c r="D18" i="7"/>
  <c r="D28" i="7"/>
  <c r="D33" i="7" s="1"/>
  <c r="F7" i="19"/>
  <c r="F7" i="7"/>
  <c r="E7" i="4"/>
  <c r="D73" i="2" s="1"/>
  <c r="G8" i="3"/>
  <c r="E7" i="25"/>
  <c r="D7" i="8"/>
  <c r="E4" i="29"/>
  <c r="A20" i="18" l="1"/>
  <c r="F11" i="4"/>
  <c r="F14" i="4" s="1"/>
  <c r="H41" i="3"/>
  <c r="E28" i="7"/>
  <c r="E33" i="7" s="1"/>
  <c r="E18" i="7"/>
  <c r="G7" i="19"/>
  <c r="F7" i="4"/>
  <c r="G7" i="7"/>
  <c r="H8" i="3"/>
  <c r="F7" i="25"/>
  <c r="F4" i="29"/>
  <c r="E7" i="8"/>
  <c r="F14" i="7"/>
  <c r="F41" i="7"/>
  <c r="F43" i="7"/>
  <c r="F47" i="7" s="1"/>
  <c r="G6" i="19"/>
  <c r="G6" i="7"/>
  <c r="F6" i="4"/>
  <c r="H21" i="3"/>
  <c r="H7" i="3"/>
  <c r="F6" i="25"/>
  <c r="E6" i="8"/>
  <c r="G35" i="3"/>
  <c r="G36" i="3" s="1"/>
  <c r="G38" i="3" s="1"/>
  <c r="R10" i="4"/>
  <c r="S6" i="29"/>
  <c r="G17" i="18"/>
  <c r="H17" i="18"/>
  <c r="G18" i="18" l="1"/>
  <c r="H18" i="18"/>
  <c r="S10" i="4"/>
  <c r="T6" i="29"/>
  <c r="G14" i="7"/>
  <c r="G41" i="7"/>
  <c r="G43" i="7"/>
  <c r="G47" i="7" s="1"/>
  <c r="H7" i="19"/>
  <c r="H7" i="7"/>
  <c r="G4" i="29"/>
  <c r="I8" i="3"/>
  <c r="G7" i="4"/>
  <c r="F7" i="8"/>
  <c r="G7" i="25"/>
  <c r="G11" i="4"/>
  <c r="G14" i="4" s="1"/>
  <c r="I41" i="3"/>
  <c r="A21" i="18"/>
  <c r="F18" i="7"/>
  <c r="F28" i="7"/>
  <c r="F33" i="7" s="1"/>
  <c r="H6" i="19"/>
  <c r="H6" i="7"/>
  <c r="G6" i="4"/>
  <c r="H35" i="3"/>
  <c r="H36" i="3" s="1"/>
  <c r="H38" i="3" s="1"/>
  <c r="G6" i="25"/>
  <c r="F6" i="8"/>
  <c r="I7" i="3"/>
  <c r="I21" i="3" s="1"/>
  <c r="I17" i="18"/>
  <c r="I6" i="19" l="1"/>
  <c r="I6" i="7"/>
  <c r="H6" i="4"/>
  <c r="J7" i="3"/>
  <c r="H6" i="25"/>
  <c r="I35" i="3"/>
  <c r="I36" i="3" s="1"/>
  <c r="I38" i="3" s="1"/>
  <c r="G6" i="8"/>
  <c r="G18" i="7"/>
  <c r="G28" i="7"/>
  <c r="G33" i="7" s="1"/>
  <c r="T10" i="4"/>
  <c r="U6" i="29"/>
  <c r="A22" i="18"/>
  <c r="I7" i="19"/>
  <c r="I7" i="7"/>
  <c r="H7" i="25"/>
  <c r="J8" i="3"/>
  <c r="H7" i="4"/>
  <c r="H4" i="29"/>
  <c r="G7" i="8"/>
  <c r="H14" i="7"/>
  <c r="H41" i="7"/>
  <c r="H43" i="7"/>
  <c r="H47" i="7" s="1"/>
  <c r="I18" i="18"/>
  <c r="H11" i="4"/>
  <c r="H14" i="4" s="1"/>
  <c r="J41" i="3"/>
  <c r="H19" i="18"/>
  <c r="G19" i="18" s="1"/>
  <c r="G20" i="18" l="1"/>
  <c r="H20" i="18"/>
  <c r="A23" i="18"/>
  <c r="I11" i="4"/>
  <c r="I14" i="4" s="1"/>
  <c r="K41" i="3"/>
  <c r="J6" i="19"/>
  <c r="J6" i="7"/>
  <c r="I6" i="4"/>
  <c r="I6" i="25"/>
  <c r="J35" i="3"/>
  <c r="J36" i="3" s="1"/>
  <c r="J38" i="3" s="1"/>
  <c r="K7" i="3"/>
  <c r="H6" i="8"/>
  <c r="U10" i="4"/>
  <c r="V6" i="29"/>
  <c r="J7" i="19"/>
  <c r="J7" i="7"/>
  <c r="I7" i="4"/>
  <c r="I4" i="29"/>
  <c r="K8" i="3"/>
  <c r="I7" i="25"/>
  <c r="H7" i="8"/>
  <c r="J21" i="3"/>
  <c r="I14" i="7"/>
  <c r="I41" i="7"/>
  <c r="I43" i="7"/>
  <c r="I47" i="7" s="1"/>
  <c r="H28" i="7"/>
  <c r="H33" i="7" s="1"/>
  <c r="H18" i="7"/>
  <c r="I19" i="18"/>
  <c r="K7" i="19" l="1"/>
  <c r="K7" i="7"/>
  <c r="J7" i="4"/>
  <c r="L8" i="3"/>
  <c r="J7" i="25"/>
  <c r="I7" i="8"/>
  <c r="J4" i="29"/>
  <c r="J11" i="4"/>
  <c r="J14" i="4" s="1"/>
  <c r="L41" i="3"/>
  <c r="I28" i="7"/>
  <c r="I33" i="7" s="1"/>
  <c r="I18" i="7"/>
  <c r="V10" i="4"/>
  <c r="W6" i="29"/>
  <c r="K6" i="19"/>
  <c r="K6" i="7"/>
  <c r="J6" i="4"/>
  <c r="K35" i="3"/>
  <c r="K36" i="3" s="1"/>
  <c r="K38" i="3" s="1"/>
  <c r="J6" i="25"/>
  <c r="L7" i="3"/>
  <c r="I6" i="8"/>
  <c r="A24" i="18"/>
  <c r="K21" i="3"/>
  <c r="I20" i="18"/>
  <c r="J14" i="7"/>
  <c r="J41" i="7"/>
  <c r="J43" i="7"/>
  <c r="J47" i="7" s="1"/>
  <c r="G21" i="18"/>
  <c r="H21" i="18"/>
  <c r="K14" i="7" l="1"/>
  <c r="K43" i="7"/>
  <c r="K47" i="7" s="1"/>
  <c r="K41" i="7"/>
  <c r="W10" i="4"/>
  <c r="X6" i="29"/>
  <c r="L6" i="19"/>
  <c r="L6" i="7"/>
  <c r="K6" i="4"/>
  <c r="M7" i="3"/>
  <c r="K6" i="25"/>
  <c r="J6" i="8"/>
  <c r="L35" i="3"/>
  <c r="L36" i="3" s="1"/>
  <c r="L38" i="3" s="1"/>
  <c r="L21" i="3"/>
  <c r="H22" i="18"/>
  <c r="I22" i="18" s="1"/>
  <c r="J28" i="7"/>
  <c r="J33" i="7" s="1"/>
  <c r="J18" i="7"/>
  <c r="L7" i="19"/>
  <c r="L7" i="7"/>
  <c r="K7" i="4"/>
  <c r="K4" i="29"/>
  <c r="M8" i="3"/>
  <c r="K7" i="25"/>
  <c r="J7" i="8"/>
  <c r="I21" i="18"/>
  <c r="H24" i="18"/>
  <c r="A25" i="18"/>
  <c r="K11" i="4"/>
  <c r="K14" i="4" s="1"/>
  <c r="M41" i="3"/>
  <c r="M7" i="19" l="1"/>
  <c r="M7" i="7"/>
  <c r="L7" i="4"/>
  <c r="L4" i="29"/>
  <c r="N8" i="3"/>
  <c r="L7" i="25"/>
  <c r="K7" i="8"/>
  <c r="A26" i="18"/>
  <c r="H25" i="18"/>
  <c r="X10" i="4"/>
  <c r="Y6" i="29"/>
  <c r="M6" i="19"/>
  <c r="M6" i="7"/>
  <c r="L6" i="4"/>
  <c r="M35" i="3"/>
  <c r="M36" i="3" s="1"/>
  <c r="M38" i="3" s="1"/>
  <c r="N7" i="3"/>
  <c r="L6" i="25"/>
  <c r="K6" i="8"/>
  <c r="N21" i="3"/>
  <c r="G22" i="18"/>
  <c r="L14" i="7"/>
  <c r="L41" i="7"/>
  <c r="L43" i="7"/>
  <c r="L47" i="7" s="1"/>
  <c r="N41" i="3"/>
  <c r="L11" i="4"/>
  <c r="L14" i="4" s="1"/>
  <c r="M21" i="3"/>
  <c r="K18" i="7"/>
  <c r="K28" i="7"/>
  <c r="K33" i="7" s="1"/>
  <c r="A27" i="18" l="1"/>
  <c r="H26" i="18"/>
  <c r="H23" i="18"/>
  <c r="I23" i="18" s="1"/>
  <c r="I24" i="18" s="1"/>
  <c r="I25" i="18" s="1"/>
  <c r="I26" i="18" s="1"/>
  <c r="M14" i="7"/>
  <c r="M41" i="7"/>
  <c r="M43" i="7"/>
  <c r="M47" i="7" s="1"/>
  <c r="Y10" i="4"/>
  <c r="Z6" i="29"/>
  <c r="N7" i="19"/>
  <c r="N7" i="7"/>
  <c r="M7" i="4"/>
  <c r="O8" i="3"/>
  <c r="M4" i="29"/>
  <c r="L7" i="8"/>
  <c r="M7" i="25"/>
  <c r="L28" i="7"/>
  <c r="L33" i="7" s="1"/>
  <c r="L18" i="7"/>
  <c r="M11" i="4"/>
  <c r="M14" i="4" s="1"/>
  <c r="O41" i="3"/>
  <c r="N6" i="19"/>
  <c r="N6" i="7"/>
  <c r="M6" i="4"/>
  <c r="O7" i="3"/>
  <c r="O21" i="3"/>
  <c r="N35" i="3"/>
  <c r="N36" i="3" s="1"/>
  <c r="N38" i="3" s="1"/>
  <c r="L6" i="8"/>
  <c r="M6" i="25"/>
  <c r="N11" i="4" l="1"/>
  <c r="N14" i="4" s="1"/>
  <c r="P41" i="3"/>
  <c r="M28" i="7"/>
  <c r="M33" i="7" s="1"/>
  <c r="M18" i="7"/>
  <c r="O6" i="19"/>
  <c r="O6" i="7"/>
  <c r="N6" i="4"/>
  <c r="P21" i="3"/>
  <c r="O35" i="3"/>
  <c r="O36" i="3" s="1"/>
  <c r="O38" i="3" s="1"/>
  <c r="P7" i="3"/>
  <c r="M6" i="8"/>
  <c r="N6" i="25"/>
  <c r="G23" i="18"/>
  <c r="G24" i="18" s="1"/>
  <c r="G25" i="18" s="1"/>
  <c r="G26" i="18" s="1"/>
  <c r="G27" i="18" s="1"/>
  <c r="O7" i="19"/>
  <c r="O7" i="7"/>
  <c r="N7" i="4"/>
  <c r="P8" i="3"/>
  <c r="N4" i="29"/>
  <c r="N7" i="25"/>
  <c r="M7" i="8"/>
  <c r="N41" i="7"/>
  <c r="N43" i="7"/>
  <c r="N47" i="7" s="1"/>
  <c r="N14" i="7"/>
  <c r="Z10" i="4"/>
  <c r="AA6" i="29"/>
  <c r="I27" i="18"/>
  <c r="H27" i="18"/>
  <c r="A28" i="18"/>
  <c r="O43" i="7" l="1"/>
  <c r="O47" i="7" s="1"/>
  <c r="O14" i="7"/>
  <c r="O41" i="7"/>
  <c r="N18" i="7"/>
  <c r="N28" i="7"/>
  <c r="N33" i="7" s="1"/>
  <c r="AA10" i="4"/>
  <c r="AB6" i="29"/>
  <c r="P7" i="19"/>
  <c r="P7" i="7"/>
  <c r="O4" i="29"/>
  <c r="N7" i="8"/>
  <c r="O7" i="25"/>
  <c r="Q8" i="3"/>
  <c r="O7" i="4"/>
  <c r="P6" i="19"/>
  <c r="P6" i="7"/>
  <c r="P35" i="3"/>
  <c r="P36" i="3" s="1"/>
  <c r="P38" i="3" s="1"/>
  <c r="O6" i="4"/>
  <c r="O6" i="25"/>
  <c r="Q21" i="3"/>
  <c r="Q7" i="3"/>
  <c r="N6" i="8"/>
  <c r="A29" i="18"/>
  <c r="H28" i="18"/>
  <c r="G28" i="18" s="1"/>
  <c r="I28" i="18"/>
  <c r="O11" i="4"/>
  <c r="O14" i="4" s="1"/>
  <c r="Q41" i="3"/>
  <c r="P11" i="4" l="1"/>
  <c r="P14" i="4" s="1"/>
  <c r="R41" i="3"/>
  <c r="Q6" i="19"/>
  <c r="Q6" i="7"/>
  <c r="P6" i="4"/>
  <c r="R7" i="3"/>
  <c r="R21" i="3" s="1"/>
  <c r="Q35" i="3"/>
  <c r="Q36" i="3" s="1"/>
  <c r="Q38" i="3" s="1"/>
  <c r="P6" i="25"/>
  <c r="O6" i="8"/>
  <c r="Q7" i="19"/>
  <c r="Q7" i="7"/>
  <c r="P7" i="4"/>
  <c r="P7" i="25"/>
  <c r="P4" i="29"/>
  <c r="O7" i="8"/>
  <c r="R8" i="3"/>
  <c r="O18" i="7"/>
  <c r="O28" i="7"/>
  <c r="O33" i="7" s="1"/>
  <c r="H29" i="18"/>
  <c r="G29" i="18" s="1"/>
  <c r="I29" i="18"/>
  <c r="A30" i="18"/>
  <c r="P14" i="7"/>
  <c r="P43" i="7"/>
  <c r="P47" i="7" s="1"/>
  <c r="P41" i="7"/>
  <c r="AB10" i="4"/>
  <c r="AC6" i="29"/>
  <c r="AC10" i="4" l="1"/>
  <c r="AD6" i="29"/>
  <c r="Q11" i="4"/>
  <c r="Q14" i="4" s="1"/>
  <c r="S41" i="3"/>
  <c r="P18" i="7"/>
  <c r="P28" i="7"/>
  <c r="P33" i="7" s="1"/>
  <c r="R7" i="19"/>
  <c r="R7" i="7"/>
  <c r="Q7" i="4"/>
  <c r="Q4" i="29"/>
  <c r="S8" i="3"/>
  <c r="Q7" i="25"/>
  <c r="P7" i="8"/>
  <c r="Q41" i="7"/>
  <c r="Q43" i="7"/>
  <c r="Q47" i="7" s="1"/>
  <c r="Q14" i="7"/>
  <c r="H30" i="18"/>
  <c r="G30" i="18" s="1"/>
  <c r="I30" i="18"/>
  <c r="A31" i="18"/>
  <c r="R6" i="19"/>
  <c r="R6" i="7"/>
  <c r="Q6" i="4"/>
  <c r="S7" i="3"/>
  <c r="R35" i="3"/>
  <c r="R36" i="3" s="1"/>
  <c r="R38" i="3" s="1"/>
  <c r="Q6" i="25"/>
  <c r="P6" i="8"/>
  <c r="S21" i="3"/>
  <c r="G31" i="18" l="1"/>
  <c r="I31" i="18"/>
  <c r="A32" i="18"/>
  <c r="H31" i="18"/>
  <c r="Q18" i="7"/>
  <c r="Q28" i="7"/>
  <c r="Q33" i="7" s="1"/>
  <c r="AD10" i="4"/>
  <c r="AE6" i="29"/>
  <c r="R11" i="4"/>
  <c r="R14" i="4" s="1"/>
  <c r="T41" i="3"/>
  <c r="S6" i="19"/>
  <c r="S6" i="7"/>
  <c r="R6" i="4"/>
  <c r="S35" i="3"/>
  <c r="S36" i="3" s="1"/>
  <c r="S38" i="3" s="1"/>
  <c r="T7" i="3"/>
  <c r="T21" i="3"/>
  <c r="Q6" i="8"/>
  <c r="R6" i="25"/>
  <c r="S7" i="19"/>
  <c r="S7" i="7"/>
  <c r="R7" i="4"/>
  <c r="R4" i="29"/>
  <c r="R7" i="25"/>
  <c r="T8" i="3"/>
  <c r="Q7" i="8"/>
  <c r="R14" i="7"/>
  <c r="R43" i="7"/>
  <c r="R47" i="7" s="1"/>
  <c r="R41" i="7"/>
  <c r="S14" i="7" l="1"/>
  <c r="S41" i="7"/>
  <c r="S43" i="7"/>
  <c r="S47" i="7" s="1"/>
  <c r="T6" i="19"/>
  <c r="T6" i="7"/>
  <c r="S6" i="4"/>
  <c r="U21" i="3"/>
  <c r="U7" i="3"/>
  <c r="S6" i="25"/>
  <c r="T35" i="3"/>
  <c r="T36" i="3" s="1"/>
  <c r="T38" i="3" s="1"/>
  <c r="R6" i="8"/>
  <c r="S11" i="4"/>
  <c r="S14" i="4" s="1"/>
  <c r="U41" i="3"/>
  <c r="I32" i="18"/>
  <c r="H32" i="18"/>
  <c r="G32" i="18" s="1"/>
  <c r="A33" i="18"/>
  <c r="AE10" i="4"/>
  <c r="AF6" i="29"/>
  <c r="AF10" i="4" s="1"/>
  <c r="R28" i="7"/>
  <c r="R33" i="7" s="1"/>
  <c r="R18" i="7"/>
  <c r="T7" i="19"/>
  <c r="T7" i="7"/>
  <c r="S7" i="4"/>
  <c r="U8" i="3"/>
  <c r="S4" i="29"/>
  <c r="S7" i="25"/>
  <c r="R7" i="8"/>
  <c r="G33" i="18" l="1"/>
  <c r="T11" i="4"/>
  <c r="T14" i="4" s="1"/>
  <c r="V41" i="3"/>
  <c r="T14" i="7"/>
  <c r="T41" i="7"/>
  <c r="T43" i="7"/>
  <c r="T47" i="7" s="1"/>
  <c r="U7" i="19"/>
  <c r="U7" i="7"/>
  <c r="T7" i="4"/>
  <c r="T4" i="29"/>
  <c r="V8" i="3"/>
  <c r="T7" i="25"/>
  <c r="S7" i="8"/>
  <c r="H33" i="18"/>
  <c r="H34" i="18" s="1"/>
  <c r="C46" i="2" s="1"/>
  <c r="I33" i="18"/>
  <c r="U6" i="19"/>
  <c r="U6" i="7"/>
  <c r="T6" i="4"/>
  <c r="U35" i="3"/>
  <c r="U36" i="3" s="1"/>
  <c r="U38" i="3" s="1"/>
  <c r="T6" i="25"/>
  <c r="V21" i="3"/>
  <c r="V7" i="3"/>
  <c r="S6" i="8"/>
  <c r="S18" i="7"/>
  <c r="S28" i="7"/>
  <c r="S33" i="7" s="1"/>
  <c r="V7" i="19" l="1"/>
  <c r="V7" i="7"/>
  <c r="U7" i="4"/>
  <c r="W8" i="3"/>
  <c r="U4" i="29"/>
  <c r="T7" i="8"/>
  <c r="U7" i="25"/>
  <c r="T28" i="7"/>
  <c r="T33" i="7" s="1"/>
  <c r="T18" i="7"/>
  <c r="U11" i="4"/>
  <c r="U14" i="4" s="1"/>
  <c r="W41" i="3"/>
  <c r="U14" i="7"/>
  <c r="U41" i="7"/>
  <c r="U43" i="7"/>
  <c r="U47" i="7" s="1"/>
  <c r="V6" i="19"/>
  <c r="V6" i="7"/>
  <c r="U6" i="4"/>
  <c r="W7" i="3"/>
  <c r="W21" i="3"/>
  <c r="V35" i="3"/>
  <c r="V36" i="3" s="1"/>
  <c r="V38" i="3" s="1"/>
  <c r="U6" i="25"/>
  <c r="T6" i="8"/>
  <c r="C50" i="2"/>
  <c r="D46" i="2"/>
  <c r="B16" i="7"/>
  <c r="D50" i="2" l="1"/>
  <c r="C58" i="2"/>
  <c r="B17" i="7"/>
  <c r="V11" i="4"/>
  <c r="V14" i="4" s="1"/>
  <c r="X41" i="3"/>
  <c r="W7" i="19"/>
  <c r="W7" i="7"/>
  <c r="V7" i="4"/>
  <c r="X8" i="3"/>
  <c r="U7" i="8"/>
  <c r="V4" i="29"/>
  <c r="V7" i="25"/>
  <c r="U28" i="7"/>
  <c r="U33" i="7" s="1"/>
  <c r="U18" i="7"/>
  <c r="J16" i="7"/>
  <c r="R16" i="7"/>
  <c r="Z16" i="7"/>
  <c r="AH16" i="7"/>
  <c r="K16" i="7"/>
  <c r="S16" i="7"/>
  <c r="AA16" i="7"/>
  <c r="B19" i="7"/>
  <c r="D16" i="7"/>
  <c r="L16" i="7"/>
  <c r="T16" i="7"/>
  <c r="AB16" i="7"/>
  <c r="E16" i="7"/>
  <c r="M16" i="7"/>
  <c r="U16" i="7"/>
  <c r="AC16" i="7"/>
  <c r="F16" i="7"/>
  <c r="V16" i="7"/>
  <c r="G16" i="7"/>
  <c r="W16" i="7"/>
  <c r="H16" i="7"/>
  <c r="X16" i="7"/>
  <c r="I16" i="7"/>
  <c r="Y16" i="7"/>
  <c r="P16" i="7"/>
  <c r="AF16" i="7"/>
  <c r="N16" i="7"/>
  <c r="O16" i="7"/>
  <c r="Q16" i="7"/>
  <c r="AD16" i="7"/>
  <c r="B31" i="7"/>
  <c r="B45" i="7"/>
  <c r="AE16" i="7"/>
  <c r="AG16" i="7"/>
  <c r="W6" i="19"/>
  <c r="V6" i="4"/>
  <c r="X21" i="3"/>
  <c r="W6" i="7"/>
  <c r="W35" i="3"/>
  <c r="W36" i="3" s="1"/>
  <c r="W38" i="3" s="1"/>
  <c r="U6" i="8"/>
  <c r="V6" i="25"/>
  <c r="X7" i="3"/>
  <c r="V14" i="7"/>
  <c r="V41" i="7"/>
  <c r="V43" i="7"/>
  <c r="V47" i="7" s="1"/>
  <c r="D45" i="7" l="1"/>
  <c r="E45" i="7"/>
  <c r="F45" i="7"/>
  <c r="G45" i="7"/>
  <c r="H45" i="7"/>
  <c r="I45" i="7"/>
  <c r="J45" i="7"/>
  <c r="K45" i="7"/>
  <c r="L45" i="7"/>
  <c r="M45" i="7"/>
  <c r="N45" i="7"/>
  <c r="O45" i="7"/>
  <c r="P45" i="7"/>
  <c r="Q45" i="7"/>
  <c r="R45" i="7"/>
  <c r="S45" i="7"/>
  <c r="T45" i="7"/>
  <c r="B21" i="7"/>
  <c r="U45" i="7"/>
  <c r="E31" i="7"/>
  <c r="M31" i="7"/>
  <c r="U31" i="7"/>
  <c r="AC31" i="7"/>
  <c r="F31" i="7"/>
  <c r="N31" i="7"/>
  <c r="V31" i="7"/>
  <c r="AD31" i="7"/>
  <c r="G31" i="7"/>
  <c r="O31" i="7"/>
  <c r="W31" i="7"/>
  <c r="AE31" i="7"/>
  <c r="J31" i="7"/>
  <c r="R31" i="7"/>
  <c r="Z31" i="7"/>
  <c r="AH31" i="7"/>
  <c r="H31" i="7"/>
  <c r="X31" i="7"/>
  <c r="I31" i="7"/>
  <c r="Y31" i="7"/>
  <c r="K31" i="7"/>
  <c r="AA31" i="7"/>
  <c r="L31" i="7"/>
  <c r="AB31" i="7"/>
  <c r="S31" i="7"/>
  <c r="D31" i="7"/>
  <c r="P31" i="7"/>
  <c r="AF31" i="7"/>
  <c r="Q31" i="7"/>
  <c r="T31" i="7"/>
  <c r="AG31" i="7"/>
  <c r="W14" i="7"/>
  <c r="W41" i="7"/>
  <c r="W45" i="7" s="1"/>
  <c r="W43" i="7"/>
  <c r="W47" i="7" s="1"/>
  <c r="E19" i="7"/>
  <c r="W11" i="4"/>
  <c r="W14" i="4" s="1"/>
  <c r="Y41" i="3"/>
  <c r="M19" i="7"/>
  <c r="Q19" i="7"/>
  <c r="V28" i="7"/>
  <c r="V33" i="7" s="1"/>
  <c r="V18" i="7"/>
  <c r="G19" i="7"/>
  <c r="J17" i="7"/>
  <c r="R17" i="7"/>
  <c r="Z17" i="7"/>
  <c r="AH17" i="7"/>
  <c r="K17" i="7"/>
  <c r="K19" i="7" s="1"/>
  <c r="S17" i="7"/>
  <c r="S19" i="7" s="1"/>
  <c r="AA17" i="7"/>
  <c r="D17" i="7"/>
  <c r="L17" i="7"/>
  <c r="L19" i="7" s="1"/>
  <c r="T17" i="7"/>
  <c r="T19" i="7" s="1"/>
  <c r="AB17" i="7"/>
  <c r="E17" i="7"/>
  <c r="M17" i="7"/>
  <c r="U17" i="7"/>
  <c r="U19" i="7" s="1"/>
  <c r="AC17" i="7"/>
  <c r="F17" i="7"/>
  <c r="F19" i="7" s="1"/>
  <c r="V17" i="7"/>
  <c r="G17" i="7"/>
  <c r="W17" i="7"/>
  <c r="H17" i="7"/>
  <c r="H19" i="7" s="1"/>
  <c r="X17" i="7"/>
  <c r="I17" i="7"/>
  <c r="I19" i="7" s="1"/>
  <c r="Y17" i="7"/>
  <c r="P17" i="7"/>
  <c r="AF17" i="7"/>
  <c r="Q17" i="7"/>
  <c r="AD17" i="7"/>
  <c r="AE17" i="7"/>
  <c r="AG17" i="7"/>
  <c r="N17" i="7"/>
  <c r="N19" i="7" s="1"/>
  <c r="B32" i="7"/>
  <c r="B46" i="7"/>
  <c r="O17" i="7"/>
  <c r="O19" i="7" s="1"/>
  <c r="V45" i="7"/>
  <c r="X6" i="19"/>
  <c r="X6" i="7"/>
  <c r="X35" i="3"/>
  <c r="X36" i="3" s="1"/>
  <c r="X38" i="3" s="1"/>
  <c r="W6" i="25"/>
  <c r="Y21" i="3"/>
  <c r="W6" i="4"/>
  <c r="V6" i="8"/>
  <c r="Y7" i="3"/>
  <c r="V19" i="7"/>
  <c r="R19" i="7"/>
  <c r="C11" i="2"/>
  <c r="B22" i="2"/>
  <c r="B27" i="2"/>
  <c r="B30" i="2"/>
  <c r="B32" i="2"/>
  <c r="B38" i="2"/>
  <c r="B41" i="2"/>
  <c r="B45" i="2"/>
  <c r="B25" i="2"/>
  <c r="C18" i="19"/>
  <c r="C20" i="19" s="1"/>
  <c r="C25" i="19" s="1"/>
  <c r="B23" i="2"/>
  <c r="B24" i="2"/>
  <c r="B37" i="2"/>
  <c r="B40" i="2"/>
  <c r="B44" i="2"/>
  <c r="B55" i="2"/>
  <c r="D58" i="2"/>
  <c r="C62" i="2" s="1"/>
  <c r="B26" i="2"/>
  <c r="B42" i="2"/>
  <c r="B28" i="2"/>
  <c r="B33" i="2"/>
  <c r="B43" i="2"/>
  <c r="B29" i="2"/>
  <c r="B49" i="2"/>
  <c r="B53" i="2"/>
  <c r="B39" i="2"/>
  <c r="B54" i="2"/>
  <c r="B47" i="2"/>
  <c r="B31" i="2"/>
  <c r="AG51" i="25"/>
  <c r="M51" i="25" s="1"/>
  <c r="B48" i="2"/>
  <c r="B20" i="2"/>
  <c r="B21" i="2"/>
  <c r="B19" i="2"/>
  <c r="B46" i="2"/>
  <c r="P19" i="7"/>
  <c r="D19" i="7"/>
  <c r="D21" i="7" s="1"/>
  <c r="E21" i="7" s="1"/>
  <c r="F21" i="7" s="1"/>
  <c r="G21" i="7" s="1"/>
  <c r="H21" i="7" s="1"/>
  <c r="I21" i="7" s="1"/>
  <c r="J21" i="7" s="1"/>
  <c r="K21" i="7" s="1"/>
  <c r="L21" i="7" s="1"/>
  <c r="M21" i="7" s="1"/>
  <c r="N21" i="7" s="1"/>
  <c r="O21" i="7" s="1"/>
  <c r="P21" i="7" s="1"/>
  <c r="Q21" i="7" s="1"/>
  <c r="R21" i="7" s="1"/>
  <c r="S21" i="7" s="1"/>
  <c r="T21" i="7" s="1"/>
  <c r="U21" i="7" s="1"/>
  <c r="V21" i="7" s="1"/>
  <c r="J19" i="7"/>
  <c r="X7" i="19"/>
  <c r="X7" i="7"/>
  <c r="W7" i="4"/>
  <c r="W4" i="29"/>
  <c r="V7" i="8"/>
  <c r="W7" i="25"/>
  <c r="Y8" i="3"/>
  <c r="W19" i="7" l="1"/>
  <c r="W21" i="7" s="1"/>
  <c r="Y7" i="19"/>
  <c r="Y7" i="7"/>
  <c r="X7" i="4"/>
  <c r="X7" i="25"/>
  <c r="Z8" i="3"/>
  <c r="W7" i="8"/>
  <c r="X4" i="29"/>
  <c r="E46" i="7"/>
  <c r="E48" i="7" s="1"/>
  <c r="D36" i="4" s="1"/>
  <c r="C11" i="8" s="1"/>
  <c r="M46" i="7"/>
  <c r="U46" i="7"/>
  <c r="U48" i="7" s="1"/>
  <c r="T36" i="4" s="1"/>
  <c r="S11" i="8" s="1"/>
  <c r="AC46" i="7"/>
  <c r="N46" i="7"/>
  <c r="V46" i="7"/>
  <c r="AD46" i="7"/>
  <c r="Q46" i="7"/>
  <c r="Q48" i="7" s="1"/>
  <c r="P36" i="4" s="1"/>
  <c r="O11" i="8" s="1"/>
  <c r="Y46" i="7"/>
  <c r="AG46" i="7"/>
  <c r="J46" i="7"/>
  <c r="W46" i="7"/>
  <c r="W48" i="7" s="1"/>
  <c r="V36" i="4" s="1"/>
  <c r="U11" i="8" s="1"/>
  <c r="X46" i="7"/>
  <c r="L46" i="7"/>
  <c r="Z46" i="7"/>
  <c r="AF46" i="7"/>
  <c r="AH46" i="7"/>
  <c r="H46" i="7"/>
  <c r="P46" i="7"/>
  <c r="P48" i="7" s="1"/>
  <c r="O36" i="4" s="1"/>
  <c r="N11" i="8" s="1"/>
  <c r="AB46" i="7"/>
  <c r="R46" i="7"/>
  <c r="T46" i="7"/>
  <c r="AE46" i="7"/>
  <c r="O46" i="7"/>
  <c r="K46" i="7"/>
  <c r="K48" i="7" s="1"/>
  <c r="J36" i="4" s="1"/>
  <c r="I11" i="8" s="1"/>
  <c r="AA46" i="7"/>
  <c r="S46" i="7"/>
  <c r="S48" i="7" s="1"/>
  <c r="R36" i="4" s="1"/>
  <c r="Q11" i="8" s="1"/>
  <c r="F46" i="7"/>
  <c r="F48" i="7" s="1"/>
  <c r="E36" i="4" s="1"/>
  <c r="D11" i="8" s="1"/>
  <c r="G46" i="7"/>
  <c r="D46" i="7"/>
  <c r="I46" i="7"/>
  <c r="I48" i="7" s="1"/>
  <c r="H36" i="4" s="1"/>
  <c r="G11" i="8" s="1"/>
  <c r="E32" i="7"/>
  <c r="M32" i="7"/>
  <c r="U32" i="7"/>
  <c r="U34" i="7" s="1"/>
  <c r="S12" i="8" s="1"/>
  <c r="AC32" i="7"/>
  <c r="J32" i="7"/>
  <c r="J34" i="7" s="1"/>
  <c r="H12" i="8" s="1"/>
  <c r="R32" i="7"/>
  <c r="Z32" i="7"/>
  <c r="AH32" i="7"/>
  <c r="H32" i="7"/>
  <c r="X32" i="7"/>
  <c r="Y32" i="7"/>
  <c r="K32" i="7"/>
  <c r="L32" i="7"/>
  <c r="L34" i="7" s="1"/>
  <c r="J12" i="8" s="1"/>
  <c r="AB32" i="7"/>
  <c r="P32" i="7"/>
  <c r="Q32" i="7"/>
  <c r="T32" i="7"/>
  <c r="T34" i="7" s="1"/>
  <c r="R12" i="8" s="1"/>
  <c r="AG32" i="7"/>
  <c r="AF32" i="7"/>
  <c r="S32" i="7"/>
  <c r="V32" i="7"/>
  <c r="W32" i="7"/>
  <c r="AA32" i="7"/>
  <c r="AD32" i="7"/>
  <c r="N32" i="7"/>
  <c r="AE32" i="7"/>
  <c r="O32" i="7"/>
  <c r="O34" i="7" s="1"/>
  <c r="M12" i="8" s="1"/>
  <c r="F32" i="7"/>
  <c r="G32" i="7"/>
  <c r="G34" i="7" s="1"/>
  <c r="E12" i="8" s="1"/>
  <c r="D32" i="7"/>
  <c r="I32" i="7"/>
  <c r="V34" i="7"/>
  <c r="T12" i="8" s="1"/>
  <c r="H48" i="7"/>
  <c r="G36" i="4" s="1"/>
  <c r="F11" i="8" s="1"/>
  <c r="Q34" i="7"/>
  <c r="O12" i="8" s="1"/>
  <c r="G48" i="7"/>
  <c r="F36" i="4" s="1"/>
  <c r="E11" i="8" s="1"/>
  <c r="X14" i="7"/>
  <c r="X41" i="7"/>
  <c r="X45" i="7" s="1"/>
  <c r="X43" i="7"/>
  <c r="X47" i="7" s="1"/>
  <c r="F34" i="7"/>
  <c r="D12" i="8" s="1"/>
  <c r="N48" i="7"/>
  <c r="M36" i="4" s="1"/>
  <c r="L11" i="8" s="1"/>
  <c r="W28" i="7"/>
  <c r="W33" i="7" s="1"/>
  <c r="W18" i="7"/>
  <c r="P34" i="7"/>
  <c r="N12" i="8" s="1"/>
  <c r="M48" i="7"/>
  <c r="L36" i="4" s="1"/>
  <c r="K11" i="8" s="1"/>
  <c r="R34" i="7"/>
  <c r="P12" i="8" s="1"/>
  <c r="Y6" i="19"/>
  <c r="Y6" i="7"/>
  <c r="X6" i="4"/>
  <c r="Z21" i="3"/>
  <c r="Z7" i="3"/>
  <c r="X6" i="25"/>
  <c r="Y35" i="3"/>
  <c r="Y36" i="3" s="1"/>
  <c r="Y38" i="3" s="1"/>
  <c r="W6" i="8"/>
  <c r="V48" i="7"/>
  <c r="U36" i="4" s="1"/>
  <c r="T11" i="8" s="1"/>
  <c r="D34" i="7"/>
  <c r="B12" i="8" s="1"/>
  <c r="I34" i="7"/>
  <c r="G12" i="8" s="1"/>
  <c r="W34" i="7"/>
  <c r="U12" i="8" s="1"/>
  <c r="T48" i="7"/>
  <c r="S36" i="4" s="1"/>
  <c r="R11" i="8" s="1"/>
  <c r="L48" i="7"/>
  <c r="K36" i="4" s="1"/>
  <c r="J11" i="8" s="1"/>
  <c r="D48" i="7"/>
  <c r="O48" i="7"/>
  <c r="N36" i="4" s="1"/>
  <c r="M11" i="8" s="1"/>
  <c r="B50" i="2"/>
  <c r="K34" i="7"/>
  <c r="I12" i="8" s="1"/>
  <c r="B34" i="2"/>
  <c r="X11" i="4"/>
  <c r="X14" i="4" s="1"/>
  <c r="Z41" i="3"/>
  <c r="B34" i="7"/>
  <c r="M34" i="7"/>
  <c r="K12" i="8" s="1"/>
  <c r="B48" i="7"/>
  <c r="N34" i="7"/>
  <c r="L12" i="8" s="1"/>
  <c r="B56" i="2"/>
  <c r="B58" i="2" s="1"/>
  <c r="B11" i="2"/>
  <c r="C14" i="2"/>
  <c r="H47" i="2"/>
  <c r="D41" i="19"/>
  <c r="L41" i="19"/>
  <c r="T41" i="19"/>
  <c r="AB41" i="19"/>
  <c r="E41" i="19"/>
  <c r="M41" i="19"/>
  <c r="U41" i="19"/>
  <c r="AC41" i="19"/>
  <c r="D11" i="2"/>
  <c r="F41" i="19"/>
  <c r="N41" i="19"/>
  <c r="V41" i="19"/>
  <c r="AD41" i="19"/>
  <c r="C41" i="19"/>
  <c r="C43" i="19" s="1"/>
  <c r="C45" i="19" s="1"/>
  <c r="C47" i="19" s="1"/>
  <c r="K41" i="19"/>
  <c r="S41" i="19"/>
  <c r="AA41" i="19"/>
  <c r="H41" i="19"/>
  <c r="X41" i="19"/>
  <c r="I41" i="19"/>
  <c r="Y41" i="19"/>
  <c r="J41" i="19"/>
  <c r="Z41" i="19"/>
  <c r="H48" i="2"/>
  <c r="O41" i="19"/>
  <c r="AE41" i="19"/>
  <c r="P41" i="19"/>
  <c r="AF41" i="19"/>
  <c r="G41" i="19"/>
  <c r="Q41" i="19"/>
  <c r="R41" i="19"/>
  <c r="W41" i="19"/>
  <c r="AG41" i="19"/>
  <c r="AH41" i="19"/>
  <c r="B36" i="25"/>
  <c r="B38" i="25" s="1"/>
  <c r="B42" i="25"/>
  <c r="B45" i="25" s="1"/>
  <c r="B56" i="25"/>
  <c r="B59" i="25" s="1"/>
  <c r="B49" i="25"/>
  <c r="B52" i="25" s="1"/>
  <c r="B25" i="25"/>
  <c r="S34" i="7"/>
  <c r="Q12" i="8" s="1"/>
  <c r="H34" i="7"/>
  <c r="F12" i="8" s="1"/>
  <c r="E34" i="7"/>
  <c r="C12" i="8" s="1"/>
  <c r="R48" i="7"/>
  <c r="Q36" i="4" s="1"/>
  <c r="P11" i="8" s="1"/>
  <c r="J48" i="7"/>
  <c r="I36" i="4" s="1"/>
  <c r="H11" i="8" s="1"/>
  <c r="B29" i="25" l="1"/>
  <c r="C25" i="25" s="1"/>
  <c r="C26" i="25"/>
  <c r="D14" i="2"/>
  <c r="B14" i="2"/>
  <c r="B12" i="2"/>
  <c r="B36" i="7"/>
  <c r="D36" i="7"/>
  <c r="E36" i="7" s="1"/>
  <c r="F36" i="7" s="1"/>
  <c r="G36" i="7" s="1"/>
  <c r="H36" i="7" s="1"/>
  <c r="I36" i="7" s="1"/>
  <c r="J36" i="7" s="1"/>
  <c r="K36" i="7" s="1"/>
  <c r="L36" i="7" s="1"/>
  <c r="M36" i="7" s="1"/>
  <c r="N36" i="7" s="1"/>
  <c r="O36" i="7" s="1"/>
  <c r="P36" i="7" s="1"/>
  <c r="Q36" i="7" s="1"/>
  <c r="R36" i="7" s="1"/>
  <c r="S36" i="7" s="1"/>
  <c r="T36" i="7" s="1"/>
  <c r="U36" i="7" s="1"/>
  <c r="V36" i="7" s="1"/>
  <c r="W36" i="7" s="1"/>
  <c r="Y11" i="4"/>
  <c r="Y14" i="4" s="1"/>
  <c r="AA41" i="3"/>
  <c r="J19" i="19"/>
  <c r="R19" i="19"/>
  <c r="K19" i="19"/>
  <c r="S19" i="19"/>
  <c r="D19" i="19"/>
  <c r="L19" i="19"/>
  <c r="T19" i="19"/>
  <c r="F19" i="19"/>
  <c r="N19" i="19"/>
  <c r="I19" i="19"/>
  <c r="Q19" i="19"/>
  <c r="V19" i="19"/>
  <c r="E19" i="19"/>
  <c r="W19" i="19"/>
  <c r="G19" i="19"/>
  <c r="X19" i="19"/>
  <c r="H19" i="19"/>
  <c r="M19" i="19"/>
  <c r="O19" i="19"/>
  <c r="P19" i="19"/>
  <c r="U19" i="19"/>
  <c r="C36" i="4"/>
  <c r="B11" i="8" s="1"/>
  <c r="X48" i="7"/>
  <c r="W36" i="4" s="1"/>
  <c r="V11" i="8" s="1"/>
  <c r="I18" i="19"/>
  <c r="Q18" i="19"/>
  <c r="Q20" i="19" s="1"/>
  <c r="Q25" i="19" s="1"/>
  <c r="Y18" i="19"/>
  <c r="AG18" i="19"/>
  <c r="J18" i="19"/>
  <c r="J20" i="19" s="1"/>
  <c r="J25" i="19" s="1"/>
  <c r="R18" i="19"/>
  <c r="R20" i="19" s="1"/>
  <c r="R25" i="19" s="1"/>
  <c r="Z18" i="19"/>
  <c r="AH18" i="19"/>
  <c r="K18" i="19"/>
  <c r="S18" i="19"/>
  <c r="S20" i="19" s="1"/>
  <c r="S25" i="19" s="1"/>
  <c r="AA18" i="19"/>
  <c r="E18" i="19"/>
  <c r="M18" i="19"/>
  <c r="M20" i="19" s="1"/>
  <c r="M25" i="19" s="1"/>
  <c r="U18" i="19"/>
  <c r="U20" i="19" s="1"/>
  <c r="U25" i="19" s="1"/>
  <c r="AC18" i="19"/>
  <c r="H18" i="19"/>
  <c r="H20" i="19" s="1"/>
  <c r="H25" i="19" s="1"/>
  <c r="P18" i="19"/>
  <c r="X18" i="19"/>
  <c r="X20" i="19" s="1"/>
  <c r="X25" i="19" s="1"/>
  <c r="AF18" i="19"/>
  <c r="L18" i="19"/>
  <c r="L20" i="19" s="1"/>
  <c r="L25" i="19" s="1"/>
  <c r="AE18" i="19"/>
  <c r="N18" i="19"/>
  <c r="O18" i="19"/>
  <c r="O20" i="19" s="1"/>
  <c r="O25" i="19" s="1"/>
  <c r="T18" i="19"/>
  <c r="V18" i="19"/>
  <c r="G18" i="19"/>
  <c r="W18" i="19"/>
  <c r="W20" i="19" s="1"/>
  <c r="W25" i="19" s="1"/>
  <c r="AB18" i="19"/>
  <c r="AD18" i="19"/>
  <c r="D18" i="19"/>
  <c r="D20" i="19" s="1"/>
  <c r="D25" i="19" s="1"/>
  <c r="F18" i="19"/>
  <c r="F20" i="19" s="1"/>
  <c r="F25" i="19" s="1"/>
  <c r="B50" i="7"/>
  <c r="D50" i="7"/>
  <c r="X18" i="7"/>
  <c r="X19" i="7" s="1"/>
  <c r="X21" i="7" s="1"/>
  <c r="X28" i="7"/>
  <c r="X33" i="7" s="1"/>
  <c r="X34" i="7" s="1"/>
  <c r="V12" i="8" s="1"/>
  <c r="Z7" i="7"/>
  <c r="Z7" i="19"/>
  <c r="Y7" i="4"/>
  <c r="Y4" i="29"/>
  <c r="AA8" i="3"/>
  <c r="Y7" i="25"/>
  <c r="X7" i="8"/>
  <c r="Y14" i="7"/>
  <c r="Y41" i="7"/>
  <c r="Y45" i="7" s="1"/>
  <c r="Y48" i="7" s="1"/>
  <c r="X36" i="4" s="1"/>
  <c r="W11" i="8" s="1"/>
  <c r="Y43" i="7"/>
  <c r="Y47" i="7" s="1"/>
  <c r="Z6" i="19"/>
  <c r="Z6" i="7"/>
  <c r="Y6" i="4"/>
  <c r="AA7" i="3"/>
  <c r="AA21" i="3" s="1"/>
  <c r="Z35" i="3"/>
  <c r="Z36" i="3" s="1"/>
  <c r="Z38" i="3" s="1"/>
  <c r="Y6" i="25"/>
  <c r="X6" i="8"/>
  <c r="Y21" i="7" l="1"/>
  <c r="Y28" i="7"/>
  <c r="Y33" i="7" s="1"/>
  <c r="Y34" i="7" s="1"/>
  <c r="W12" i="8" s="1"/>
  <c r="Y18" i="7"/>
  <c r="Y19" i="7" s="1"/>
  <c r="E20" i="19"/>
  <c r="E25" i="19" s="1"/>
  <c r="G20" i="19"/>
  <c r="G25" i="19" s="1"/>
  <c r="AA7" i="19"/>
  <c r="AA7" i="7"/>
  <c r="AB8" i="3"/>
  <c r="Z4" i="29"/>
  <c r="Z7" i="4"/>
  <c r="Z7" i="25"/>
  <c r="Y7" i="8"/>
  <c r="V20" i="19"/>
  <c r="V25" i="19" s="1"/>
  <c r="P20" i="19"/>
  <c r="P25" i="19" s="1"/>
  <c r="I20" i="19"/>
  <c r="I25" i="19" s="1"/>
  <c r="X36" i="7"/>
  <c r="E50" i="7"/>
  <c r="C26" i="4"/>
  <c r="K20" i="19"/>
  <c r="K25" i="19" s="1"/>
  <c r="T20" i="19"/>
  <c r="T25" i="19" s="1"/>
  <c r="Y19" i="19"/>
  <c r="Y20" i="19" s="1"/>
  <c r="Y25" i="19" s="1"/>
  <c r="Z11" i="4"/>
  <c r="Z14" i="4" s="1"/>
  <c r="AB41" i="3"/>
  <c r="AA6" i="19"/>
  <c r="AA6" i="7"/>
  <c r="Z6" i="4"/>
  <c r="AA35" i="3"/>
  <c r="AA36" i="3" s="1"/>
  <c r="AA38" i="3" s="1"/>
  <c r="AB7" i="3"/>
  <c r="AB21" i="3"/>
  <c r="Y6" i="8"/>
  <c r="Z6" i="25"/>
  <c r="Z14" i="7"/>
  <c r="Z41" i="7"/>
  <c r="Z45" i="7" s="1"/>
  <c r="Z43" i="7"/>
  <c r="Z47" i="7" s="1"/>
  <c r="N20" i="19"/>
  <c r="N25" i="19" s="1"/>
  <c r="AA14" i="7" l="1"/>
  <c r="AA43" i="7"/>
  <c r="AA47" i="7" s="1"/>
  <c r="AA41" i="7"/>
  <c r="AA45" i="7" s="1"/>
  <c r="AA48" i="7" s="1"/>
  <c r="Z36" i="4" s="1"/>
  <c r="Y11" i="8" s="1"/>
  <c r="AA11" i="4"/>
  <c r="AA14" i="4" s="1"/>
  <c r="AC41" i="3"/>
  <c r="F50" i="7"/>
  <c r="D26" i="4"/>
  <c r="D32" i="4" s="1"/>
  <c r="D34" i="4" s="1"/>
  <c r="Z18" i="7"/>
  <c r="Z19" i="7" s="1"/>
  <c r="Z28" i="7"/>
  <c r="Z33" i="7" s="1"/>
  <c r="Z34" i="7" s="1"/>
  <c r="X12" i="8" s="1"/>
  <c r="N31" i="2"/>
  <c r="O31" i="2" s="1"/>
  <c r="C32" i="4"/>
  <c r="C34" i="4" s="1"/>
  <c r="AB6" i="19"/>
  <c r="AB6" i="7"/>
  <c r="AA6" i="4"/>
  <c r="AC7" i="3"/>
  <c r="AB35" i="3"/>
  <c r="AB36" i="3" s="1"/>
  <c r="AB38" i="3" s="1"/>
  <c r="AA6" i="25"/>
  <c r="Z6" i="8"/>
  <c r="Y36" i="7"/>
  <c r="Z48" i="7"/>
  <c r="AB7" i="19"/>
  <c r="AB7" i="7"/>
  <c r="AA7" i="4"/>
  <c r="AA4" i="29"/>
  <c r="AA7" i="25"/>
  <c r="AC8" i="3"/>
  <c r="Z7" i="8"/>
  <c r="Z21" i="7"/>
  <c r="C74" i="2" l="1"/>
  <c r="C38" i="6"/>
  <c r="D38" i="4"/>
  <c r="D11" i="25"/>
  <c r="C29" i="6"/>
  <c r="C11" i="6" s="1"/>
  <c r="C13" i="6" s="1"/>
  <c r="AA21" i="7"/>
  <c r="B74" i="2"/>
  <c r="C38" i="4"/>
  <c r="C11" i="25"/>
  <c r="C13" i="25" s="1"/>
  <c r="B38" i="6"/>
  <c r="G50" i="7"/>
  <c r="E26" i="4"/>
  <c r="E32" i="4" s="1"/>
  <c r="E34" i="4" s="1"/>
  <c r="AB11" i="4"/>
  <c r="AB14" i="4" s="1"/>
  <c r="AD41" i="3"/>
  <c r="AC7" i="19"/>
  <c r="AC7" i="7"/>
  <c r="AB7" i="4"/>
  <c r="AB4" i="29"/>
  <c r="AD8" i="3"/>
  <c r="AB7" i="25"/>
  <c r="AA7" i="8"/>
  <c r="AC6" i="19"/>
  <c r="AB6" i="4"/>
  <c r="AC6" i="7"/>
  <c r="AC35" i="3"/>
  <c r="AC36" i="3" s="1"/>
  <c r="AC38" i="3" s="1"/>
  <c r="AA6" i="8"/>
  <c r="AB6" i="25"/>
  <c r="AD7" i="3"/>
  <c r="Y36" i="4"/>
  <c r="X11" i="8" s="1"/>
  <c r="Z19" i="19"/>
  <c r="Z20" i="19" s="1"/>
  <c r="Z25" i="19" s="1"/>
  <c r="AA19" i="19"/>
  <c r="AA20" i="19" s="1"/>
  <c r="AA25" i="19" s="1"/>
  <c r="AC21" i="3"/>
  <c r="Z36" i="7"/>
  <c r="AA36" i="7" s="1"/>
  <c r="AA18" i="7"/>
  <c r="AA19" i="7" s="1"/>
  <c r="AA28" i="7"/>
  <c r="AA33" i="7" s="1"/>
  <c r="AA34" i="7" s="1"/>
  <c r="Y12" i="8" s="1"/>
  <c r="AB14" i="7"/>
  <c r="AB41" i="7"/>
  <c r="AB45" i="7" s="1"/>
  <c r="AB48" i="7" s="1"/>
  <c r="AA36" i="4" s="1"/>
  <c r="Z11" i="8" s="1"/>
  <c r="AB43" i="7"/>
  <c r="AB47" i="7" s="1"/>
  <c r="AD6" i="19" l="1"/>
  <c r="AD6" i="7"/>
  <c r="AC6" i="4"/>
  <c r="AE7" i="3"/>
  <c r="AD35" i="3"/>
  <c r="AD36" i="3" s="1"/>
  <c r="AD38" i="3" s="1"/>
  <c r="AC6" i="25"/>
  <c r="AB6" i="8"/>
  <c r="AC11" i="4"/>
  <c r="AC14" i="4" s="1"/>
  <c r="AE41" i="3"/>
  <c r="D74" i="2"/>
  <c r="D38" i="6"/>
  <c r="E11" i="25"/>
  <c r="E38" i="4"/>
  <c r="D29" i="6"/>
  <c r="AB18" i="7"/>
  <c r="AB19" i="7" s="1"/>
  <c r="AB21" i="7" s="1"/>
  <c r="AB28" i="7"/>
  <c r="AB33" i="7" s="1"/>
  <c r="AB34" i="7" s="1"/>
  <c r="Z12" i="8" s="1"/>
  <c r="AD7" i="19"/>
  <c r="AC7" i="4"/>
  <c r="AD7" i="7"/>
  <c r="AC4" i="29"/>
  <c r="AC7" i="25"/>
  <c r="AE8" i="3"/>
  <c r="AB7" i="8"/>
  <c r="AD21" i="3"/>
  <c r="H50" i="7"/>
  <c r="F26" i="4"/>
  <c r="F32" i="4" s="1"/>
  <c r="F34" i="4" s="1"/>
  <c r="AB36" i="7"/>
  <c r="AB19" i="19"/>
  <c r="AB20" i="19" s="1"/>
  <c r="AB25" i="19" s="1"/>
  <c r="B11" i="6"/>
  <c r="B13" i="6" s="1"/>
  <c r="B37" i="6" s="1"/>
  <c r="AC14" i="7"/>
  <c r="AC41" i="7"/>
  <c r="AC45" i="7" s="1"/>
  <c r="AC43" i="7"/>
  <c r="AC47" i="7" s="1"/>
  <c r="B76" i="2"/>
  <c r="AE6" i="19" l="1"/>
  <c r="AE6" i="7"/>
  <c r="AD6" i="4"/>
  <c r="AF21" i="3"/>
  <c r="AC6" i="8"/>
  <c r="AE35" i="3"/>
  <c r="AE36" i="3" s="1"/>
  <c r="AE38" i="3" s="1"/>
  <c r="AF7" i="3"/>
  <c r="AD6" i="25"/>
  <c r="AE7" i="19"/>
  <c r="AE7" i="7"/>
  <c r="AD7" i="4"/>
  <c r="AF8" i="3"/>
  <c r="AD7" i="25"/>
  <c r="AD4" i="29"/>
  <c r="AC7" i="8"/>
  <c r="AD11" i="4"/>
  <c r="AD14" i="4" s="1"/>
  <c r="AF41" i="3"/>
  <c r="AC28" i="7"/>
  <c r="AC33" i="7" s="1"/>
  <c r="AC34" i="7" s="1"/>
  <c r="AA12" i="8" s="1"/>
  <c r="AC18" i="7"/>
  <c r="AC19" i="7" s="1"/>
  <c r="AC21" i="7" s="1"/>
  <c r="AD41" i="7"/>
  <c r="AD45" i="7" s="1"/>
  <c r="AD48" i="7" s="1"/>
  <c r="AC36" i="4" s="1"/>
  <c r="AB11" i="8" s="1"/>
  <c r="AD43" i="7"/>
  <c r="AD47" i="7" s="1"/>
  <c r="AD14" i="7"/>
  <c r="F38" i="4"/>
  <c r="E38" i="6"/>
  <c r="F11" i="25"/>
  <c r="E29" i="6"/>
  <c r="E11" i="6" s="1"/>
  <c r="E13" i="6" s="1"/>
  <c r="I50" i="7"/>
  <c r="G26" i="4"/>
  <c r="G32" i="4" s="1"/>
  <c r="G34" i="4" s="1"/>
  <c r="D11" i="6"/>
  <c r="D13" i="6" s="1"/>
  <c r="AE21" i="3"/>
  <c r="AC48" i="7"/>
  <c r="B42" i="6"/>
  <c r="B35" i="6"/>
  <c r="B39" i="6" s="1"/>
  <c r="J50" i="7" l="1"/>
  <c r="H26" i="4"/>
  <c r="H32" i="4" s="1"/>
  <c r="H34" i="4" s="1"/>
  <c r="B48" i="6"/>
  <c r="B56" i="6"/>
  <c r="AE43" i="7"/>
  <c r="AE47" i="7" s="1"/>
  <c r="AE14" i="7"/>
  <c r="AE41" i="7"/>
  <c r="AE45" i="7" s="1"/>
  <c r="AE11" i="4"/>
  <c r="AE14" i="4" s="1"/>
  <c r="AG41" i="3"/>
  <c r="AF7" i="19"/>
  <c r="AF7" i="7"/>
  <c r="AE4" i="29"/>
  <c r="AD7" i="8"/>
  <c r="AG8" i="3"/>
  <c r="AE7" i="25"/>
  <c r="AE7" i="4"/>
  <c r="AD18" i="7"/>
  <c r="AD19" i="7" s="1"/>
  <c r="AD21" i="7" s="1"/>
  <c r="AD28" i="7"/>
  <c r="AD33" i="7" s="1"/>
  <c r="AD34" i="7" s="1"/>
  <c r="AB12" i="8" s="1"/>
  <c r="AC36" i="7"/>
  <c r="B45" i="6"/>
  <c r="C24" i="6" s="1"/>
  <c r="B44" i="6"/>
  <c r="AB36" i="4"/>
  <c r="AA11" i="8" s="1"/>
  <c r="AD19" i="19"/>
  <c r="AD20" i="19" s="1"/>
  <c r="AD25" i="19" s="1"/>
  <c r="AC19" i="19"/>
  <c r="AC20" i="19" s="1"/>
  <c r="AC25" i="19" s="1"/>
  <c r="F38" i="6"/>
  <c r="G38" i="4"/>
  <c r="G11" i="25"/>
  <c r="F29" i="6"/>
  <c r="F11" i="6" s="1"/>
  <c r="F13" i="6" s="1"/>
  <c r="AF6" i="19"/>
  <c r="AF6" i="7"/>
  <c r="AE6" i="4"/>
  <c r="AE6" i="25"/>
  <c r="AG7" i="3"/>
  <c r="AD6" i="8"/>
  <c r="AG21" i="3"/>
  <c r="AF35" i="3"/>
  <c r="AF36" i="3" s="1"/>
  <c r="AF38" i="3" s="1"/>
  <c r="AD36" i="7" l="1"/>
  <c r="AF14" i="7"/>
  <c r="AF43" i="7"/>
  <c r="AF47" i="7" s="1"/>
  <c r="AF41" i="7"/>
  <c r="AF45" i="7" s="1"/>
  <c r="AF48" i="7" s="1"/>
  <c r="H38" i="4"/>
  <c r="H11" i="25"/>
  <c r="G29" i="6"/>
  <c r="G38" i="6"/>
  <c r="AF11" i="4"/>
  <c r="AF14" i="4" s="1"/>
  <c r="AH41" i="3"/>
  <c r="AG11" i="4" s="1"/>
  <c r="AG14" i="4" s="1"/>
  <c r="B50" i="6"/>
  <c r="B52" i="6" s="1"/>
  <c r="C16" i="25"/>
  <c r="K50" i="7"/>
  <c r="I26" i="4"/>
  <c r="I32" i="4" s="1"/>
  <c r="I34" i="4" s="1"/>
  <c r="AG6" i="19"/>
  <c r="AG6" i="7"/>
  <c r="AF6" i="4"/>
  <c r="AH7" i="3"/>
  <c r="AF6" i="25"/>
  <c r="AG35" i="3"/>
  <c r="AG36" i="3" s="1"/>
  <c r="AG38" i="3" s="1"/>
  <c r="AE6" i="8"/>
  <c r="B57" i="6"/>
  <c r="C40" i="4" s="1"/>
  <c r="C42" i="4" s="1"/>
  <c r="AG7" i="19"/>
  <c r="AG7" i="7"/>
  <c r="AF7" i="4"/>
  <c r="AH8" i="3"/>
  <c r="AF7" i="25"/>
  <c r="AF4" i="29"/>
  <c r="AE7" i="8"/>
  <c r="AE48" i="7"/>
  <c r="C28" i="6"/>
  <c r="C27" i="6"/>
  <c r="AE18" i="7"/>
  <c r="AE19" i="7" s="1"/>
  <c r="AE21" i="7" s="1"/>
  <c r="AE28" i="7"/>
  <c r="AE33" i="7" s="1"/>
  <c r="AE34" i="7" s="1"/>
  <c r="AC12" i="8" s="1"/>
  <c r="AF21" i="7" l="1"/>
  <c r="C33" i="6"/>
  <c r="AG41" i="7"/>
  <c r="AG45" i="7" s="1"/>
  <c r="AG43" i="7"/>
  <c r="AG47" i="7" s="1"/>
  <c r="AG14" i="7"/>
  <c r="AE36" i="4"/>
  <c r="AD11" i="8" s="1"/>
  <c r="AF19" i="19"/>
  <c r="AF20" i="19" s="1"/>
  <c r="AF25" i="19" s="1"/>
  <c r="G11" i="6"/>
  <c r="G13" i="6" s="1"/>
  <c r="AF18" i="7"/>
  <c r="AF19" i="7" s="1"/>
  <c r="AF28" i="7"/>
  <c r="AF33" i="7" s="1"/>
  <c r="AF34" i="7" s="1"/>
  <c r="AD12" i="8" s="1"/>
  <c r="C44" i="4"/>
  <c r="C45" i="4" s="1"/>
  <c r="B10" i="8"/>
  <c r="B13" i="8" s="1"/>
  <c r="B58" i="6"/>
  <c r="L50" i="7"/>
  <c r="J26" i="4"/>
  <c r="J32" i="4" s="1"/>
  <c r="J34" i="4" s="1"/>
  <c r="C26" i="6"/>
  <c r="C30" i="6" s="1"/>
  <c r="AH6" i="19"/>
  <c r="AH6" i="7"/>
  <c r="AG6" i="4"/>
  <c r="AG6" i="25"/>
  <c r="AH35" i="3"/>
  <c r="AH36" i="3" s="1"/>
  <c r="AH38" i="3" s="1"/>
  <c r="AF6" i="8"/>
  <c r="AE36" i="7"/>
  <c r="AF36" i="7" s="1"/>
  <c r="AD36" i="4"/>
  <c r="AC11" i="8" s="1"/>
  <c r="AE19" i="19"/>
  <c r="AE20" i="19" s="1"/>
  <c r="AE25" i="19" s="1"/>
  <c r="I38" i="4"/>
  <c r="I11" i="25"/>
  <c r="H38" i="6"/>
  <c r="H29" i="6"/>
  <c r="H11" i="6" s="1"/>
  <c r="H13" i="6" s="1"/>
  <c r="AH7" i="19"/>
  <c r="AH7" i="7"/>
  <c r="AG7" i="4"/>
  <c r="AG7" i="25"/>
  <c r="AF7" i="8"/>
  <c r="AH21" i="3"/>
  <c r="C47" i="4" l="1"/>
  <c r="AG48" i="7"/>
  <c r="J38" i="4"/>
  <c r="J11" i="25"/>
  <c r="I38" i="6"/>
  <c r="I29" i="6"/>
  <c r="I11" i="6" s="1"/>
  <c r="I13" i="6" s="1"/>
  <c r="M50" i="7"/>
  <c r="K26" i="4"/>
  <c r="K32" i="4" s="1"/>
  <c r="K34" i="4" s="1"/>
  <c r="B28" i="8"/>
  <c r="B16" i="8"/>
  <c r="AH14" i="7"/>
  <c r="AH43" i="7"/>
  <c r="AH47" i="7" s="1"/>
  <c r="AH41" i="7"/>
  <c r="AH45" i="7" s="1"/>
  <c r="AG18" i="7"/>
  <c r="AG19" i="7" s="1"/>
  <c r="AG28" i="7"/>
  <c r="AG33" i="7" s="1"/>
  <c r="AG34" i="7" s="1"/>
  <c r="AE12" i="8" s="1"/>
  <c r="C36" i="6"/>
  <c r="C37" i="6" s="1"/>
  <c r="AG21" i="7"/>
  <c r="C42" i="6" l="1"/>
  <c r="C35" i="6"/>
  <c r="AH18" i="7"/>
  <c r="AH19" i="7" s="1"/>
  <c r="AH28" i="7"/>
  <c r="AH33" i="7" s="1"/>
  <c r="AH34" i="7" s="1"/>
  <c r="AF12" i="8" s="1"/>
  <c r="B21" i="8"/>
  <c r="B24" i="8" s="1"/>
  <c r="B19" i="8"/>
  <c r="AF36" i="4"/>
  <c r="AE11" i="8" s="1"/>
  <c r="AG19" i="19"/>
  <c r="AG20" i="19" s="1"/>
  <c r="AG25" i="19" s="1"/>
  <c r="AG36" i="7"/>
  <c r="K38" i="4"/>
  <c r="K11" i="25"/>
  <c r="J38" i="6"/>
  <c r="J29" i="6"/>
  <c r="J11" i="6" s="1"/>
  <c r="J13" i="6" s="1"/>
  <c r="D12" i="25"/>
  <c r="D13" i="25" s="1"/>
  <c r="C49" i="6"/>
  <c r="AH21" i="7"/>
  <c r="AH48" i="7"/>
  <c r="N50" i="7"/>
  <c r="L26" i="4"/>
  <c r="L32" i="4" s="1"/>
  <c r="L34" i="4" s="1"/>
  <c r="D42" i="19"/>
  <c r="D43" i="19" s="1"/>
  <c r="B75" i="2"/>
  <c r="B29" i="8" l="1"/>
  <c r="B30" i="8" s="1"/>
  <c r="AH36" i="7"/>
  <c r="O50" i="7"/>
  <c r="M26" i="4"/>
  <c r="M32" i="4" s="1"/>
  <c r="M34" i="4" s="1"/>
  <c r="B22" i="8"/>
  <c r="C18" i="8" s="1"/>
  <c r="C48" i="6"/>
  <c r="C56" i="6"/>
  <c r="K29" i="6"/>
  <c r="L38" i="4"/>
  <c r="L11" i="25"/>
  <c r="K38" i="6"/>
  <c r="C76" i="2"/>
  <c r="C39" i="6"/>
  <c r="AG36" i="4"/>
  <c r="AF11" i="8" s="1"/>
  <c r="AH19" i="19"/>
  <c r="AH20" i="19" s="1"/>
  <c r="AH25" i="19" s="1"/>
  <c r="C45" i="6"/>
  <c r="D24" i="6" s="1"/>
  <c r="C44" i="6"/>
  <c r="D28" i="6" l="1"/>
  <c r="D27" i="6"/>
  <c r="C57" i="6"/>
  <c r="D40" i="4" s="1"/>
  <c r="D42" i="4" s="1"/>
  <c r="K11" i="6"/>
  <c r="K13" i="6" s="1"/>
  <c r="P50" i="7"/>
  <c r="N26" i="4"/>
  <c r="N32" i="4" s="1"/>
  <c r="N34" i="4" s="1"/>
  <c r="M38" i="4"/>
  <c r="M11" i="25"/>
  <c r="M44" i="25"/>
  <c r="L29" i="6"/>
  <c r="L38" i="6"/>
  <c r="B33" i="8"/>
  <c r="C50" i="6"/>
  <c r="C52" i="6" s="1"/>
  <c r="D16" i="25"/>
  <c r="D33" i="6" l="1"/>
  <c r="D44" i="4"/>
  <c r="D47" i="4" s="1"/>
  <c r="D45" i="4"/>
  <c r="C10" i="8"/>
  <c r="C13" i="8" s="1"/>
  <c r="L11" i="6"/>
  <c r="L13" i="6" s="1"/>
  <c r="B38" i="8"/>
  <c r="B41" i="8" s="1"/>
  <c r="C15" i="25" s="1"/>
  <c r="B36" i="8"/>
  <c r="D26" i="6"/>
  <c r="D30" i="6" s="1"/>
  <c r="Q50" i="7"/>
  <c r="O26" i="4"/>
  <c r="O32" i="4" s="1"/>
  <c r="O34" i="4" s="1"/>
  <c r="C58" i="6"/>
  <c r="M38" i="6"/>
  <c r="N38" i="4"/>
  <c r="N11" i="25"/>
  <c r="M29" i="6"/>
  <c r="M11" i="6" s="1"/>
  <c r="M13" i="6" s="1"/>
  <c r="E42" i="19" l="1"/>
  <c r="E43" i="19" s="1"/>
  <c r="C75" i="2"/>
  <c r="D36" i="6"/>
  <c r="D37" i="6" s="1"/>
  <c r="C16" i="8"/>
  <c r="C28" i="8"/>
  <c r="O38" i="4"/>
  <c r="O11" i="25"/>
  <c r="N38" i="6"/>
  <c r="N29" i="6"/>
  <c r="N11" i="6" s="1"/>
  <c r="N13" i="6" s="1"/>
  <c r="R50" i="7"/>
  <c r="P26" i="4"/>
  <c r="P32" i="4" s="1"/>
  <c r="P34" i="4" s="1"/>
  <c r="B39" i="8"/>
  <c r="C35" i="8" s="1"/>
  <c r="D32" i="19"/>
  <c r="C18" i="25"/>
  <c r="C21" i="25" s="1"/>
  <c r="D39" i="6" l="1"/>
  <c r="D42" i="6"/>
  <c r="D35" i="6"/>
  <c r="P38" i="4"/>
  <c r="P11" i="25"/>
  <c r="O29" i="6"/>
  <c r="O38" i="6"/>
  <c r="C21" i="8"/>
  <c r="C19" i="8"/>
  <c r="D37" i="19"/>
  <c r="D45" i="19" s="1"/>
  <c r="D47" i="19" s="1"/>
  <c r="B77" i="2"/>
  <c r="C57" i="25"/>
  <c r="C59" i="25" s="1"/>
  <c r="C37" i="25"/>
  <c r="C38" i="25" s="1"/>
  <c r="C50" i="25"/>
  <c r="C52" i="25" s="1"/>
  <c r="C43" i="25"/>
  <c r="C45" i="25" s="1"/>
  <c r="C27" i="25"/>
  <c r="C28" i="25" s="1"/>
  <c r="C29" i="25" s="1"/>
  <c r="D25" i="25" s="1"/>
  <c r="E12" i="25"/>
  <c r="E13" i="25" s="1"/>
  <c r="D49" i="6"/>
  <c r="S50" i="7"/>
  <c r="Q26" i="4"/>
  <c r="Q32" i="4" s="1"/>
  <c r="Q34" i="4" s="1"/>
  <c r="O11" i="6" l="1"/>
  <c r="O13" i="6" s="1"/>
  <c r="D76" i="2"/>
  <c r="C24" i="8"/>
  <c r="D26" i="25"/>
  <c r="D48" i="6"/>
  <c r="D56" i="6"/>
  <c r="R26" i="4"/>
  <c r="R32" i="4" s="1"/>
  <c r="R34" i="4" s="1"/>
  <c r="T50" i="7"/>
  <c r="P38" i="6"/>
  <c r="Q38" i="4"/>
  <c r="Q11" i="25"/>
  <c r="P29" i="6"/>
  <c r="C22" i="8"/>
  <c r="D18" i="8" s="1"/>
  <c r="D45" i="6"/>
  <c r="E24" i="6" s="1"/>
  <c r="D44" i="6"/>
  <c r="E28" i="6" l="1"/>
  <c r="E27" i="6"/>
  <c r="U50" i="7"/>
  <c r="S26" i="4"/>
  <c r="S32" i="4" s="1"/>
  <c r="S34" i="4" s="1"/>
  <c r="C29" i="8"/>
  <c r="C30" i="8" s="1"/>
  <c r="R11" i="25"/>
  <c r="R38" i="4"/>
  <c r="Q38" i="6"/>
  <c r="Q29" i="6"/>
  <c r="P11" i="6"/>
  <c r="P13" i="6" s="1"/>
  <c r="D50" i="6"/>
  <c r="D52" i="6" s="1"/>
  <c r="E16" i="25"/>
  <c r="D57" i="6"/>
  <c r="E40" i="4" s="1"/>
  <c r="E42" i="4" s="1"/>
  <c r="C33" i="8" l="1"/>
  <c r="E44" i="4"/>
  <c r="E45" i="4" s="1"/>
  <c r="E47" i="4" s="1"/>
  <c r="D10" i="8"/>
  <c r="D13" i="8" s="1"/>
  <c r="Q11" i="6"/>
  <c r="Q13" i="6" s="1"/>
  <c r="V50" i="7"/>
  <c r="T26" i="4"/>
  <c r="T32" i="4" s="1"/>
  <c r="T34" i="4" s="1"/>
  <c r="D58" i="6"/>
  <c r="E33" i="6"/>
  <c r="E30" i="6"/>
  <c r="S38" i="4"/>
  <c r="S11" i="25"/>
  <c r="R29" i="6"/>
  <c r="R38" i="6"/>
  <c r="E26" i="6"/>
  <c r="F42" i="19" l="1"/>
  <c r="F43" i="19" s="1"/>
  <c r="D75" i="2"/>
  <c r="E36" i="6"/>
  <c r="E37" i="6"/>
  <c r="E35" i="6" s="1"/>
  <c r="R11" i="6"/>
  <c r="R13" i="6" s="1"/>
  <c r="U26" i="4"/>
  <c r="U32" i="4" s="1"/>
  <c r="U34" i="4" s="1"/>
  <c r="W50" i="7"/>
  <c r="T38" i="4"/>
  <c r="T11" i="25"/>
  <c r="S29" i="6"/>
  <c r="S38" i="6"/>
  <c r="C38" i="8"/>
  <c r="C36" i="8"/>
  <c r="D28" i="8"/>
  <c r="D16" i="8"/>
  <c r="E56" i="6" l="1"/>
  <c r="E48" i="6"/>
  <c r="C39" i="8"/>
  <c r="D35" i="8" s="1"/>
  <c r="C41" i="8"/>
  <c r="D15" i="25" s="1"/>
  <c r="X50" i="7"/>
  <c r="V26" i="4"/>
  <c r="V32" i="4" s="1"/>
  <c r="V34" i="4" s="1"/>
  <c r="U11" i="25"/>
  <c r="U38" i="4"/>
  <c r="T38" i="6"/>
  <c r="T29" i="6"/>
  <c r="T11" i="6" s="1"/>
  <c r="T13" i="6" s="1"/>
  <c r="E39" i="6"/>
  <c r="E42" i="6"/>
  <c r="D21" i="8"/>
  <c r="D19" i="8"/>
  <c r="F12" i="25"/>
  <c r="F13" i="25" s="1"/>
  <c r="E49" i="6"/>
  <c r="S11" i="6"/>
  <c r="S13" i="6" s="1"/>
  <c r="D24" i="8" l="1"/>
  <c r="E45" i="6"/>
  <c r="F24" i="6" s="1"/>
  <c r="E44" i="6"/>
  <c r="Y50" i="7"/>
  <c r="W26" i="4"/>
  <c r="W32" i="4" s="1"/>
  <c r="W34" i="4" s="1"/>
  <c r="D18" i="25"/>
  <c r="D21" i="25" s="1"/>
  <c r="E32" i="19"/>
  <c r="U38" i="6"/>
  <c r="V38" i="4"/>
  <c r="V11" i="25"/>
  <c r="U29" i="6"/>
  <c r="U11" i="6" s="1"/>
  <c r="U13" i="6" s="1"/>
  <c r="D22" i="8"/>
  <c r="E18" i="8" s="1"/>
  <c r="E50" i="6"/>
  <c r="E52" i="6" s="1"/>
  <c r="F16" i="25"/>
  <c r="V38" i="6" l="1"/>
  <c r="W38" i="4"/>
  <c r="W11" i="25"/>
  <c r="W44" i="25"/>
  <c r="V29" i="6"/>
  <c r="V11" i="6" s="1"/>
  <c r="V13" i="6" s="1"/>
  <c r="Z50" i="7"/>
  <c r="X26" i="4"/>
  <c r="X32" i="4" s="1"/>
  <c r="X34" i="4" s="1"/>
  <c r="E57" i="6"/>
  <c r="F27" i="6"/>
  <c r="F28" i="6" s="1"/>
  <c r="C77" i="2"/>
  <c r="D27" i="25"/>
  <c r="D28" i="25" s="1"/>
  <c r="D29" i="25" s="1"/>
  <c r="E25" i="25" s="1"/>
  <c r="D37" i="25"/>
  <c r="D38" i="25" s="1"/>
  <c r="D50" i="25"/>
  <c r="D52" i="25" s="1"/>
  <c r="D57" i="25"/>
  <c r="D59" i="25" s="1"/>
  <c r="D43" i="25"/>
  <c r="D45" i="25" s="1"/>
  <c r="D29" i="8"/>
  <c r="D30" i="8" s="1"/>
  <c r="E37" i="19"/>
  <c r="E45" i="19" s="1"/>
  <c r="E47" i="19" s="1"/>
  <c r="F33" i="6" l="1"/>
  <c r="F26" i="6"/>
  <c r="F30" i="6" s="1"/>
  <c r="E26" i="25"/>
  <c r="D33" i="8"/>
  <c r="AA50" i="7"/>
  <c r="Y26" i="4"/>
  <c r="Y32" i="4" s="1"/>
  <c r="Y34" i="4" s="1"/>
  <c r="F40" i="4"/>
  <c r="F42" i="4" s="1"/>
  <c r="E58" i="6"/>
  <c r="X38" i="4"/>
  <c r="X11" i="25"/>
  <c r="W38" i="6"/>
  <c r="W29" i="6"/>
  <c r="W11" i="6" s="1"/>
  <c r="W13" i="6" s="1"/>
  <c r="D38" i="8" l="1"/>
  <c r="D36" i="8"/>
  <c r="F44" i="4"/>
  <c r="F45" i="4" s="1"/>
  <c r="F47" i="4" s="1"/>
  <c r="G42" i="19" s="1"/>
  <c r="G43" i="19" s="1"/>
  <c r="E10" i="8"/>
  <c r="E13" i="8" s="1"/>
  <c r="AB50" i="7"/>
  <c r="Z26" i="4"/>
  <c r="Z32" i="4" s="1"/>
  <c r="Z34" i="4" s="1"/>
  <c r="F36" i="6"/>
  <c r="X38" i="6"/>
  <c r="Y38" i="4"/>
  <c r="Y11" i="25"/>
  <c r="X29" i="6"/>
  <c r="D41" i="8" l="1"/>
  <c r="E15" i="25" s="1"/>
  <c r="E16" i="8"/>
  <c r="E28" i="8"/>
  <c r="F49" i="6"/>
  <c r="G12" i="25"/>
  <c r="G13" i="25" s="1"/>
  <c r="F37" i="6"/>
  <c r="AC50" i="7"/>
  <c r="AA26" i="4"/>
  <c r="AA32" i="4" s="1"/>
  <c r="AA34" i="4" s="1"/>
  <c r="X11" i="6"/>
  <c r="X13" i="6" s="1"/>
  <c r="Y38" i="6"/>
  <c r="Z11" i="25"/>
  <c r="Z38" i="4"/>
  <c r="Y29" i="6"/>
  <c r="D39" i="8"/>
  <c r="E35" i="8" s="1"/>
  <c r="AA11" i="25" l="1"/>
  <c r="AA38" i="4"/>
  <c r="Z38" i="6"/>
  <c r="Z29" i="6"/>
  <c r="Z11" i="6" s="1"/>
  <c r="Z13" i="6" s="1"/>
  <c r="F39" i="6"/>
  <c r="F42" i="6"/>
  <c r="F35" i="6"/>
  <c r="E18" i="25"/>
  <c r="E21" i="25" s="1"/>
  <c r="F32" i="19"/>
  <c r="AD50" i="7"/>
  <c r="AB26" i="4"/>
  <c r="AB32" i="4" s="1"/>
  <c r="AB34" i="4" s="1"/>
  <c r="E19" i="8"/>
  <c r="E21" i="8"/>
  <c r="Y11" i="6"/>
  <c r="Y13" i="6" s="1"/>
  <c r="E24" i="8" l="1"/>
  <c r="E22" i="8"/>
  <c r="F18" i="8" s="1"/>
  <c r="F56" i="6"/>
  <c r="F48" i="6"/>
  <c r="F45" i="6"/>
  <c r="G24" i="6" s="1"/>
  <c r="F44" i="6"/>
  <c r="AB38" i="4"/>
  <c r="AB11" i="25"/>
  <c r="AA29" i="6"/>
  <c r="AA11" i="6" s="1"/>
  <c r="AA13" i="6" s="1"/>
  <c r="AA38" i="6"/>
  <c r="AE50" i="7"/>
  <c r="AC26" i="4"/>
  <c r="AC32" i="4" s="1"/>
  <c r="AC34" i="4" s="1"/>
  <c r="F37" i="19"/>
  <c r="F45" i="19" s="1"/>
  <c r="F47" i="19" s="1"/>
  <c r="D77" i="2"/>
  <c r="E27" i="25"/>
  <c r="E28" i="25" s="1"/>
  <c r="E29" i="25" s="1"/>
  <c r="F25" i="25" s="1"/>
  <c r="E37" i="25"/>
  <c r="E38" i="25" s="1"/>
  <c r="E50" i="25"/>
  <c r="E52" i="25" s="1"/>
  <c r="E43" i="25"/>
  <c r="E45" i="25" s="1"/>
  <c r="E57" i="25"/>
  <c r="E59" i="25" s="1"/>
  <c r="F50" i="6" l="1"/>
  <c r="F52" i="6" s="1"/>
  <c r="G16" i="25"/>
  <c r="AC38" i="4"/>
  <c r="AC11" i="25"/>
  <c r="AB29" i="6"/>
  <c r="AB11" i="6" s="1"/>
  <c r="AB13" i="6" s="1"/>
  <c r="AB38" i="6"/>
  <c r="F26" i="25"/>
  <c r="E29" i="8"/>
  <c r="E30" i="8" s="1"/>
  <c r="F57" i="6"/>
  <c r="G40" i="4" s="1"/>
  <c r="G42" i="4" s="1"/>
  <c r="AF50" i="7"/>
  <c r="AD26" i="4"/>
  <c r="AD32" i="4" s="1"/>
  <c r="AD34" i="4" s="1"/>
  <c r="G27" i="6"/>
  <c r="G44" i="4" l="1"/>
  <c r="G45" i="4" s="1"/>
  <c r="G47" i="4" s="1"/>
  <c r="H42" i="19" s="1"/>
  <c r="H43" i="19" s="1"/>
  <c r="F10" i="8"/>
  <c r="F13" i="8" s="1"/>
  <c r="G28" i="6"/>
  <c r="AG50" i="7"/>
  <c r="AE26" i="4"/>
  <c r="AE32" i="4" s="1"/>
  <c r="AE34" i="4" s="1"/>
  <c r="E33" i="8"/>
  <c r="F58" i="6"/>
  <c r="AD38" i="4"/>
  <c r="AD11" i="25"/>
  <c r="AC38" i="6"/>
  <c r="AC29" i="6"/>
  <c r="AC11" i="6" s="1"/>
  <c r="AC13" i="6" s="1"/>
  <c r="G33" i="6" l="1"/>
  <c r="G26" i="6"/>
  <c r="G30" i="6" s="1"/>
  <c r="F16" i="8"/>
  <c r="F28" i="8"/>
  <c r="AD38" i="6"/>
  <c r="AE38" i="4"/>
  <c r="AE11" i="25"/>
  <c r="AD29" i="6"/>
  <c r="AD11" i="6" s="1"/>
  <c r="AD13" i="6" s="1"/>
  <c r="E36" i="8"/>
  <c r="E38" i="8"/>
  <c r="AH50" i="7"/>
  <c r="AG26" i="4" s="1"/>
  <c r="AG32" i="4" s="1"/>
  <c r="AG34" i="4" s="1"/>
  <c r="AF26" i="4"/>
  <c r="AF32" i="4" s="1"/>
  <c r="AF34" i="4" s="1"/>
  <c r="AE29" i="6" l="1"/>
  <c r="AE11" i="6" s="1"/>
  <c r="AE13" i="6" s="1"/>
  <c r="AF38" i="4"/>
  <c r="AG44" i="25"/>
  <c r="AF11" i="25"/>
  <c r="AE38" i="6"/>
  <c r="F19" i="8"/>
  <c r="F21" i="8"/>
  <c r="E41" i="8"/>
  <c r="F15" i="25" s="1"/>
  <c r="AF38" i="6"/>
  <c r="AG38" i="4"/>
  <c r="AG11" i="25"/>
  <c r="AF29" i="6"/>
  <c r="AF11" i="6" s="1"/>
  <c r="AF13" i="6" s="1"/>
  <c r="E39" i="8"/>
  <c r="F35" i="8" s="1"/>
  <c r="G36" i="6"/>
  <c r="H12" i="25" l="1"/>
  <c r="H13" i="25" s="1"/>
  <c r="G49" i="6"/>
  <c r="F24" i="8"/>
  <c r="F18" i="25"/>
  <c r="F21" i="25" s="1"/>
  <c r="G32" i="19"/>
  <c r="G37" i="6"/>
  <c r="F22" i="8"/>
  <c r="G18" i="8" s="1"/>
  <c r="F29" i="8" l="1"/>
  <c r="F30" i="8" s="1"/>
  <c r="G42" i="6"/>
  <c r="G35" i="6"/>
  <c r="G39" i="6" s="1"/>
  <c r="G37" i="19"/>
  <c r="G45" i="19" s="1"/>
  <c r="G47" i="19" s="1"/>
  <c r="F27" i="25"/>
  <c r="F28" i="25" s="1"/>
  <c r="F29" i="25" s="1"/>
  <c r="G25" i="25" s="1"/>
  <c r="F43" i="25"/>
  <c r="F45" i="25" s="1"/>
  <c r="F57" i="25"/>
  <c r="F59" i="25" s="1"/>
  <c r="F37" i="25"/>
  <c r="F38" i="25" s="1"/>
  <c r="F50" i="25"/>
  <c r="F52" i="25" s="1"/>
  <c r="G45" i="6" l="1"/>
  <c r="H24" i="6" s="1"/>
  <c r="G44" i="6"/>
  <c r="G26" i="25"/>
  <c r="G56" i="6"/>
  <c r="G48" i="6"/>
  <c r="F33" i="8"/>
  <c r="G50" i="6" l="1"/>
  <c r="G52" i="6" s="1"/>
  <c r="H16" i="25"/>
  <c r="H27" i="6"/>
  <c r="H28" i="6" s="1"/>
  <c r="F38" i="8"/>
  <c r="F36" i="8"/>
  <c r="G58" i="6"/>
  <c r="G57" i="6"/>
  <c r="H40" i="4" s="1"/>
  <c r="H42" i="4" s="1"/>
  <c r="H33" i="6" l="1"/>
  <c r="H26" i="6"/>
  <c r="H30" i="6" s="1"/>
  <c r="F39" i="8"/>
  <c r="G35" i="8" s="1"/>
  <c r="F41" i="8"/>
  <c r="G15" i="25" s="1"/>
  <c r="H44" i="4"/>
  <c r="H45" i="4"/>
  <c r="H47" i="4"/>
  <c r="I42" i="19" s="1"/>
  <c r="I43" i="19" s="1"/>
  <c r="G10" i="8"/>
  <c r="G13" i="8" s="1"/>
  <c r="H36" i="6" l="1"/>
  <c r="H37" i="6" s="1"/>
  <c r="G16" i="8"/>
  <c r="G28" i="8"/>
  <c r="G18" i="25"/>
  <c r="G21" i="25" s="1"/>
  <c r="H32" i="19"/>
  <c r="H39" i="6" l="1"/>
  <c r="H42" i="6"/>
  <c r="H35" i="6"/>
  <c r="G19" i="8"/>
  <c r="G21" i="8"/>
  <c r="I12" i="25"/>
  <c r="I13" i="25" s="1"/>
  <c r="H49" i="6"/>
  <c r="H37" i="19"/>
  <c r="H45" i="19" s="1"/>
  <c r="H47" i="19" s="1"/>
  <c r="G27" i="25"/>
  <c r="G28" i="25" s="1"/>
  <c r="G29" i="25" s="1"/>
  <c r="H25" i="25" s="1"/>
  <c r="G57" i="25"/>
  <c r="G59" i="25" s="1"/>
  <c r="G43" i="25"/>
  <c r="G45" i="25" s="1"/>
  <c r="G37" i="25"/>
  <c r="G38" i="25" s="1"/>
  <c r="G50" i="25"/>
  <c r="G52" i="25" s="1"/>
  <c r="H26" i="25" l="1"/>
  <c r="G24" i="8"/>
  <c r="G22" i="8"/>
  <c r="H18" i="8" s="1"/>
  <c r="H56" i="6"/>
  <c r="H48" i="6"/>
  <c r="H44" i="6"/>
  <c r="H45" i="6"/>
  <c r="I24" i="6" s="1"/>
  <c r="G29" i="8" l="1"/>
  <c r="G30" i="8" s="1"/>
  <c r="I27" i="6"/>
  <c r="I28" i="6" s="1"/>
  <c r="H57" i="6"/>
  <c r="I40" i="4" s="1"/>
  <c r="I42" i="4" s="1"/>
  <c r="H50" i="6"/>
  <c r="H52" i="6" s="1"/>
  <c r="I16" i="25"/>
  <c r="I33" i="6" l="1"/>
  <c r="I26" i="6"/>
  <c r="I30" i="6" s="1"/>
  <c r="I44" i="4"/>
  <c r="I47" i="4" s="1"/>
  <c r="J42" i="19" s="1"/>
  <c r="J43" i="19" s="1"/>
  <c r="I45" i="4"/>
  <c r="H10" i="8"/>
  <c r="H13" i="8" s="1"/>
  <c r="H58" i="6"/>
  <c r="G33" i="8"/>
  <c r="I36" i="6" l="1"/>
  <c r="I37" i="6"/>
  <c r="G36" i="8"/>
  <c r="G38" i="8"/>
  <c r="H28" i="8"/>
  <c r="H16" i="8"/>
  <c r="G41" i="8" l="1"/>
  <c r="H15" i="25" s="1"/>
  <c r="I42" i="6"/>
  <c r="I35" i="6"/>
  <c r="I39" i="6" s="1"/>
  <c r="G39" i="8"/>
  <c r="H35" i="8" s="1"/>
  <c r="H21" i="8"/>
  <c r="H19" i="8"/>
  <c r="J12" i="25"/>
  <c r="J13" i="25" s="1"/>
  <c r="I49" i="6"/>
  <c r="H22" i="8" l="1"/>
  <c r="I18" i="8" s="1"/>
  <c r="H24" i="8"/>
  <c r="I45" i="6"/>
  <c r="J24" i="6" s="1"/>
  <c r="I44" i="6"/>
  <c r="I56" i="6"/>
  <c r="I48" i="6"/>
  <c r="H18" i="25"/>
  <c r="H21" i="25" s="1"/>
  <c r="I32" i="19"/>
  <c r="I57" i="6" l="1"/>
  <c r="J40" i="4" s="1"/>
  <c r="J42" i="4" s="1"/>
  <c r="I37" i="19"/>
  <c r="I45" i="19" s="1"/>
  <c r="I47" i="19" s="1"/>
  <c r="J27" i="6"/>
  <c r="H50" i="25"/>
  <c r="H52" i="25" s="1"/>
  <c r="H27" i="25"/>
  <c r="H28" i="25" s="1"/>
  <c r="H29" i="25" s="1"/>
  <c r="I25" i="25" s="1"/>
  <c r="H43" i="25"/>
  <c r="H45" i="25" s="1"/>
  <c r="H57" i="25"/>
  <c r="H59" i="25" s="1"/>
  <c r="H37" i="25"/>
  <c r="H38" i="25" s="1"/>
  <c r="I50" i="6"/>
  <c r="I52" i="6" s="1"/>
  <c r="J16" i="25"/>
  <c r="H29" i="8"/>
  <c r="H30" i="8" s="1"/>
  <c r="I26" i="25" l="1"/>
  <c r="H33" i="8"/>
  <c r="I58" i="6"/>
  <c r="J44" i="4"/>
  <c r="J47" i="4" s="1"/>
  <c r="K42" i="19" s="1"/>
  <c r="K43" i="19" s="1"/>
  <c r="J45" i="4"/>
  <c r="I10" i="8"/>
  <c r="I13" i="8" s="1"/>
  <c r="J28" i="6"/>
  <c r="I28" i="8" l="1"/>
  <c r="I16" i="8"/>
  <c r="J33" i="6"/>
  <c r="J26" i="6"/>
  <c r="J30" i="6" s="1"/>
  <c r="H36" i="8"/>
  <c r="H38" i="8"/>
  <c r="H41" i="8" l="1"/>
  <c r="I15" i="25" s="1"/>
  <c r="H39" i="8"/>
  <c r="I35" i="8" s="1"/>
  <c r="J36" i="6"/>
  <c r="I21" i="8"/>
  <c r="I19" i="8"/>
  <c r="K12" i="25" l="1"/>
  <c r="K13" i="25" s="1"/>
  <c r="J49" i="6"/>
  <c r="I18" i="25"/>
  <c r="I21" i="25" s="1"/>
  <c r="J32" i="19"/>
  <c r="J37" i="6"/>
  <c r="I22" i="8"/>
  <c r="J18" i="8" s="1"/>
  <c r="J20" i="8"/>
  <c r="I24" i="8"/>
  <c r="I29" i="8" l="1"/>
  <c r="I30" i="8" s="1"/>
  <c r="J42" i="6"/>
  <c r="J35" i="6"/>
  <c r="J39" i="6" s="1"/>
  <c r="J37" i="19"/>
  <c r="J45" i="19" s="1"/>
  <c r="J47" i="19" s="1"/>
  <c r="I27" i="25"/>
  <c r="I28" i="25" s="1"/>
  <c r="I29" i="25" s="1"/>
  <c r="J25" i="25" s="1"/>
  <c r="I37" i="25"/>
  <c r="I38" i="25" s="1"/>
  <c r="I43" i="25"/>
  <c r="I45" i="25" s="1"/>
  <c r="I57" i="25"/>
  <c r="I59" i="25" s="1"/>
  <c r="I50" i="25"/>
  <c r="I52" i="25" s="1"/>
  <c r="J45" i="6" l="1"/>
  <c r="K24" i="6" s="1"/>
  <c r="J44" i="6"/>
  <c r="J26" i="25"/>
  <c r="J48" i="6"/>
  <c r="J56" i="6"/>
  <c r="I33" i="8"/>
  <c r="K27" i="6" l="1"/>
  <c r="I38" i="8"/>
  <c r="I36" i="8"/>
  <c r="J50" i="6"/>
  <c r="J52" i="6" s="1"/>
  <c r="K16" i="25"/>
  <c r="J57" i="6"/>
  <c r="K40" i="4" s="1"/>
  <c r="K42" i="4" s="1"/>
  <c r="J58" i="6"/>
  <c r="K44" i="4" l="1"/>
  <c r="K45" i="4" s="1"/>
  <c r="K47" i="4" s="1"/>
  <c r="L42" i="19" s="1"/>
  <c r="L43" i="19" s="1"/>
  <c r="J10" i="8"/>
  <c r="J13" i="8" s="1"/>
  <c r="I39" i="8"/>
  <c r="J35" i="8" s="1"/>
  <c r="I41" i="8"/>
  <c r="J15" i="25" s="1"/>
  <c r="K28" i="6"/>
  <c r="K33" i="6" l="1"/>
  <c r="K26" i="6"/>
  <c r="K30" i="6" s="1"/>
  <c r="J18" i="25"/>
  <c r="J21" i="25" s="1"/>
  <c r="K32" i="19"/>
  <c r="J28" i="8"/>
  <c r="J16" i="8"/>
  <c r="K36" i="6" l="1"/>
  <c r="K37" i="19"/>
  <c r="K45" i="19" s="1"/>
  <c r="K47" i="19" s="1"/>
  <c r="J21" i="8"/>
  <c r="J19" i="8"/>
  <c r="J43" i="25"/>
  <c r="J45" i="25" s="1"/>
  <c r="J27" i="25"/>
  <c r="J28" i="25" s="1"/>
  <c r="J29" i="25" s="1"/>
  <c r="K25" i="25" s="1"/>
  <c r="J37" i="25"/>
  <c r="J38" i="25" s="1"/>
  <c r="J50" i="25"/>
  <c r="J52" i="25" s="1"/>
  <c r="J57" i="25"/>
  <c r="J59" i="25" s="1"/>
  <c r="K20" i="8" l="1"/>
  <c r="J24" i="8"/>
  <c r="K26" i="25"/>
  <c r="J22" i="8"/>
  <c r="K18" i="8" s="1"/>
  <c r="K49" i="6"/>
  <c r="L12" i="25"/>
  <c r="L13" i="25" s="1"/>
  <c r="K37" i="6"/>
  <c r="J29" i="8" l="1"/>
  <c r="J30" i="8" s="1"/>
  <c r="K42" i="6"/>
  <c r="K35" i="6"/>
  <c r="K39" i="6" s="1"/>
  <c r="K45" i="6" l="1"/>
  <c r="L24" i="6" s="1"/>
  <c r="K44" i="6"/>
  <c r="J33" i="8"/>
  <c r="K48" i="6"/>
  <c r="K56" i="6"/>
  <c r="L27" i="6" l="1"/>
  <c r="K50" i="6"/>
  <c r="K52" i="6" s="1"/>
  <c r="L16" i="25"/>
  <c r="J38" i="8"/>
  <c r="J36" i="8"/>
  <c r="K57" i="6"/>
  <c r="L40" i="4" s="1"/>
  <c r="L42" i="4" s="1"/>
  <c r="L45" i="4" l="1"/>
  <c r="L47" i="4" s="1"/>
  <c r="M42" i="19" s="1"/>
  <c r="M43" i="19" s="1"/>
  <c r="L44" i="4"/>
  <c r="K10" i="8"/>
  <c r="K13" i="8" s="1"/>
  <c r="K58" i="6"/>
  <c r="J41" i="8"/>
  <c r="K15" i="25" s="1"/>
  <c r="L28" i="6"/>
  <c r="J39" i="8"/>
  <c r="K35" i="8" s="1"/>
  <c r="K16" i="8" l="1"/>
  <c r="K28" i="8"/>
  <c r="L33" i="6"/>
  <c r="L30" i="6"/>
  <c r="B20" i="6"/>
  <c r="L26" i="6"/>
  <c r="K18" i="25"/>
  <c r="K21" i="25" s="1"/>
  <c r="L32" i="19"/>
  <c r="K57" i="25" l="1"/>
  <c r="K59" i="25" s="1"/>
  <c r="K50" i="25"/>
  <c r="K52" i="25" s="1"/>
  <c r="K43" i="25"/>
  <c r="K45" i="25" s="1"/>
  <c r="K27" i="25"/>
  <c r="K28" i="25" s="1"/>
  <c r="K29" i="25" s="1"/>
  <c r="L25" i="25" s="1"/>
  <c r="K37" i="25"/>
  <c r="K38" i="25" s="1"/>
  <c r="L36" i="6"/>
  <c r="L52" i="6"/>
  <c r="L37" i="19"/>
  <c r="L45" i="19" s="1"/>
  <c r="L47" i="19" s="1"/>
  <c r="K21" i="8"/>
  <c r="K19" i="8"/>
  <c r="M12" i="25" l="1"/>
  <c r="M13" i="25" s="1"/>
  <c r="L49" i="6"/>
  <c r="L37" i="6"/>
  <c r="L26" i="25"/>
  <c r="K22" i="8"/>
  <c r="L18" i="8" s="1"/>
  <c r="L20" i="8"/>
  <c r="K24" i="8"/>
  <c r="K29" i="8" l="1"/>
  <c r="K30" i="8" s="1"/>
  <c r="L39" i="6"/>
  <c r="L42" i="6"/>
  <c r="L35" i="6"/>
  <c r="L48" i="6" l="1"/>
  <c r="L56" i="6"/>
  <c r="L44" i="6"/>
  <c r="L45" i="6"/>
  <c r="M24" i="6" s="1"/>
  <c r="K33" i="8"/>
  <c r="K38" i="8" l="1"/>
  <c r="K36" i="8"/>
  <c r="L50" i="6"/>
  <c r="M16" i="25"/>
  <c r="M27" i="6"/>
  <c r="L57" i="6"/>
  <c r="M40" i="4" s="1"/>
  <c r="M42" i="4" s="1"/>
  <c r="K41" i="8" l="1"/>
  <c r="L15" i="25" s="1"/>
  <c r="L58" i="6"/>
  <c r="M44" i="4"/>
  <c r="M45" i="4" s="1"/>
  <c r="L10" i="8"/>
  <c r="L13" i="8" s="1"/>
  <c r="M28" i="6"/>
  <c r="K39" i="8"/>
  <c r="L35" i="8" s="1"/>
  <c r="M47" i="4" l="1"/>
  <c r="N42" i="19" s="1"/>
  <c r="N43" i="19" s="1"/>
  <c r="M33" i="6"/>
  <c r="M30" i="6"/>
  <c r="M26" i="6"/>
  <c r="L18" i="25"/>
  <c r="L21" i="25" s="1"/>
  <c r="M32" i="19"/>
  <c r="L28" i="8"/>
  <c r="L24" i="8"/>
  <c r="L16" i="8"/>
  <c r="L21" i="8" l="1"/>
  <c r="L19" i="8"/>
  <c r="L29" i="8"/>
  <c r="L30" i="8"/>
  <c r="L37" i="25"/>
  <c r="L38" i="25" s="1"/>
  <c r="L50" i="25"/>
  <c r="L52" i="25" s="1"/>
  <c r="L43" i="25"/>
  <c r="L45" i="25" s="1"/>
  <c r="L57" i="25"/>
  <c r="L59" i="25" s="1"/>
  <c r="L27" i="25"/>
  <c r="L28" i="25" s="1"/>
  <c r="L29" i="25" s="1"/>
  <c r="M25" i="25" s="1"/>
  <c r="M37" i="19"/>
  <c r="M45" i="19" s="1"/>
  <c r="M47" i="19" s="1"/>
  <c r="M36" i="6"/>
  <c r="M52" i="6"/>
  <c r="M37" i="6"/>
  <c r="M35" i="6" s="1"/>
  <c r="M48" i="6" l="1"/>
  <c r="M56" i="6"/>
  <c r="L22" i="8"/>
  <c r="M18" i="8" s="1"/>
  <c r="M39" i="6"/>
  <c r="M42" i="6"/>
  <c r="N12" i="25"/>
  <c r="N13" i="25" s="1"/>
  <c r="M49" i="6"/>
  <c r="L41" i="8"/>
  <c r="M15" i="25" s="1"/>
  <c r="L33" i="8"/>
  <c r="M26" i="25"/>
  <c r="M20" i="8"/>
  <c r="M44" i="6" l="1"/>
  <c r="M45" i="6"/>
  <c r="N24" i="6" s="1"/>
  <c r="L38" i="8"/>
  <c r="L36" i="8"/>
  <c r="M18" i="25"/>
  <c r="M21" i="25" s="1"/>
  <c r="N32" i="19"/>
  <c r="M50" i="6"/>
  <c r="N16" i="25"/>
  <c r="M27" i="25" l="1"/>
  <c r="M28" i="25" s="1"/>
  <c r="M29" i="25" s="1"/>
  <c r="N25" i="25" s="1"/>
  <c r="M37" i="25"/>
  <c r="M38" i="25" s="1"/>
  <c r="M50" i="25"/>
  <c r="M52" i="25" s="1"/>
  <c r="M57" i="25"/>
  <c r="M59" i="25" s="1"/>
  <c r="M43" i="25"/>
  <c r="M45" i="25" s="1"/>
  <c r="N37" i="19"/>
  <c r="N45" i="19" s="1"/>
  <c r="N47" i="19" s="1"/>
  <c r="L39" i="8"/>
  <c r="M35" i="8" s="1"/>
  <c r="N27" i="6"/>
  <c r="M57" i="6"/>
  <c r="N40" i="4" l="1"/>
  <c r="N42" i="4" s="1"/>
  <c r="M58" i="6"/>
  <c r="N28" i="6"/>
  <c r="N26" i="25"/>
  <c r="N44" i="4" l="1"/>
  <c r="M10" i="8"/>
  <c r="M13" i="8" s="1"/>
  <c r="N30" i="6"/>
  <c r="N33" i="6"/>
  <c r="N26" i="6"/>
  <c r="N47" i="4" l="1"/>
  <c r="O42" i="19" s="1"/>
  <c r="O43" i="19" s="1"/>
  <c r="N37" i="6"/>
  <c r="N52" i="6"/>
  <c r="N36" i="6"/>
  <c r="N45" i="4"/>
  <c r="M24" i="8"/>
  <c r="M28" i="8"/>
  <c r="M16" i="8"/>
  <c r="N39" i="6" l="1"/>
  <c r="N42" i="6"/>
  <c r="M21" i="8"/>
  <c r="M19" i="8"/>
  <c r="M29" i="8"/>
  <c r="M30" i="8" s="1"/>
  <c r="O12" i="25"/>
  <c r="O13" i="25" s="1"/>
  <c r="N49" i="6"/>
  <c r="N35" i="6"/>
  <c r="M41" i="8" l="1"/>
  <c r="N15" i="25" s="1"/>
  <c r="M33" i="8"/>
  <c r="M22" i="8"/>
  <c r="N18" i="8" s="1"/>
  <c r="N56" i="6"/>
  <c r="N48" i="6"/>
  <c r="N20" i="8"/>
  <c r="N44" i="6"/>
  <c r="N45" i="6"/>
  <c r="O24" i="6" s="1"/>
  <c r="M38" i="8" l="1"/>
  <c r="M36" i="8"/>
  <c r="N50" i="6"/>
  <c r="O16" i="25"/>
  <c r="N18" i="25"/>
  <c r="N21" i="25" s="1"/>
  <c r="O32" i="19"/>
  <c r="O27" i="6"/>
  <c r="O28" i="6" s="1"/>
  <c r="N57" i="6"/>
  <c r="O40" i="4" s="1"/>
  <c r="O42" i="4" s="1"/>
  <c r="N58" i="6"/>
  <c r="O33" i="6" l="1"/>
  <c r="O30" i="6"/>
  <c r="O26" i="6"/>
  <c r="M39" i="8"/>
  <c r="N35" i="8" s="1"/>
  <c r="O37" i="19"/>
  <c r="O45" i="19" s="1"/>
  <c r="O47" i="19" s="1"/>
  <c r="N27" i="25"/>
  <c r="N28" i="25" s="1"/>
  <c r="N29" i="25" s="1"/>
  <c r="O25" i="25" s="1"/>
  <c r="N43" i="25"/>
  <c r="N45" i="25" s="1"/>
  <c r="N37" i="25"/>
  <c r="N38" i="25" s="1"/>
  <c r="N50" i="25"/>
  <c r="N52" i="25" s="1"/>
  <c r="N57" i="25"/>
  <c r="N59" i="25" s="1"/>
  <c r="O44" i="4"/>
  <c r="N10" i="8"/>
  <c r="N13" i="8" s="1"/>
  <c r="O45" i="4" l="1"/>
  <c r="O47" i="4" s="1"/>
  <c r="P42" i="19" s="1"/>
  <c r="P43" i="19" s="1"/>
  <c r="O52" i="6"/>
  <c r="O36" i="6"/>
  <c r="O26" i="25"/>
  <c r="N16" i="8"/>
  <c r="N24" i="8"/>
  <c r="N28" i="8"/>
  <c r="N21" i="8" l="1"/>
  <c r="N19" i="8"/>
  <c r="P12" i="25"/>
  <c r="P13" i="25" s="1"/>
  <c r="O49" i="6"/>
  <c r="O37" i="6"/>
  <c r="N29" i="8"/>
  <c r="N30" i="8" s="1"/>
  <c r="N41" i="8" l="1"/>
  <c r="O15" i="25" s="1"/>
  <c r="N33" i="8"/>
  <c r="O42" i="6"/>
  <c r="O39" i="6"/>
  <c r="O35" i="6"/>
  <c r="N22" i="8"/>
  <c r="O18" i="8" s="1"/>
  <c r="O20" i="8"/>
  <c r="N38" i="8" l="1"/>
  <c r="N36" i="8"/>
  <c r="O56" i="6"/>
  <c r="O48" i="6"/>
  <c r="O44" i="6"/>
  <c r="O45" i="6"/>
  <c r="P24" i="6" s="1"/>
  <c r="P32" i="19"/>
  <c r="O18" i="25"/>
  <c r="O21" i="25" s="1"/>
  <c r="P37" i="19" l="1"/>
  <c r="P45" i="19" s="1"/>
  <c r="P47" i="19" s="1"/>
  <c r="O57" i="6"/>
  <c r="P40" i="4" s="1"/>
  <c r="P42" i="4" s="1"/>
  <c r="O57" i="25"/>
  <c r="O59" i="25" s="1"/>
  <c r="O37" i="25"/>
  <c r="O38" i="25" s="1"/>
  <c r="O27" i="25"/>
  <c r="O28" i="25" s="1"/>
  <c r="O29" i="25" s="1"/>
  <c r="P25" i="25" s="1"/>
  <c r="O43" i="25"/>
  <c r="O45" i="25" s="1"/>
  <c r="O50" i="25"/>
  <c r="O52" i="25" s="1"/>
  <c r="P27" i="6"/>
  <c r="O50" i="6"/>
  <c r="P16" i="25"/>
  <c r="N39" i="8"/>
  <c r="O35" i="8" s="1"/>
  <c r="P28" i="6" l="1"/>
  <c r="P44" i="4"/>
  <c r="P45" i="4"/>
  <c r="P47" i="4"/>
  <c r="Q42" i="19" s="1"/>
  <c r="Q43" i="19" s="1"/>
  <c r="O10" i="8"/>
  <c r="O13" i="8" s="1"/>
  <c r="O58" i="6"/>
  <c r="P26" i="25"/>
  <c r="O16" i="8" l="1"/>
  <c r="O24" i="8"/>
  <c r="O28" i="8"/>
  <c r="P33" i="6"/>
  <c r="P30" i="6"/>
  <c r="P26" i="6"/>
  <c r="P36" i="6" l="1"/>
  <c r="P37" i="6" s="1"/>
  <c r="P52" i="6"/>
  <c r="O29" i="8"/>
  <c r="O30" i="8" s="1"/>
  <c r="O19" i="8"/>
  <c r="O21" i="8"/>
  <c r="P42" i="6" l="1"/>
  <c r="P39" i="6"/>
  <c r="P35" i="6"/>
  <c r="O41" i="8"/>
  <c r="P15" i="25" s="1"/>
  <c r="O33" i="8"/>
  <c r="O22" i="8"/>
  <c r="P18" i="8" s="1"/>
  <c r="P49" i="6"/>
  <c r="Q12" i="25"/>
  <c r="Q13" i="25" s="1"/>
  <c r="P20" i="8"/>
  <c r="P44" i="6" l="1"/>
  <c r="P45" i="6"/>
  <c r="Q24" i="6" s="1"/>
  <c r="Q32" i="19"/>
  <c r="P18" i="25"/>
  <c r="P21" i="25" s="1"/>
  <c r="O36" i="8"/>
  <c r="O38" i="8"/>
  <c r="P56" i="6"/>
  <c r="P48" i="6"/>
  <c r="O39" i="8" l="1"/>
  <c r="P35" i="8" s="1"/>
  <c r="P50" i="25"/>
  <c r="P52" i="25" s="1"/>
  <c r="P57" i="25"/>
  <c r="P59" i="25" s="1"/>
  <c r="P43" i="25"/>
  <c r="P45" i="25" s="1"/>
  <c r="P37" i="25"/>
  <c r="P38" i="25" s="1"/>
  <c r="P27" i="25"/>
  <c r="P28" i="25" s="1"/>
  <c r="P29" i="25" s="1"/>
  <c r="Q25" i="25" s="1"/>
  <c r="Q37" i="19"/>
  <c r="Q45" i="19" s="1"/>
  <c r="Q47" i="19" s="1"/>
  <c r="Q27" i="6"/>
  <c r="Q28" i="6" s="1"/>
  <c r="P57" i="6"/>
  <c r="Q40" i="4" s="1"/>
  <c r="Q42" i="4" s="1"/>
  <c r="P50" i="6"/>
  <c r="Q16" i="25"/>
  <c r="Q33" i="6" l="1"/>
  <c r="Q30" i="6"/>
  <c r="Q26" i="6"/>
  <c r="Q44" i="4"/>
  <c r="Q47" i="4" s="1"/>
  <c r="R42" i="19" s="1"/>
  <c r="R43" i="19" s="1"/>
  <c r="Q45" i="4"/>
  <c r="P10" i="8"/>
  <c r="P13" i="8" s="1"/>
  <c r="P58" i="6"/>
  <c r="Q26" i="25"/>
  <c r="P16" i="8" l="1"/>
  <c r="P24" i="8"/>
  <c r="P28" i="8"/>
  <c r="Q36" i="6"/>
  <c r="Q37" i="6"/>
  <c r="Q35" i="6" s="1"/>
  <c r="Q52" i="6"/>
  <c r="Q56" i="6" l="1"/>
  <c r="Q48" i="6"/>
  <c r="R12" i="25"/>
  <c r="R13" i="25" s="1"/>
  <c r="Q49" i="6"/>
  <c r="P29" i="8"/>
  <c r="P30" i="8" s="1"/>
  <c r="Q42" i="6"/>
  <c r="Q39" i="6"/>
  <c r="P21" i="8"/>
  <c r="P19" i="8"/>
  <c r="P33" i="8" l="1"/>
  <c r="P41" i="8"/>
  <c r="Q15" i="25" s="1"/>
  <c r="Q50" i="6"/>
  <c r="R16" i="25"/>
  <c r="P22" i="8"/>
  <c r="Q18" i="8" s="1"/>
  <c r="Q45" i="6"/>
  <c r="R24" i="6" s="1"/>
  <c r="Q44" i="6"/>
  <c r="Q20" i="8"/>
  <c r="R27" i="6" l="1"/>
  <c r="R32" i="19"/>
  <c r="Q18" i="25"/>
  <c r="Q21" i="25" s="1"/>
  <c r="Q57" i="6"/>
  <c r="P36" i="8"/>
  <c r="P38" i="8"/>
  <c r="Q37" i="8" l="1"/>
  <c r="Q27" i="25"/>
  <c r="Q28" i="25" s="1"/>
  <c r="Q29" i="25" s="1"/>
  <c r="R25" i="25" s="1"/>
  <c r="Q37" i="25"/>
  <c r="Q38" i="25" s="1"/>
  <c r="Q43" i="25"/>
  <c r="Q45" i="25" s="1"/>
  <c r="Q50" i="25"/>
  <c r="Q52" i="25" s="1"/>
  <c r="Q57" i="25"/>
  <c r="Q59" i="25" s="1"/>
  <c r="R40" i="4"/>
  <c r="R42" i="4" s="1"/>
  <c r="Q58" i="6"/>
  <c r="R37" i="19"/>
  <c r="R45" i="19" s="1"/>
  <c r="R47" i="19" s="1"/>
  <c r="P39" i="8"/>
  <c r="Q35" i="8" s="1"/>
  <c r="R28" i="6"/>
  <c r="R26" i="25" l="1"/>
  <c r="R44" i="4"/>
  <c r="R47" i="4" s="1"/>
  <c r="S42" i="19" s="1"/>
  <c r="S43" i="19" s="1"/>
  <c r="R45" i="4"/>
  <c r="Q10" i="8"/>
  <c r="Q13" i="8" s="1"/>
  <c r="R30" i="6"/>
  <c r="R33" i="6"/>
  <c r="R26" i="6"/>
  <c r="Q28" i="8" l="1"/>
  <c r="Q24" i="8"/>
  <c r="Q16" i="8"/>
  <c r="R36" i="6"/>
  <c r="R37" i="6"/>
  <c r="R35" i="6" s="1"/>
  <c r="R52" i="6"/>
  <c r="R48" i="6" l="1"/>
  <c r="R56" i="6"/>
  <c r="R39" i="6"/>
  <c r="R42" i="6"/>
  <c r="R49" i="6"/>
  <c r="S12" i="25"/>
  <c r="S13" i="25" s="1"/>
  <c r="Q21" i="8"/>
  <c r="Q19" i="8"/>
  <c r="Q29" i="8"/>
  <c r="Q30" i="8"/>
  <c r="R50" i="6" l="1"/>
  <c r="S16" i="25"/>
  <c r="Q33" i="8"/>
  <c r="Q41" i="8"/>
  <c r="R15" i="25" s="1"/>
  <c r="Q22" i="8"/>
  <c r="R18" i="8" s="1"/>
  <c r="R20" i="8"/>
  <c r="R45" i="6"/>
  <c r="S24" i="6" s="1"/>
  <c r="R44" i="6"/>
  <c r="R57" i="6" l="1"/>
  <c r="S27" i="6"/>
  <c r="R18" i="25"/>
  <c r="R21" i="25" s="1"/>
  <c r="S32" i="19"/>
  <c r="Q38" i="8"/>
  <c r="Q36" i="8"/>
  <c r="Q39" i="8" l="1"/>
  <c r="R35" i="8" s="1"/>
  <c r="S37" i="19"/>
  <c r="S45" i="19" s="1"/>
  <c r="S47" i="19" s="1"/>
  <c r="R27" i="25"/>
  <c r="R28" i="25" s="1"/>
  <c r="R29" i="25" s="1"/>
  <c r="S25" i="25" s="1"/>
  <c r="R43" i="25"/>
  <c r="R45" i="25" s="1"/>
  <c r="R57" i="25"/>
  <c r="R59" i="25" s="1"/>
  <c r="R50" i="25"/>
  <c r="R52" i="25" s="1"/>
  <c r="R37" i="25"/>
  <c r="R38" i="25" s="1"/>
  <c r="S28" i="6"/>
  <c r="S40" i="4"/>
  <c r="S42" i="4" s="1"/>
  <c r="R58" i="6"/>
  <c r="R37" i="8"/>
  <c r="S26" i="25" l="1"/>
  <c r="S44" i="4"/>
  <c r="S47" i="4" s="1"/>
  <c r="T42" i="19" s="1"/>
  <c r="T43" i="19" s="1"/>
  <c r="S45" i="4"/>
  <c r="R10" i="8"/>
  <c r="R13" i="8" s="1"/>
  <c r="S33" i="6"/>
  <c r="S30" i="6"/>
  <c r="S26" i="6"/>
  <c r="S36" i="6" l="1"/>
  <c r="S52" i="6"/>
  <c r="S37" i="6"/>
  <c r="R28" i="8"/>
  <c r="R16" i="8"/>
  <c r="R19" i="8" l="1"/>
  <c r="R21" i="8"/>
  <c r="S49" i="6"/>
  <c r="T12" i="25"/>
  <c r="T13" i="25" s="1"/>
  <c r="S39" i="6"/>
  <c r="S42" i="6"/>
  <c r="S35" i="6"/>
  <c r="S45" i="6" l="1"/>
  <c r="T24" i="6" s="1"/>
  <c r="S44" i="6"/>
  <c r="R22" i="8"/>
  <c r="S18" i="8" s="1"/>
  <c r="S48" i="6"/>
  <c r="S56" i="6"/>
  <c r="S20" i="8"/>
  <c r="R24" i="8"/>
  <c r="S57" i="6" l="1"/>
  <c r="T40" i="4" s="1"/>
  <c r="T42" i="4" s="1"/>
  <c r="T27" i="6"/>
  <c r="R29" i="8"/>
  <c r="R30" i="8" s="1"/>
  <c r="S50" i="6"/>
  <c r="T16" i="25"/>
  <c r="T44" i="4" l="1"/>
  <c r="T45" i="4" s="1"/>
  <c r="S10" i="8"/>
  <c r="S13" i="8" s="1"/>
  <c r="S58" i="6"/>
  <c r="R33" i="8"/>
  <c r="T28" i="6"/>
  <c r="T30" i="6" l="1"/>
  <c r="T33" i="6"/>
  <c r="T26" i="6"/>
  <c r="T47" i="4"/>
  <c r="U42" i="19" s="1"/>
  <c r="U43" i="19" s="1"/>
  <c r="R38" i="8"/>
  <c r="R36" i="8"/>
  <c r="R39" i="8" s="1"/>
  <c r="S35" i="8" s="1"/>
  <c r="S16" i="8"/>
  <c r="S28" i="8"/>
  <c r="S21" i="8" l="1"/>
  <c r="S19" i="8"/>
  <c r="S37" i="8"/>
  <c r="R41" i="8"/>
  <c r="S15" i="25" s="1"/>
  <c r="T52" i="6"/>
  <c r="T36" i="6"/>
  <c r="S22" i="8" l="1"/>
  <c r="T20" i="8"/>
  <c r="S24" i="8"/>
  <c r="U12" i="25"/>
  <c r="U13" i="25" s="1"/>
  <c r="T49" i="6"/>
  <c r="T37" i="6"/>
  <c r="S18" i="25"/>
  <c r="S21" i="25" s="1"/>
  <c r="T32" i="19"/>
  <c r="S29" i="8" l="1"/>
  <c r="S30" i="8" s="1"/>
  <c r="T37" i="19"/>
  <c r="T45" i="19" s="1"/>
  <c r="T47" i="19" s="1"/>
  <c r="S57" i="25"/>
  <c r="S59" i="25" s="1"/>
  <c r="S27" i="25"/>
  <c r="S28" i="25" s="1"/>
  <c r="S29" i="25" s="1"/>
  <c r="T25" i="25" s="1"/>
  <c r="S43" i="25"/>
  <c r="S45" i="25" s="1"/>
  <c r="S37" i="25"/>
  <c r="S38" i="25" s="1"/>
  <c r="S50" i="25"/>
  <c r="S52" i="25" s="1"/>
  <c r="T39" i="6"/>
  <c r="T42" i="6"/>
  <c r="T35" i="6"/>
  <c r="T26" i="25" l="1"/>
  <c r="T48" i="6"/>
  <c r="T56" i="6"/>
  <c r="T45" i="6"/>
  <c r="U24" i="6" s="1"/>
  <c r="T44" i="6"/>
  <c r="S33" i="8"/>
  <c r="S38" i="8" l="1"/>
  <c r="S36" i="8"/>
  <c r="S39" i="8" s="1"/>
  <c r="T57" i="6"/>
  <c r="U40" i="4" s="1"/>
  <c r="U42" i="4" s="1"/>
  <c r="U27" i="6"/>
  <c r="T58" i="6"/>
  <c r="T50" i="6"/>
  <c r="U16" i="25"/>
  <c r="T37" i="8" l="1"/>
  <c r="S41" i="8"/>
  <c r="T15" i="25" s="1"/>
  <c r="U28" i="6"/>
  <c r="U44" i="4"/>
  <c r="U45" i="4" s="1"/>
  <c r="U47" i="4" s="1"/>
  <c r="V42" i="19" s="1"/>
  <c r="V43" i="19" s="1"/>
  <c r="T10" i="8"/>
  <c r="T13" i="8" s="1"/>
  <c r="U30" i="6" l="1"/>
  <c r="U33" i="6"/>
  <c r="U26" i="6"/>
  <c r="T18" i="25"/>
  <c r="T21" i="25" s="1"/>
  <c r="U32" i="19"/>
  <c r="T28" i="8"/>
  <c r="T16" i="8"/>
  <c r="T21" i="8" l="1"/>
  <c r="T19" i="8"/>
  <c r="U37" i="19"/>
  <c r="U45" i="19" s="1"/>
  <c r="U47" i="19" s="1"/>
  <c r="T50" i="25"/>
  <c r="T52" i="25" s="1"/>
  <c r="T27" i="25"/>
  <c r="T28" i="25" s="1"/>
  <c r="T29" i="25" s="1"/>
  <c r="U25" i="25" s="1"/>
  <c r="T43" i="25"/>
  <c r="T45" i="25" s="1"/>
  <c r="T37" i="25"/>
  <c r="T38" i="25" s="1"/>
  <c r="T57" i="25"/>
  <c r="T59" i="25" s="1"/>
  <c r="U36" i="6"/>
  <c r="U52" i="6"/>
  <c r="U37" i="6"/>
  <c r="U35" i="6"/>
  <c r="T22" i="8" l="1"/>
  <c r="U18" i="8" s="1"/>
  <c r="U26" i="25"/>
  <c r="U20" i="8"/>
  <c r="T24" i="8"/>
  <c r="U39" i="6"/>
  <c r="U42" i="6"/>
  <c r="U48" i="6"/>
  <c r="U56" i="6"/>
  <c r="V12" i="25"/>
  <c r="V13" i="25" s="1"/>
  <c r="U49" i="6"/>
  <c r="T29" i="8" l="1"/>
  <c r="T30" i="8" s="1"/>
  <c r="U50" i="6"/>
  <c r="V16" i="25"/>
  <c r="U45" i="6"/>
  <c r="V24" i="6" s="1"/>
  <c r="U44" i="6"/>
  <c r="U57" i="6" l="1"/>
  <c r="V27" i="6"/>
  <c r="T33" i="8"/>
  <c r="T38" i="8" l="1"/>
  <c r="T36" i="8"/>
  <c r="T39" i="8" s="1"/>
  <c r="U35" i="8" s="1"/>
  <c r="V28" i="6"/>
  <c r="V40" i="4"/>
  <c r="V42" i="4" s="1"/>
  <c r="U58" i="6"/>
  <c r="U37" i="8" l="1"/>
  <c r="T41" i="8"/>
  <c r="U15" i="25" s="1"/>
  <c r="V44" i="4"/>
  <c r="V45" i="4" s="1"/>
  <c r="V47" i="4" s="1"/>
  <c r="W42" i="19" s="1"/>
  <c r="W43" i="19" s="1"/>
  <c r="U10" i="8"/>
  <c r="U13" i="8" s="1"/>
  <c r="V30" i="6"/>
  <c r="V33" i="6"/>
  <c r="V26" i="6"/>
  <c r="U16" i="8" l="1"/>
  <c r="U28" i="8"/>
  <c r="U18" i="25"/>
  <c r="U21" i="25" s="1"/>
  <c r="V32" i="19"/>
  <c r="V36" i="6"/>
  <c r="V52" i="6"/>
  <c r="W12" i="25" l="1"/>
  <c r="W13" i="25" s="1"/>
  <c r="V49" i="6"/>
  <c r="V37" i="19"/>
  <c r="V45" i="19" s="1"/>
  <c r="V47" i="19" s="1"/>
  <c r="V37" i="6"/>
  <c r="U27" i="25"/>
  <c r="U28" i="25" s="1"/>
  <c r="U29" i="25" s="1"/>
  <c r="V25" i="25" s="1"/>
  <c r="U37" i="25"/>
  <c r="U38" i="25" s="1"/>
  <c r="U50" i="25"/>
  <c r="U52" i="25" s="1"/>
  <c r="U43" i="25"/>
  <c r="U45" i="25" s="1"/>
  <c r="U57" i="25"/>
  <c r="U59" i="25" s="1"/>
  <c r="U21" i="8"/>
  <c r="U19" i="8"/>
  <c r="V26" i="25" l="1"/>
  <c r="U22" i="8"/>
  <c r="V18" i="8" s="1"/>
  <c r="V39" i="6"/>
  <c r="V42" i="6"/>
  <c r="V35" i="6"/>
  <c r="V20" i="8"/>
  <c r="U24" i="8"/>
  <c r="V56" i="6" l="1"/>
  <c r="V48" i="6"/>
  <c r="V44" i="6"/>
  <c r="V45" i="6"/>
  <c r="W24" i="6" s="1"/>
  <c r="U29" i="8"/>
  <c r="U30" i="8" s="1"/>
  <c r="V50" i="6" l="1"/>
  <c r="W16" i="25"/>
  <c r="U33" i="8"/>
  <c r="W27" i="6"/>
  <c r="V57" i="6"/>
  <c r="W40" i="4" s="1"/>
  <c r="W42" i="4" s="1"/>
  <c r="W44" i="4" l="1"/>
  <c r="W45" i="4" s="1"/>
  <c r="V10" i="8"/>
  <c r="V13" i="8" s="1"/>
  <c r="V58" i="6"/>
  <c r="W28" i="6"/>
  <c r="U36" i="8"/>
  <c r="U38" i="8"/>
  <c r="W47" i="4" l="1"/>
  <c r="X42" i="19" s="1"/>
  <c r="X43" i="19" s="1"/>
  <c r="U39" i="8"/>
  <c r="V35" i="8" s="1"/>
  <c r="V37" i="8"/>
  <c r="U41" i="8"/>
  <c r="V15" i="25" s="1"/>
  <c r="W33" i="6"/>
  <c r="W30" i="6"/>
  <c r="W26" i="6"/>
  <c r="V28" i="8"/>
  <c r="V16" i="8"/>
  <c r="W36" i="6" l="1"/>
  <c r="W37" i="6"/>
  <c r="W52" i="6"/>
  <c r="W35" i="6"/>
  <c r="V18" i="25"/>
  <c r="V21" i="25" s="1"/>
  <c r="W32" i="19"/>
  <c r="V21" i="8"/>
  <c r="V19" i="8"/>
  <c r="V27" i="25" l="1"/>
  <c r="V28" i="25" s="1"/>
  <c r="V29" i="25" s="1"/>
  <c r="W25" i="25" s="1"/>
  <c r="V43" i="25"/>
  <c r="V45" i="25" s="1"/>
  <c r="V37" i="25"/>
  <c r="V38" i="25" s="1"/>
  <c r="V50" i="25"/>
  <c r="V52" i="25" s="1"/>
  <c r="V57" i="25"/>
  <c r="V59" i="25" s="1"/>
  <c r="W20" i="8"/>
  <c r="V24" i="8"/>
  <c r="V22" i="8"/>
  <c r="W18" i="8" s="1"/>
  <c r="W37" i="19"/>
  <c r="W45" i="19" s="1"/>
  <c r="W47" i="19" s="1"/>
  <c r="W56" i="6"/>
  <c r="W48" i="6"/>
  <c r="W42" i="6"/>
  <c r="W39" i="6"/>
  <c r="X12" i="25"/>
  <c r="X13" i="25" s="1"/>
  <c r="W49" i="6"/>
  <c r="W44" i="6" l="1"/>
  <c r="W45" i="6"/>
  <c r="X24" i="6" s="1"/>
  <c r="W50" i="6"/>
  <c r="X16" i="25"/>
  <c r="V29" i="8"/>
  <c r="V30" i="8" s="1"/>
  <c r="W26" i="25"/>
  <c r="W57" i="6" l="1"/>
  <c r="X27" i="6"/>
  <c r="X28" i="6"/>
  <c r="V33" i="8"/>
  <c r="X40" i="4" l="1"/>
  <c r="X42" i="4" s="1"/>
  <c r="W58" i="6"/>
  <c r="V38" i="8"/>
  <c r="V36" i="8"/>
  <c r="V39" i="8" s="1"/>
  <c r="W35" i="8" s="1"/>
  <c r="X33" i="6"/>
  <c r="X30" i="6"/>
  <c r="X26" i="6"/>
  <c r="X44" i="4" l="1"/>
  <c r="X47" i="4" s="1"/>
  <c r="Y42" i="19" s="1"/>
  <c r="Y43" i="19" s="1"/>
  <c r="X45" i="4"/>
  <c r="W10" i="8"/>
  <c r="W13" i="8" s="1"/>
  <c r="X36" i="6"/>
  <c r="X37" i="6" s="1"/>
  <c r="X52" i="6"/>
  <c r="W37" i="8"/>
  <c r="V41" i="8"/>
  <c r="W15" i="25" s="1"/>
  <c r="X42" i="6" l="1"/>
  <c r="X39" i="6"/>
  <c r="X35" i="6"/>
  <c r="Y12" i="25"/>
  <c r="Y13" i="25" s="1"/>
  <c r="X49" i="6"/>
  <c r="W16" i="8"/>
  <c r="W28" i="8"/>
  <c r="W18" i="25"/>
  <c r="W21" i="25" s="1"/>
  <c r="X32" i="19"/>
  <c r="W19" i="8" l="1"/>
  <c r="W21" i="8"/>
  <c r="X56" i="6"/>
  <c r="X48" i="6"/>
  <c r="X44" i="6"/>
  <c r="X45" i="6"/>
  <c r="Y24" i="6" s="1"/>
  <c r="X37" i="19"/>
  <c r="X45" i="19" s="1"/>
  <c r="X47" i="19" s="1"/>
  <c r="W37" i="25"/>
  <c r="W38" i="25" s="1"/>
  <c r="C39" i="25" s="1"/>
  <c r="W27" i="25"/>
  <c r="W28" i="25" s="1"/>
  <c r="W29" i="25" s="1"/>
  <c r="X25" i="25" s="1"/>
  <c r="W50" i="25"/>
  <c r="W52" i="25" s="1"/>
  <c r="C53" i="25" s="1"/>
  <c r="C70" i="2" s="1"/>
  <c r="W57" i="25"/>
  <c r="W59" i="25" s="1"/>
  <c r="C60" i="25" s="1"/>
  <c r="C71" i="2" s="1"/>
  <c r="W43" i="25"/>
  <c r="W45" i="25" s="1"/>
  <c r="C46" i="25" s="1"/>
  <c r="C69" i="2" s="1"/>
  <c r="X57" i="6" l="1"/>
  <c r="Y40" i="4" s="1"/>
  <c r="Y42" i="4" s="1"/>
  <c r="X26" i="25"/>
  <c r="C68" i="2"/>
  <c r="B9" i="16"/>
  <c r="B12" i="16" s="1"/>
  <c r="X20" i="8"/>
  <c r="W24" i="8"/>
  <c r="Y27" i="6"/>
  <c r="X50" i="6"/>
  <c r="Y16" i="25"/>
  <c r="W22" i="8"/>
  <c r="X18" i="8" s="1"/>
  <c r="Y44" i="4" l="1"/>
  <c r="Y45" i="4" s="1"/>
  <c r="X10" i="8"/>
  <c r="X13" i="8" s="1"/>
  <c r="W29" i="8"/>
  <c r="W30" i="8" s="1"/>
  <c r="Y28" i="6"/>
  <c r="X58" i="6"/>
  <c r="W33" i="8" l="1"/>
  <c r="Y33" i="6"/>
  <c r="Y30" i="6"/>
  <c r="Y26" i="6"/>
  <c r="Y47" i="4"/>
  <c r="Z42" i="19" s="1"/>
  <c r="Z43" i="19" s="1"/>
  <c r="X16" i="8"/>
  <c r="X28" i="8"/>
  <c r="X19" i="8" l="1"/>
  <c r="X21" i="8"/>
  <c r="W36" i="8"/>
  <c r="W38" i="8"/>
  <c r="Y36" i="6"/>
  <c r="Y37" i="6"/>
  <c r="Y35" i="6" s="1"/>
  <c r="Y52" i="6"/>
  <c r="Y48" i="6" l="1"/>
  <c r="Y56" i="6"/>
  <c r="Y42" i="6"/>
  <c r="Y39" i="6"/>
  <c r="X22" i="8"/>
  <c r="Y18" i="8" s="1"/>
  <c r="Z12" i="25"/>
  <c r="Z13" i="25" s="1"/>
  <c r="Y49" i="6"/>
  <c r="X37" i="8"/>
  <c r="W41" i="8"/>
  <c r="X15" i="25" s="1"/>
  <c r="W39" i="8"/>
  <c r="X35" i="8" s="1"/>
  <c r="Y20" i="8"/>
  <c r="X24" i="8"/>
  <c r="X29" i="8" l="1"/>
  <c r="X30" i="8" s="1"/>
  <c r="Y50" i="6"/>
  <c r="Z16" i="25"/>
  <c r="X18" i="25"/>
  <c r="X21" i="25" s="1"/>
  <c r="Y32" i="19"/>
  <c r="Y45" i="6"/>
  <c r="Z24" i="6" s="1"/>
  <c r="Y44" i="6"/>
  <c r="Y37" i="19" l="1"/>
  <c r="Y45" i="19" s="1"/>
  <c r="Y47" i="19" s="1"/>
  <c r="Y57" i="6"/>
  <c r="X50" i="25"/>
  <c r="X52" i="25" s="1"/>
  <c r="X57" i="25"/>
  <c r="X59" i="25" s="1"/>
  <c r="X37" i="25"/>
  <c r="X38" i="25" s="1"/>
  <c r="X43" i="25"/>
  <c r="X45" i="25" s="1"/>
  <c r="X27" i="25"/>
  <c r="X28" i="25" s="1"/>
  <c r="X29" i="25" s="1"/>
  <c r="Y25" i="25" s="1"/>
  <c r="Z28" i="6"/>
  <c r="Z27" i="6"/>
  <c r="X33" i="8"/>
  <c r="Z30" i="6" l="1"/>
  <c r="Z33" i="6"/>
  <c r="Y26" i="25"/>
  <c r="X36" i="8"/>
  <c r="X38" i="8"/>
  <c r="Z40" i="4"/>
  <c r="Z42" i="4" s="1"/>
  <c r="Y58" i="6"/>
  <c r="Z26" i="6"/>
  <c r="Z44" i="4" l="1"/>
  <c r="Y10" i="8"/>
  <c r="Y13" i="8" s="1"/>
  <c r="Y37" i="8"/>
  <c r="X41" i="8"/>
  <c r="Y15" i="25" s="1"/>
  <c r="Z36" i="6"/>
  <c r="Z52" i="6"/>
  <c r="X39" i="8"/>
  <c r="Y35" i="8" s="1"/>
  <c r="Z47" i="4" l="1"/>
  <c r="AA42" i="19" s="1"/>
  <c r="AA43" i="19" s="1"/>
  <c r="AA12" i="25"/>
  <c r="AA13" i="25" s="1"/>
  <c r="Z49" i="6"/>
  <c r="Z37" i="6"/>
  <c r="Y18" i="25"/>
  <c r="Y21" i="25" s="1"/>
  <c r="Z32" i="19"/>
  <c r="Y16" i="8"/>
  <c r="Y28" i="8"/>
  <c r="Z45" i="4"/>
  <c r="Z37" i="19" l="1"/>
  <c r="Z45" i="19" s="1"/>
  <c r="Z47" i="19" s="1"/>
  <c r="Y27" i="25"/>
  <c r="Y28" i="25" s="1"/>
  <c r="Y29" i="25" s="1"/>
  <c r="Z25" i="25" s="1"/>
  <c r="Y37" i="25"/>
  <c r="Y38" i="25" s="1"/>
  <c r="Y57" i="25"/>
  <c r="Y59" i="25" s="1"/>
  <c r="Y43" i="25"/>
  <c r="Y45" i="25" s="1"/>
  <c r="Y50" i="25"/>
  <c r="Y52" i="25" s="1"/>
  <c r="Y21" i="8"/>
  <c r="Y19" i="8"/>
  <c r="Z39" i="6"/>
  <c r="Z42" i="6"/>
  <c r="Z35" i="6"/>
  <c r="Z48" i="6" l="1"/>
  <c r="Z56" i="6"/>
  <c r="Z45" i="6"/>
  <c r="AA24" i="6" s="1"/>
  <c r="Z44" i="6"/>
  <c r="Z26" i="25"/>
  <c r="Y22" i="8"/>
  <c r="Z18" i="8" s="1"/>
  <c r="Z20" i="8"/>
  <c r="Y24" i="8"/>
  <c r="Z57" i="6" l="1"/>
  <c r="AA40" i="4" s="1"/>
  <c r="AA42" i="4" s="1"/>
  <c r="Y29" i="8"/>
  <c r="Y30" i="8" s="1"/>
  <c r="AA27" i="6"/>
  <c r="Z58" i="6"/>
  <c r="Z50" i="6"/>
  <c r="AA16" i="25"/>
  <c r="Y33" i="8" l="1"/>
  <c r="AA28" i="6"/>
  <c r="AA44" i="4"/>
  <c r="Z10" i="8"/>
  <c r="Z13" i="8" s="1"/>
  <c r="AA45" i="4" l="1"/>
  <c r="AA47" i="4" s="1"/>
  <c r="AB42" i="19" s="1"/>
  <c r="AB43" i="19" s="1"/>
  <c r="AA33" i="6"/>
  <c r="AA30" i="6"/>
  <c r="AA26" i="6"/>
  <c r="Y38" i="8"/>
  <c r="Y36" i="8"/>
  <c r="Y39" i="8" s="1"/>
  <c r="Z35" i="8" s="1"/>
  <c r="Z28" i="8"/>
  <c r="Z16" i="8"/>
  <c r="Z21" i="8" l="1"/>
  <c r="Z19" i="8"/>
  <c r="Z37" i="8"/>
  <c r="Y41" i="8"/>
  <c r="Z15" i="25" s="1"/>
  <c r="AA36" i="6"/>
  <c r="AA52" i="6"/>
  <c r="Z18" i="25" l="1"/>
  <c r="Z21" i="25" s="1"/>
  <c r="AA32" i="19"/>
  <c r="AA20" i="8"/>
  <c r="Z24" i="8"/>
  <c r="Z22" i="8"/>
  <c r="AA18" i="8" s="1"/>
  <c r="AA49" i="6"/>
  <c r="AB12" i="25"/>
  <c r="AB13" i="25" s="1"/>
  <c r="AA37" i="6"/>
  <c r="Z29" i="8" l="1"/>
  <c r="Z30" i="8" s="1"/>
  <c r="AA39" i="6"/>
  <c r="AA42" i="6"/>
  <c r="AA35" i="6"/>
  <c r="AA37" i="19"/>
  <c r="AA45" i="19" s="1"/>
  <c r="AA47" i="19" s="1"/>
  <c r="Z37" i="25"/>
  <c r="Z38" i="25" s="1"/>
  <c r="Z43" i="25"/>
  <c r="Z45" i="25" s="1"/>
  <c r="Z50" i="25"/>
  <c r="Z52" i="25" s="1"/>
  <c r="Z57" i="25"/>
  <c r="Z59" i="25" s="1"/>
  <c r="Z27" i="25"/>
  <c r="Z28" i="25" s="1"/>
  <c r="Z29" i="25" s="1"/>
  <c r="AA25" i="25" s="1"/>
  <c r="AA26" i="25" l="1"/>
  <c r="AA48" i="6"/>
  <c r="AA56" i="6"/>
  <c r="AA45" i="6"/>
  <c r="AB24" i="6" s="1"/>
  <c r="AA44" i="6"/>
  <c r="Z33" i="8"/>
  <c r="AA57" i="6" l="1"/>
  <c r="AB40" i="4" s="1"/>
  <c r="AB42" i="4" s="1"/>
  <c r="AB27" i="6"/>
  <c r="AA50" i="6"/>
  <c r="AB16" i="25"/>
  <c r="Z38" i="8"/>
  <c r="Z36" i="8"/>
  <c r="Z39" i="8" s="1"/>
  <c r="AA35" i="8" s="1"/>
  <c r="AA58" i="6" l="1"/>
  <c r="AB28" i="6"/>
  <c r="AB44" i="4"/>
  <c r="AA10" i="8"/>
  <c r="AA13" i="8" s="1"/>
  <c r="AA37" i="8"/>
  <c r="Z41" i="8"/>
  <c r="AA15" i="25" s="1"/>
  <c r="AB45" i="4" l="1"/>
  <c r="AB47" i="4" s="1"/>
  <c r="AC42" i="19" s="1"/>
  <c r="AC43" i="19" s="1"/>
  <c r="AB33" i="6"/>
  <c r="AB30" i="6"/>
  <c r="AB26" i="6"/>
  <c r="AA18" i="25"/>
  <c r="AA21" i="25" s="1"/>
  <c r="AB32" i="19"/>
  <c r="AA16" i="8"/>
  <c r="AA28" i="8"/>
  <c r="AA19" i="8" l="1"/>
  <c r="AA21" i="8"/>
  <c r="AB37" i="19"/>
  <c r="AB45" i="19" s="1"/>
  <c r="AB47" i="19" s="1"/>
  <c r="AA57" i="25"/>
  <c r="AA59" i="25" s="1"/>
  <c r="AA43" i="25"/>
  <c r="AA45" i="25" s="1"/>
  <c r="AA27" i="25"/>
  <c r="AA28" i="25" s="1"/>
  <c r="AA29" i="25" s="1"/>
  <c r="AB25" i="25" s="1"/>
  <c r="AA50" i="25"/>
  <c r="AA52" i="25" s="1"/>
  <c r="AA37" i="25"/>
  <c r="AA38" i="25" s="1"/>
  <c r="AB36" i="6"/>
  <c r="AB52" i="6"/>
  <c r="AB49" i="6" l="1"/>
  <c r="AC12" i="25"/>
  <c r="AC13" i="25" s="1"/>
  <c r="AB37" i="6"/>
  <c r="AB20" i="8"/>
  <c r="AA24" i="8"/>
  <c r="AA22" i="8"/>
  <c r="AB18" i="8" s="1"/>
  <c r="AB26" i="25"/>
  <c r="AA29" i="8" l="1"/>
  <c r="AA30" i="8" s="1"/>
  <c r="AB42" i="6"/>
  <c r="AB39" i="6"/>
  <c r="AB35" i="6"/>
  <c r="AB48" i="6" l="1"/>
  <c r="AB56" i="6"/>
  <c r="AB44" i="6"/>
  <c r="AB45" i="6"/>
  <c r="AC24" i="6" s="1"/>
  <c r="AA33" i="8"/>
  <c r="AA38" i="8" l="1"/>
  <c r="AA36" i="8"/>
  <c r="AA39" i="8" s="1"/>
  <c r="AB35" i="8" s="1"/>
  <c r="AC27" i="6"/>
  <c r="AB57" i="6"/>
  <c r="AC40" i="4" s="1"/>
  <c r="AC42" i="4" s="1"/>
  <c r="AB58" i="6"/>
  <c r="AB50" i="6"/>
  <c r="AC16" i="25"/>
  <c r="AC45" i="4" l="1"/>
  <c r="AC47" i="4" s="1"/>
  <c r="AD42" i="19" s="1"/>
  <c r="AD43" i="19" s="1"/>
  <c r="AC44" i="4"/>
  <c r="AB10" i="8"/>
  <c r="AB13" i="8" s="1"/>
  <c r="AC28" i="6"/>
  <c r="AB37" i="8"/>
  <c r="AA41" i="8"/>
  <c r="AB15" i="25" s="1"/>
  <c r="AB18" i="25" l="1"/>
  <c r="AB21" i="25" s="1"/>
  <c r="AC32" i="19"/>
  <c r="AC33" i="6"/>
  <c r="AC30" i="6"/>
  <c r="AC26" i="6"/>
  <c r="AB28" i="8"/>
  <c r="AB16" i="8"/>
  <c r="AB21" i="8" l="1"/>
  <c r="AB19" i="8"/>
  <c r="AC36" i="6"/>
  <c r="AC37" i="6"/>
  <c r="AC52" i="6"/>
  <c r="AC35" i="6"/>
  <c r="AB43" i="25"/>
  <c r="AB45" i="25" s="1"/>
  <c r="AB57" i="25"/>
  <c r="AB59" i="25" s="1"/>
  <c r="AB37" i="25"/>
  <c r="AB38" i="25" s="1"/>
  <c r="AB27" i="25"/>
  <c r="AB28" i="25" s="1"/>
  <c r="AB29" i="25" s="1"/>
  <c r="AC25" i="25" s="1"/>
  <c r="AB50" i="25"/>
  <c r="AB52" i="25" s="1"/>
  <c r="AC37" i="19"/>
  <c r="AC45" i="19" s="1"/>
  <c r="AC47" i="19" s="1"/>
  <c r="AC56" i="6" l="1"/>
  <c r="AC48" i="6"/>
  <c r="AC39" i="6"/>
  <c r="AC42" i="6"/>
  <c r="AD12" i="25"/>
  <c r="AD13" i="25" s="1"/>
  <c r="AC49" i="6"/>
  <c r="AC26" i="25"/>
  <c r="AB22" i="8"/>
  <c r="AC18" i="8" s="1"/>
  <c r="AC20" i="8"/>
  <c r="AB24" i="8"/>
  <c r="AC45" i="6" l="1"/>
  <c r="AD24" i="6" s="1"/>
  <c r="AC44" i="6"/>
  <c r="AB29" i="8"/>
  <c r="AB30" i="8" s="1"/>
  <c r="AC50" i="6"/>
  <c r="AD16" i="25"/>
  <c r="AB33" i="8" l="1"/>
  <c r="AC57" i="6"/>
  <c r="AD27" i="6"/>
  <c r="AD40" i="4" l="1"/>
  <c r="AD42" i="4" s="1"/>
  <c r="AC58" i="6"/>
  <c r="AD28" i="6"/>
  <c r="AB38" i="8"/>
  <c r="AB36" i="8"/>
  <c r="AB39" i="8" s="1"/>
  <c r="AC35" i="8" s="1"/>
  <c r="AC37" i="8" l="1"/>
  <c r="AB41" i="8"/>
  <c r="AC15" i="25" s="1"/>
  <c r="AD30" i="6"/>
  <c r="AD33" i="6"/>
  <c r="AD26" i="6"/>
  <c r="AD44" i="4"/>
  <c r="AD47" i="4" s="1"/>
  <c r="AE42" i="19" s="1"/>
  <c r="AE43" i="19" s="1"/>
  <c r="AD45" i="4"/>
  <c r="AC10" i="8"/>
  <c r="AC13" i="8" s="1"/>
  <c r="AC28" i="8" l="1"/>
  <c r="AC16" i="8"/>
  <c r="AD52" i="6"/>
  <c r="AD36" i="6"/>
  <c r="AD37" i="6" s="1"/>
  <c r="AC18" i="25"/>
  <c r="AC21" i="25" s="1"/>
  <c r="AD32" i="19"/>
  <c r="AD39" i="6" l="1"/>
  <c r="AD42" i="6"/>
  <c r="AD35" i="6"/>
  <c r="AD37" i="19"/>
  <c r="AD45" i="19" s="1"/>
  <c r="AD47" i="19" s="1"/>
  <c r="AD49" i="6"/>
  <c r="AE12" i="25"/>
  <c r="AE13" i="25" s="1"/>
  <c r="AC21" i="8"/>
  <c r="AC19" i="8"/>
  <c r="AC22" i="8" s="1"/>
  <c r="AD18" i="8" s="1"/>
  <c r="AC27" i="25"/>
  <c r="AC28" i="25" s="1"/>
  <c r="AC29" i="25" s="1"/>
  <c r="AD25" i="25" s="1"/>
  <c r="AC50" i="25"/>
  <c r="AC52" i="25" s="1"/>
  <c r="AC43" i="25"/>
  <c r="AC45" i="25" s="1"/>
  <c r="AC37" i="25"/>
  <c r="AC38" i="25" s="1"/>
  <c r="AC57" i="25"/>
  <c r="AC59" i="25" s="1"/>
  <c r="AD26" i="25" l="1"/>
  <c r="AD56" i="6"/>
  <c r="AD48" i="6"/>
  <c r="AD20" i="8"/>
  <c r="AC24" i="8"/>
  <c r="AD45" i="6"/>
  <c r="AE24" i="6" s="1"/>
  <c r="AD44" i="6"/>
  <c r="AD58" i="6" l="1"/>
  <c r="AE27" i="6"/>
  <c r="AE28" i="6"/>
  <c r="AC29" i="8"/>
  <c r="AC30" i="8" s="1"/>
  <c r="AD50" i="6"/>
  <c r="AE16" i="25"/>
  <c r="AD57" i="6"/>
  <c r="AE40" i="4" s="1"/>
  <c r="AE42" i="4" s="1"/>
  <c r="AE33" i="6" l="1"/>
  <c r="AE30" i="6"/>
  <c r="AC33" i="8"/>
  <c r="AE45" i="4"/>
  <c r="AE47" i="4" s="1"/>
  <c r="AF42" i="19" s="1"/>
  <c r="AF43" i="19" s="1"/>
  <c r="AD10" i="8"/>
  <c r="AD13" i="8" s="1"/>
  <c r="AE44" i="4"/>
  <c r="AE26" i="6"/>
  <c r="AD16" i="8" l="1"/>
  <c r="AD28" i="8"/>
  <c r="AC36" i="8"/>
  <c r="AC38" i="8"/>
  <c r="AE37" i="6"/>
  <c r="AE35" i="6" s="1"/>
  <c r="AE52" i="6"/>
  <c r="AE36" i="6"/>
  <c r="AE56" i="6" l="1"/>
  <c r="AE48" i="6"/>
  <c r="AC39" i="8"/>
  <c r="AD35" i="8" s="1"/>
  <c r="AD21" i="8"/>
  <c r="AD19" i="8"/>
  <c r="AD22" i="8" s="1"/>
  <c r="AE18" i="8" s="1"/>
  <c r="AE42" i="6"/>
  <c r="AE39" i="6"/>
  <c r="AD37" i="8"/>
  <c r="AC41" i="8"/>
  <c r="AD15" i="25" s="1"/>
  <c r="AF12" i="25"/>
  <c r="AF13" i="25" s="1"/>
  <c r="AE49" i="6"/>
  <c r="AD18" i="25" l="1"/>
  <c r="AD21" i="25" s="1"/>
  <c r="AE32" i="19"/>
  <c r="AE20" i="8"/>
  <c r="AD24" i="8"/>
  <c r="AE45" i="6"/>
  <c r="AF24" i="6" s="1"/>
  <c r="AE44" i="6"/>
  <c r="AE50" i="6"/>
  <c r="AF16" i="25"/>
  <c r="AE37" i="19" l="1"/>
  <c r="AE45" i="19" s="1"/>
  <c r="AE47" i="19" s="1"/>
  <c r="AD27" i="25"/>
  <c r="AD28" i="25" s="1"/>
  <c r="AD29" i="25" s="1"/>
  <c r="AE25" i="25" s="1"/>
  <c r="AD43" i="25"/>
  <c r="AD45" i="25" s="1"/>
  <c r="AD37" i="25"/>
  <c r="AD38" i="25" s="1"/>
  <c r="AD50" i="25"/>
  <c r="AD52" i="25" s="1"/>
  <c r="AD57" i="25"/>
  <c r="AD59" i="25" s="1"/>
  <c r="AE57" i="6"/>
  <c r="AF27" i="6"/>
  <c r="AF28" i="6" s="1"/>
  <c r="AD29" i="8"/>
  <c r="AD30" i="8" s="1"/>
  <c r="AF33" i="6" l="1"/>
  <c r="AF30" i="6"/>
  <c r="AF26" i="6"/>
  <c r="AF40" i="4"/>
  <c r="AF42" i="4" s="1"/>
  <c r="AE58" i="6"/>
  <c r="AD33" i="8"/>
  <c r="AE26" i="25"/>
  <c r="AF36" i="6" l="1"/>
  <c r="AF37" i="6" s="1"/>
  <c r="AD38" i="8"/>
  <c r="AD36" i="8"/>
  <c r="AD39" i="8" s="1"/>
  <c r="AE35" i="8" s="1"/>
  <c r="AF44" i="4"/>
  <c r="AF45" i="4"/>
  <c r="AF47" i="4"/>
  <c r="AG42" i="19" s="1"/>
  <c r="AG43" i="19" s="1"/>
  <c r="AE10" i="8"/>
  <c r="AE13" i="8" s="1"/>
  <c r="AF42" i="6" l="1"/>
  <c r="AF39" i="6"/>
  <c r="AF35" i="6"/>
  <c r="AE28" i="8"/>
  <c r="AE16" i="8"/>
  <c r="AE37" i="8"/>
  <c r="AD41" i="8"/>
  <c r="AE15" i="25" s="1"/>
  <c r="AF49" i="6"/>
  <c r="AG12" i="25"/>
  <c r="AG13" i="25" s="1"/>
  <c r="AE19" i="8" l="1"/>
  <c r="AE21" i="8"/>
  <c r="AF44" i="6"/>
  <c r="AF57" i="6" s="1"/>
  <c r="AG40" i="4" s="1"/>
  <c r="AG42" i="4" s="1"/>
  <c r="AF45" i="6"/>
  <c r="AF56" i="6"/>
  <c r="AF58" i="6" s="1"/>
  <c r="AF48" i="6"/>
  <c r="B77" i="6"/>
  <c r="E66" i="6" s="1"/>
  <c r="G35" i="2" s="1"/>
  <c r="AE18" i="25"/>
  <c r="AE21" i="25" s="1"/>
  <c r="AF32" i="19"/>
  <c r="AE27" i="25" l="1"/>
  <c r="AE28" i="25" s="1"/>
  <c r="AE29" i="25" s="1"/>
  <c r="AF25" i="25" s="1"/>
  <c r="AE37" i="25"/>
  <c r="AE38" i="25" s="1"/>
  <c r="AE50" i="25"/>
  <c r="AE52" i="25" s="1"/>
  <c r="AE43" i="25"/>
  <c r="AE45" i="25" s="1"/>
  <c r="AE57" i="25"/>
  <c r="AE59" i="25" s="1"/>
  <c r="AE22" i="8"/>
  <c r="AF18" i="8" s="1"/>
  <c r="AG44" i="4"/>
  <c r="AG47" i="4" s="1"/>
  <c r="AH42" i="19" s="1"/>
  <c r="AH43" i="19" s="1"/>
  <c r="AG45" i="4"/>
  <c r="AF10" i="8"/>
  <c r="AF13" i="8" s="1"/>
  <c r="AF50" i="6"/>
  <c r="AF52" i="6" s="1"/>
  <c r="AG16" i="25"/>
  <c r="AF37" i="19"/>
  <c r="AF45" i="19" s="1"/>
  <c r="AF47" i="19" s="1"/>
  <c r="AF20" i="8"/>
  <c r="AE24" i="8"/>
  <c r="AF26" i="25" l="1"/>
  <c r="AE29" i="8"/>
  <c r="AE30" i="8" s="1"/>
  <c r="E69" i="6"/>
  <c r="E68" i="6"/>
  <c r="AF16" i="8"/>
  <c r="AF28" i="8"/>
  <c r="AF24" i="8"/>
  <c r="AF19" i="8" l="1"/>
  <c r="AF21" i="8"/>
  <c r="D65" i="2"/>
  <c r="C9" i="16"/>
  <c r="C12" i="16" s="1"/>
  <c r="AF29" i="8"/>
  <c r="AF30" i="8" s="1"/>
  <c r="C65" i="2"/>
  <c r="D9" i="16"/>
  <c r="D12" i="16" s="1"/>
  <c r="AE33" i="8"/>
  <c r="AF33" i="8" l="1"/>
  <c r="AF41" i="8"/>
  <c r="AG15" i="25" s="1"/>
  <c r="AG18" i="25" s="1"/>
  <c r="AG21" i="25" s="1"/>
  <c r="AE38" i="8"/>
  <c r="AE36" i="8"/>
  <c r="AE39" i="8" s="1"/>
  <c r="AF35" i="8" s="1"/>
  <c r="AF22" i="8"/>
  <c r="AG27" i="25" l="1"/>
  <c r="AG37" i="25"/>
  <c r="AG38" i="25" s="1"/>
  <c r="AG57" i="25"/>
  <c r="AG59" i="25" s="1"/>
  <c r="AG50" i="25"/>
  <c r="AG52" i="25" s="1"/>
  <c r="AG43" i="25"/>
  <c r="AG45" i="25" s="1"/>
  <c r="AF36" i="8"/>
  <c r="AF39" i="8" s="1"/>
  <c r="AF38" i="8"/>
  <c r="AF37" i="8"/>
  <c r="AE41" i="8"/>
  <c r="AF15" i="25" s="1"/>
  <c r="AF18" i="25" l="1"/>
  <c r="AF21" i="25" s="1"/>
  <c r="AG32" i="19"/>
  <c r="AH32" i="19" l="1"/>
  <c r="AH37" i="19" s="1"/>
  <c r="AH45" i="19" s="1"/>
  <c r="AH47" i="19" s="1"/>
  <c r="AG37" i="19"/>
  <c r="AG45" i="19" s="1"/>
  <c r="AG47" i="19" s="1"/>
  <c r="AF50" i="25"/>
  <c r="AF52" i="25" s="1"/>
  <c r="AF27" i="25"/>
  <c r="AF28" i="25" s="1"/>
  <c r="AF29" i="25" s="1"/>
  <c r="AG25" i="25" s="1"/>
  <c r="AF37" i="25"/>
  <c r="AF38" i="25" s="1"/>
  <c r="AF43" i="25"/>
  <c r="AF45" i="25" s="1"/>
  <c r="AF57" i="25"/>
  <c r="AF59" i="25" s="1"/>
  <c r="AG26" i="25" l="1"/>
  <c r="AG28" i="25" s="1"/>
  <c r="AG29" i="25"/>
</calcChain>
</file>

<file path=xl/comments1.xml><?xml version="1.0" encoding="utf-8"?>
<comments xmlns="http://schemas.openxmlformats.org/spreadsheetml/2006/main">
  <authors>
    <author>clau</author>
  </authors>
  <commentList>
    <comment ref="H11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Calculated to include Carry Cost on a separate spreadsheet.</t>
        </r>
      </text>
    </comment>
    <comment ref="H13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This is an estimate, please check with Engineers for specific project</t>
        </r>
      </text>
    </comment>
    <comment ref="H14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This is an estimate, please check with Engineers for specific project</t>
        </r>
      </text>
    </comment>
    <comment ref="H15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This is an estimate, please check with Engineers for specific project</t>
        </r>
      </text>
    </comment>
    <comment ref="C20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$62,000/turbine as per Bruce Golden</t>
        </r>
      </text>
    </comment>
    <comment ref="L38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Assumption checked with Patrick Maloy on 2/4/00.</t>
        </r>
      </text>
    </comment>
    <comment ref="L43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Assumption used for GenCo. Verified with Jody Pierce 2/3/00.</t>
        </r>
      </text>
    </comment>
    <comment ref="H61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As per Bruce Golden for simple cycle LM6000</t>
        </r>
      </text>
    </comment>
  </commentList>
</comments>
</file>

<file path=xl/sharedStrings.xml><?xml version="1.0" encoding="utf-8"?>
<sst xmlns="http://schemas.openxmlformats.org/spreadsheetml/2006/main" count="914" uniqueCount="479">
  <si>
    <t>DSCR</t>
  </si>
  <si>
    <t>IRR</t>
  </si>
  <si>
    <t>MIN</t>
  </si>
  <si>
    <t>ASSUMPTIONS &amp; SUMMARY OUTPUT</t>
  </si>
  <si>
    <t>SOURCES &amp; USES:</t>
  </si>
  <si>
    <t>TECHNICAL ASSUMPTIONS:</t>
  </si>
  <si>
    <t>Sources of Funds</t>
  </si>
  <si>
    <t>%</t>
  </si>
  <si>
    <t>000 $</t>
  </si>
  <si>
    <t xml:space="preserve">Total Equity </t>
  </si>
  <si>
    <t>Total Sources</t>
  </si>
  <si>
    <t>Number of Turbines</t>
  </si>
  <si>
    <t>Equity Partner's Share</t>
  </si>
  <si>
    <t>Enron's Share</t>
  </si>
  <si>
    <t>Amount ('000 $)</t>
  </si>
  <si>
    <t>Term (yrs)</t>
  </si>
  <si>
    <t>Final Maturity</t>
  </si>
  <si>
    <t>Average Life (yrs)</t>
  </si>
  <si>
    <t>Treasury Rate (%)</t>
  </si>
  <si>
    <t>Spread (%)</t>
  </si>
  <si>
    <t>Debt Service Reserve LOC Fee</t>
  </si>
  <si>
    <t>Interest Income Rate</t>
  </si>
  <si>
    <t>DEPRECIATION ASSUMPTIONS:</t>
  </si>
  <si>
    <t>Year</t>
  </si>
  <si>
    <t>Method</t>
  </si>
  <si>
    <t>Residual (%)</t>
  </si>
  <si>
    <t>Federal &amp; State Tax Depreciation</t>
  </si>
  <si>
    <t xml:space="preserve">EPC Costs </t>
  </si>
  <si>
    <t>MACRS</t>
  </si>
  <si>
    <t xml:space="preserve">Transaction Costs </t>
  </si>
  <si>
    <t>SL</t>
  </si>
  <si>
    <t>Book Depreciation</t>
  </si>
  <si>
    <t>SUMMARY OUTPUT:</t>
  </si>
  <si>
    <t>Min</t>
  </si>
  <si>
    <t>Avg.</t>
  </si>
  <si>
    <t>Insurance</t>
  </si>
  <si>
    <t xml:space="preserve">SG&amp;A </t>
  </si>
  <si>
    <t>Admin Fees</t>
  </si>
  <si>
    <t>O&amp;M Fees</t>
  </si>
  <si>
    <t>Custom</t>
  </si>
  <si>
    <t>('000 $)</t>
  </si>
  <si>
    <t>Revenue</t>
  </si>
  <si>
    <t>Total Revenue</t>
  </si>
  <si>
    <t>Expense</t>
  </si>
  <si>
    <t xml:space="preserve">Fuel </t>
  </si>
  <si>
    <t>Marketing Fee</t>
  </si>
  <si>
    <t>Administrative Fee</t>
  </si>
  <si>
    <t xml:space="preserve">O&amp;M Fees </t>
  </si>
  <si>
    <t>Total Expense</t>
  </si>
  <si>
    <t>EBITDA</t>
  </si>
  <si>
    <t>Depreciation &amp; Amortization</t>
  </si>
  <si>
    <t>EBIT</t>
  </si>
  <si>
    <t>Book State Tax Benefit / (Expense)</t>
  </si>
  <si>
    <t>Shareholder Fed. Tax Benefit / (Expense)</t>
  </si>
  <si>
    <t>Net Income</t>
  </si>
  <si>
    <t>Total amount ($ '000)</t>
  </si>
  <si>
    <t>Beginning Balance</t>
  </si>
  <si>
    <t xml:space="preserve">Principal Payment </t>
  </si>
  <si>
    <t xml:space="preserve">Interest Payment </t>
  </si>
  <si>
    <t>Ending Balance</t>
  </si>
  <si>
    <t>Net Debt Service</t>
  </si>
  <si>
    <t>US FEDERAL TAX DEPRECIATION &amp; AMORTIZATION</t>
  </si>
  <si>
    <t>Years</t>
  </si>
  <si>
    <t>Total Beginning Book Value</t>
  </si>
  <si>
    <t>Ending Value of Assets</t>
  </si>
  <si>
    <t>STATE TAX DEPRECIATION &amp; AMORTIZATION</t>
  </si>
  <si>
    <t>BOOK DEPRECIATION &amp; AMORTIZATION</t>
  </si>
  <si>
    <t>Residual</t>
  </si>
  <si>
    <t>Ending Book Value of Assets</t>
  </si>
  <si>
    <t>STATE TAXES</t>
  </si>
  <si>
    <t xml:space="preserve">   Plus Book Depreciation &amp; Amortization</t>
  </si>
  <si>
    <t xml:space="preserve">   Less State Tax Depreciation</t>
  </si>
  <si>
    <t xml:space="preserve">   State Taxable Income</t>
  </si>
  <si>
    <t xml:space="preserve">   Current State Income Tax Expense (Benefit)</t>
  </si>
  <si>
    <t xml:space="preserve">   Beginning NOL's</t>
  </si>
  <si>
    <t xml:space="preserve">   New NOL's</t>
  </si>
  <si>
    <t xml:space="preserve">   Ending NOL's</t>
  </si>
  <si>
    <t>FEDERAL TAXES</t>
  </si>
  <si>
    <t xml:space="preserve">   Less: State Taxes</t>
  </si>
  <si>
    <t xml:space="preserve">   Federal Tax Rate</t>
  </si>
  <si>
    <t xml:space="preserve">   Federal Tax Expense/ (Benefit)</t>
  </si>
  <si>
    <t>Less Interest Payments</t>
  </si>
  <si>
    <t>Less Principal Payments</t>
  </si>
  <si>
    <t>Average Life</t>
  </si>
  <si>
    <t>Unhide Sub Debt, 1999 Columns</t>
  </si>
  <si>
    <t xml:space="preserve">Debt Issued </t>
  </si>
  <si>
    <t>Equity Closed</t>
  </si>
  <si>
    <t>Debt Issuance</t>
  </si>
  <si>
    <t>Key Stats</t>
  </si>
  <si>
    <t>Escalated Costs:</t>
  </si>
  <si>
    <t>Non-Escalated Costs:</t>
  </si>
  <si>
    <t>Evaporative Cooler (MW)</t>
  </si>
  <si>
    <t>PROJECT DESCRIPTION:</t>
  </si>
  <si>
    <t>INCOME STATEMENT</t>
  </si>
  <si>
    <t>DEBT ISSUANCE</t>
  </si>
  <si>
    <t>DEPRECIATION SCHEDULE</t>
  </si>
  <si>
    <t>TAXES</t>
  </si>
  <si>
    <t>Time Factor</t>
  </si>
  <si>
    <t xml:space="preserve">   State Income Tax Rate</t>
  </si>
  <si>
    <t>EBITDA (000 $)</t>
  </si>
  <si>
    <t>Net Income (000 $)</t>
  </si>
  <si>
    <t>Pre-Tax Cashflow (000 $)</t>
  </si>
  <si>
    <t>Financing Costs:</t>
  </si>
  <si>
    <t xml:space="preserve">  Financing Fee</t>
  </si>
  <si>
    <t>Total Uses</t>
  </si>
  <si>
    <t>Uses of Funds</t>
  </si>
  <si>
    <t>Type of Turbine</t>
  </si>
  <si>
    <t>Project Life (Years)</t>
  </si>
  <si>
    <t>Start of Commercial Operation</t>
  </si>
  <si>
    <t>Sub Total</t>
  </si>
  <si>
    <t xml:space="preserve">  Pipeline</t>
  </si>
  <si>
    <t xml:space="preserve">  Power Interconnection</t>
  </si>
  <si>
    <t xml:space="preserve">  SCR</t>
  </si>
  <si>
    <t xml:space="preserve">  Dual Fuel </t>
  </si>
  <si>
    <t xml:space="preserve">  Black Start</t>
  </si>
  <si>
    <t xml:space="preserve">  Demineralized Water Facility</t>
  </si>
  <si>
    <t xml:space="preserve">  Spare Parts</t>
  </si>
  <si>
    <t>DEBT</t>
  </si>
  <si>
    <t>EQUITY</t>
  </si>
  <si>
    <t>FINANCING ASSUMPTIONS:</t>
  </si>
  <si>
    <t>LM6000</t>
  </si>
  <si>
    <t>Market Price Scenario</t>
  </si>
  <si>
    <t>Net Generation (MW)</t>
  </si>
  <si>
    <t xml:space="preserve">Current </t>
  </si>
  <si>
    <t>TRACKING SHEET</t>
  </si>
  <si>
    <t>Residual Value</t>
  </si>
  <si>
    <t>RESIDUAL VALUE</t>
  </si>
  <si>
    <t>Treasury Rate as of:</t>
  </si>
  <si>
    <t>Maximum DSR Amount (000 $)</t>
  </si>
  <si>
    <t>(months/year)</t>
  </si>
  <si>
    <t>Site Condition (MW)</t>
  </si>
  <si>
    <t>CPI Escalator (%)</t>
  </si>
  <si>
    <t>Federal Income Tax Rate (%)</t>
  </si>
  <si>
    <t>Date</t>
  </si>
  <si>
    <t>No. of Months in the 1st Operating year</t>
  </si>
  <si>
    <t>Interest Expense</t>
  </si>
  <si>
    <t>Principal Payments</t>
  </si>
  <si>
    <t>BALANCE SHEET</t>
  </si>
  <si>
    <t>Assets</t>
  </si>
  <si>
    <t>Cash</t>
  </si>
  <si>
    <t>Accounts Receivable</t>
  </si>
  <si>
    <t>Inventories</t>
  </si>
  <si>
    <t>Other Current Assets</t>
  </si>
  <si>
    <t>Debt Service Reserve</t>
  </si>
  <si>
    <t>Total Current Assets</t>
  </si>
  <si>
    <t>Gross PP&amp;E</t>
  </si>
  <si>
    <t>Accumulated Depreciation</t>
  </si>
  <si>
    <t>Net PP&amp;E</t>
  </si>
  <si>
    <t>Land</t>
  </si>
  <si>
    <t>Other Assets</t>
  </si>
  <si>
    <t>Total Assets</t>
  </si>
  <si>
    <t>Liabilities</t>
  </si>
  <si>
    <t>Accounts Payable</t>
  </si>
  <si>
    <t>Accrued Expenses</t>
  </si>
  <si>
    <t>Deferred Tax Liability</t>
  </si>
  <si>
    <t>Working Capital Revolver</t>
  </si>
  <si>
    <t>Long Term Debt</t>
  </si>
  <si>
    <t>Other Non-Current Liabilities</t>
  </si>
  <si>
    <t>Total Long-term Liabilities</t>
  </si>
  <si>
    <t>Stockholders' Equity</t>
  </si>
  <si>
    <t>Paid-In-Capital</t>
  </si>
  <si>
    <t>Retained earnings</t>
  </si>
  <si>
    <t>Total stockholders' equity</t>
  </si>
  <si>
    <t>Total Liabilities &amp; Equity</t>
  </si>
  <si>
    <t>Proof</t>
  </si>
  <si>
    <t>NOTES</t>
  </si>
  <si>
    <t xml:space="preserve">  EE&amp;CC Project Management</t>
  </si>
  <si>
    <t xml:space="preserve">  Environmental Permitting</t>
  </si>
  <si>
    <t xml:space="preserve">  Capitalized Salaries</t>
  </si>
  <si>
    <t xml:space="preserve">  Development Expenses</t>
  </si>
  <si>
    <t xml:space="preserve">  Legal Expense</t>
  </si>
  <si>
    <t xml:space="preserve">  Lender's Engineer</t>
  </si>
  <si>
    <t xml:space="preserve">  Lender's Counsel</t>
  </si>
  <si>
    <t xml:space="preserve">  Interconnect Study</t>
  </si>
  <si>
    <t>No. of Run Hours per year</t>
  </si>
  <si>
    <t>$/kW-year</t>
  </si>
  <si>
    <t xml:space="preserve">  Owner's Engineer</t>
  </si>
  <si>
    <t xml:space="preserve">  BOP &amp; Construction</t>
  </si>
  <si>
    <t xml:space="preserve">  Overhead &amp; Fees - EE&amp;CC</t>
  </si>
  <si>
    <t xml:space="preserve">  Overhead &amp; Fees - Nepco</t>
  </si>
  <si>
    <t xml:space="preserve">  Land</t>
  </si>
  <si>
    <t xml:space="preserve">  Contingency</t>
  </si>
  <si>
    <t>IDC Calculations</t>
  </si>
  <si>
    <t>Month</t>
  </si>
  <si>
    <t>% Drawn</t>
  </si>
  <si>
    <t>Turbine Cost</t>
  </si>
  <si>
    <t>Other Cost</t>
  </si>
  <si>
    <t>Principal</t>
  </si>
  <si>
    <t>Balance</t>
  </si>
  <si>
    <t>Interest</t>
  </si>
  <si>
    <t>Cum. Interest</t>
  </si>
  <si>
    <t>IDC CALCULATIONS</t>
  </si>
  <si>
    <t>Construction &amp;</t>
  </si>
  <si>
    <t>including Carry</t>
  </si>
  <si>
    <t>No. of Construction Months</t>
  </si>
  <si>
    <t>(000$)</t>
  </si>
  <si>
    <t>Interest During Construction:</t>
  </si>
  <si>
    <t>Annual</t>
  </si>
  <si>
    <t>No. of Construction Months:</t>
  </si>
  <si>
    <t>$/kW</t>
  </si>
  <si>
    <r>
      <t xml:space="preserve">PPA ASSUMPTIONS </t>
    </r>
    <r>
      <rPr>
        <b/>
        <u/>
        <sz val="12"/>
        <color indexed="10"/>
        <rFont val="Times New Roman"/>
        <family val="1"/>
      </rPr>
      <t>(MAKE CHANGES AS NEEDED):</t>
    </r>
  </si>
  <si>
    <t>000$ -year</t>
  </si>
  <si>
    <t>Variable Operating Cost</t>
  </si>
  <si>
    <t>Fixed Operating Expenses</t>
  </si>
  <si>
    <r>
      <t xml:space="preserve">OPERATING COSTS ASSUMPTIONS </t>
    </r>
    <r>
      <rPr>
        <b/>
        <u/>
        <sz val="9"/>
        <color indexed="10"/>
        <rFont val="Times New Roman"/>
        <family val="1"/>
      </rPr>
      <t>(FROM ENGINEERS/ASSET MANAGEMENT):</t>
    </r>
  </si>
  <si>
    <t>Franchise Tax</t>
  </si>
  <si>
    <t>SOURCES</t>
  </si>
  <si>
    <t>Source</t>
  </si>
  <si>
    <t>Patrick Maloy</t>
  </si>
  <si>
    <t>Gross Receipts Tax</t>
  </si>
  <si>
    <t>Gross Receipts Tax (%)</t>
  </si>
  <si>
    <t>Pretax Book Income</t>
  </si>
  <si>
    <t xml:space="preserve">   Adjusted Pretax Book Income</t>
  </si>
  <si>
    <t xml:space="preserve">   Federal Taxable Income</t>
  </si>
  <si>
    <t>TOTAL STATE TAXES UTILIZING NOLs</t>
  </si>
  <si>
    <t>Property Tax</t>
  </si>
  <si>
    <t>Cost Per Turbine (w Carry Cost) (000$)</t>
  </si>
  <si>
    <t xml:space="preserve">  IDC</t>
  </si>
  <si>
    <t>23-24</t>
  </si>
  <si>
    <t>21-22</t>
  </si>
  <si>
    <t>19-20</t>
  </si>
  <si>
    <t>16-18</t>
  </si>
  <si>
    <t>14-15</t>
  </si>
  <si>
    <t>12-13</t>
  </si>
  <si>
    <t>9-11</t>
  </si>
  <si>
    <t>7-8</t>
  </si>
  <si>
    <t>4-6</t>
  </si>
  <si>
    <t>1-3</t>
  </si>
  <si>
    <t>LD'S</t>
  </si>
  <si>
    <t>TURBINE DELIVERY SCHEDULE</t>
  </si>
  <si>
    <t>WestLB Structuring, Restructuring &amp; Legal Fees</t>
  </si>
  <si>
    <t>Basis Per Turbine</t>
  </si>
  <si>
    <t>Carry Cost Per Turbine</t>
  </si>
  <si>
    <t>Daily (360-Day)</t>
  </si>
  <si>
    <t>15 year MACRS</t>
  </si>
  <si>
    <t>(Project Specific)</t>
  </si>
  <si>
    <t>Gas Price Assumption</t>
  </si>
  <si>
    <t>Fuel</t>
  </si>
  <si>
    <t>Fixed</t>
  </si>
  <si>
    <t>Sales Tax Rate</t>
  </si>
  <si>
    <t>Sales &amp; Used Tax Rate on Fuel (%)</t>
  </si>
  <si>
    <t>Index</t>
  </si>
  <si>
    <t>Capacity $</t>
  </si>
  <si>
    <t>Base</t>
  </si>
  <si>
    <t>Low</t>
  </si>
  <si>
    <t>Energy Price Assumption</t>
  </si>
  <si>
    <t>VOM</t>
  </si>
  <si>
    <t>Total VOM</t>
  </si>
  <si>
    <t>Total Fixed Escalating Cost</t>
  </si>
  <si>
    <t>Variable Operating Expenses</t>
  </si>
  <si>
    <t>Major Maintenance</t>
  </si>
  <si>
    <t>Plant &amp; Equipment - MACRS</t>
  </si>
  <si>
    <t>Start-Up Costs - SL</t>
  </si>
  <si>
    <t>Start-Up Cost</t>
  </si>
  <si>
    <t>Close</t>
  </si>
  <si>
    <t>Franchise Tax (% on Net Asset)</t>
  </si>
  <si>
    <t>% of Project Cost</t>
  </si>
  <si>
    <t>Residual Value (at year 30)</t>
  </si>
  <si>
    <t>EBITDA Exit Multiple</t>
  </si>
  <si>
    <t xml:space="preserve">  Fin Fan Cooler</t>
  </si>
  <si>
    <t>Fin Fan Cooler</t>
  </si>
  <si>
    <t>None</t>
  </si>
  <si>
    <t>Capacity</t>
  </si>
  <si>
    <t>Chillers</t>
  </si>
  <si>
    <t>Compressor</t>
  </si>
  <si>
    <t>Yes</t>
  </si>
  <si>
    <t>No</t>
  </si>
  <si>
    <t>ISO</t>
  </si>
  <si>
    <r>
      <t>95</t>
    </r>
    <r>
      <rPr>
        <vertAlign val="superscript"/>
        <sz val="7.5"/>
        <rFont val="Times New Roman"/>
        <family val="1"/>
      </rPr>
      <t>o</t>
    </r>
  </si>
  <si>
    <t>Available PSIG</t>
  </si>
  <si>
    <t>Net Turbine Rating (MW)</t>
  </si>
  <si>
    <t>With Chillers</t>
  </si>
  <si>
    <t>Without Chillers</t>
  </si>
  <si>
    <t>All-in Capital Cost ($/kW)</t>
  </si>
  <si>
    <t>calculations</t>
  </si>
  <si>
    <t xml:space="preserve">  Sales &amp; Used Tax</t>
  </si>
  <si>
    <t>Sales &amp; Used Tax Rate on Hard Cost (%)</t>
  </si>
  <si>
    <t>CONTACTS</t>
  </si>
  <si>
    <t>Accounting</t>
  </si>
  <si>
    <t>Jody Pierce</t>
  </si>
  <si>
    <t>O&amp;M</t>
  </si>
  <si>
    <t>Scot Chambers</t>
  </si>
  <si>
    <t>Engineers</t>
  </si>
  <si>
    <t>Mike Coleman</t>
  </si>
  <si>
    <t>Bruce Golden</t>
  </si>
  <si>
    <t>Chris Booth</t>
  </si>
  <si>
    <t>Clement Lau</t>
  </si>
  <si>
    <t>Ben Rogers</t>
  </si>
  <si>
    <t>Doug Sewell</t>
  </si>
  <si>
    <t>State Income Tax Rate (average %)</t>
  </si>
  <si>
    <t xml:space="preserve">   NOL Utilization (8 years)</t>
  </si>
  <si>
    <t xml:space="preserve">   Expired NOLs</t>
  </si>
  <si>
    <t xml:space="preserve">   NOL Utilization (15 years)</t>
  </si>
  <si>
    <t>x 3-6174</t>
  </si>
  <si>
    <t>x 6-8371</t>
  </si>
  <si>
    <t>x 6-6385</t>
  </si>
  <si>
    <t>x 6-6063</t>
  </si>
  <si>
    <t>x 6-7089</t>
  </si>
  <si>
    <t>x 3-9446</t>
  </si>
  <si>
    <t>x 3-7998</t>
  </si>
  <si>
    <t>x 3-6337</t>
  </si>
  <si>
    <t>Contacts</t>
  </si>
  <si>
    <t>Subjects</t>
  </si>
  <si>
    <t>Extension</t>
  </si>
  <si>
    <t>Location (State)</t>
  </si>
  <si>
    <t>MO</t>
  </si>
  <si>
    <t>Fixed Price PPA</t>
  </si>
  <si>
    <t>Fixed Price</t>
  </si>
  <si>
    <t>No. of years</t>
  </si>
  <si>
    <t xml:space="preserve">Merchant Price Period </t>
  </si>
  <si>
    <t>Blended Capacity Price</t>
  </si>
  <si>
    <t>(1st year Annualized)</t>
  </si>
  <si>
    <t>Net Output (MW)</t>
  </si>
  <si>
    <t>Please double check the model/pages before sending out to clients as certain information/comment cells/notes etc. may be too detailed to be disclosed</t>
  </si>
  <si>
    <t>All yellow shaded cells are required input cells</t>
  </si>
  <si>
    <t>No Capacity Degradation for LM 6000 Peaker model</t>
  </si>
  <si>
    <t>Merchant Price</t>
  </si>
  <si>
    <t>Pass-through</t>
  </si>
  <si>
    <t>Not Pass-through</t>
  </si>
  <si>
    <t>000$/MW</t>
  </si>
  <si>
    <t>Transaction Costs - SL</t>
  </si>
  <si>
    <t>Turbine carrying cost are based on assumptions on the WestLB Structure, the numbers may change after 03/15/00</t>
  </si>
  <si>
    <t>Construction Loan</t>
  </si>
  <si>
    <t>Debt</t>
  </si>
  <si>
    <t>Capital Market</t>
  </si>
  <si>
    <t>Mini-perm</t>
  </si>
  <si>
    <t>Bank LT Debt</t>
  </si>
  <si>
    <t>All-In Rate (%)</t>
  </si>
  <si>
    <t>Target DS</t>
  </si>
  <si>
    <t>Addition</t>
  </si>
  <si>
    <t>Debt Summary</t>
  </si>
  <si>
    <t>Pro-rata EBITDA</t>
  </si>
  <si>
    <t>95 degrees</t>
  </si>
  <si>
    <t>x 3-7202</t>
  </si>
  <si>
    <t>x 5-7405</t>
  </si>
  <si>
    <t>Spread Option Model</t>
  </si>
  <si>
    <t>Jim Simpson</t>
  </si>
  <si>
    <t xml:space="preserve">  Gas Compression</t>
  </si>
  <si>
    <t>Enron Equity Returns</t>
  </si>
  <si>
    <t>Turbine No.</t>
  </si>
  <si>
    <t xml:space="preserve">Unit </t>
  </si>
  <si>
    <t>Number</t>
  </si>
  <si>
    <t>Turbines</t>
  </si>
  <si>
    <t>Delivered</t>
  </si>
  <si>
    <t>Delivery</t>
  </si>
  <si>
    <t>Schedule</t>
  </si>
  <si>
    <t>Enforced On</t>
  </si>
  <si>
    <t>Summary (000$):</t>
  </si>
  <si>
    <t>Total Price</t>
  </si>
  <si>
    <t>No. of Months</t>
  </si>
  <si>
    <t>Sum</t>
  </si>
  <si>
    <t>Ending Balance at Maturity</t>
  </si>
  <si>
    <t>Debt Principal</t>
  </si>
  <si>
    <t>Total Construction &amp; Other Costs (000$):</t>
  </si>
  <si>
    <t>Start Charge</t>
  </si>
  <si>
    <t>No. of Starts per year</t>
  </si>
  <si>
    <t>Pre-Tax Cashflow</t>
  </si>
  <si>
    <t>Less Cash Taxes</t>
  </si>
  <si>
    <t>Less Capex</t>
  </si>
  <si>
    <t>Cashflow to Equity</t>
  </si>
  <si>
    <t>Total Cash Flow</t>
  </si>
  <si>
    <t>Actual Cash Flow</t>
  </si>
  <si>
    <t>Equity Return</t>
  </si>
  <si>
    <t>Zero Residual Value</t>
  </si>
  <si>
    <t>Equity Paydown</t>
  </si>
  <si>
    <t>RROR Target Coupon</t>
  </si>
  <si>
    <t>Equity RROR</t>
  </si>
  <si>
    <t>Estimated drawdown schedule</t>
  </si>
  <si>
    <t>Cashflow to Equity (000 $)</t>
  </si>
  <si>
    <t>Use GenCo assumption as per Jody Pierce</t>
  </si>
  <si>
    <t>Property Tax, State Tax</t>
  </si>
  <si>
    <t>Jim Curry</t>
  </si>
  <si>
    <t>State/Property Tax</t>
  </si>
  <si>
    <t>x 3-6367</t>
  </si>
  <si>
    <t xml:space="preserve">Federal Tax, Franchise Tax, Sales &amp; Used Tax, NOL </t>
  </si>
  <si>
    <t>Plant &amp; Equipment - SL</t>
  </si>
  <si>
    <t>Model</t>
  </si>
  <si>
    <t>Turbine/Technical Info</t>
  </si>
  <si>
    <t>Track Changes</t>
  </si>
  <si>
    <t>30 Yrs After-Tax Cashflow with Zero Residual Value</t>
  </si>
  <si>
    <t>% of Initial Project Cost</t>
  </si>
  <si>
    <t>Heat Rate-New and Clean (HHV)</t>
  </si>
  <si>
    <t>Heat Rate-Degraded (HHV)</t>
  </si>
  <si>
    <r>
      <t xml:space="preserve">Soft Cost </t>
    </r>
    <r>
      <rPr>
        <sz val="9"/>
        <color indexed="10"/>
        <rFont val="Times New Roman"/>
        <family val="1"/>
      </rPr>
      <t>(From Engineers/Asset Management):</t>
    </r>
  </si>
  <si>
    <r>
      <t xml:space="preserve">TAX ASSUMPTIONS </t>
    </r>
    <r>
      <rPr>
        <b/>
        <u/>
        <sz val="9"/>
        <color indexed="10"/>
        <rFont val="Times New Roman"/>
        <family val="1"/>
      </rPr>
      <t>(PROJECT MAY INCLUDE SPECIFIC TAXES):</t>
    </r>
  </si>
  <si>
    <t>RETURNS ANALYSIS</t>
  </si>
  <si>
    <t>Average</t>
  </si>
  <si>
    <t>Minimum</t>
  </si>
  <si>
    <t>Accrued Debt Service</t>
  </si>
  <si>
    <t>Debt Service</t>
  </si>
  <si>
    <t>Average Life (years)</t>
  </si>
  <si>
    <t>Term (years)</t>
  </si>
  <si>
    <t>Treasury (%)</t>
  </si>
  <si>
    <t>All In Coupon Rate (%)</t>
  </si>
  <si>
    <t>EBITDA by Debt Fiscal Year</t>
  </si>
  <si>
    <t>GAS PRICE $/MMBTU</t>
  </si>
  <si>
    <t>ENERGY PRICE $/MWH</t>
  </si>
  <si>
    <t>ENRON'S RETURNS ANALYSIS</t>
  </si>
  <si>
    <t>Warren Schick</t>
  </si>
  <si>
    <t>x 3-0689</t>
  </si>
  <si>
    <t>Mike Fredell</t>
  </si>
  <si>
    <t>x 3-7022</t>
  </si>
  <si>
    <t>The model shows only an example of the economics for a LM6000 project. Please modify the model for the specific transaction</t>
  </si>
  <si>
    <t>you are trying to model (Please see the contact list below)</t>
  </si>
  <si>
    <t>ACTUAL DSCR</t>
  </si>
  <si>
    <t>PRICE/TECHNICAL ASSUMPTIONS</t>
  </si>
  <si>
    <t>HEAT RATE (HHV)</t>
  </si>
  <si>
    <t>New and Clean</t>
  </si>
  <si>
    <t>Net Heat Rate</t>
  </si>
  <si>
    <t>Degradation (%)</t>
  </si>
  <si>
    <t>Distribution to Equity</t>
  </si>
  <si>
    <t>Heat Rate Degradation</t>
  </si>
  <si>
    <t>(This page is set up to solve for Debt Principal given DSCR, by using the Goal Seek Button)</t>
  </si>
  <si>
    <t>EQUITY IRR WITH NO</t>
  </si>
  <si>
    <t>The dispatch template is attached. Please check with Jim Simpson for the required inputs</t>
  </si>
  <si>
    <t>Variable O&amp;M</t>
  </si>
  <si>
    <t>Federal Tax, misc. Tax</t>
  </si>
  <si>
    <t>(Debt Anniversary)</t>
  </si>
  <si>
    <t>CAPACITY PRICE $/kW-MONTH</t>
  </si>
  <si>
    <t>Capacity Charge ($/kW-mo.)</t>
  </si>
  <si>
    <t>AVG.</t>
  </si>
  <si>
    <t>Bernstein's cost model, calculated by Bruce Golden</t>
  </si>
  <si>
    <r>
      <t xml:space="preserve">EPC </t>
    </r>
    <r>
      <rPr>
        <sz val="9"/>
        <color indexed="10"/>
        <rFont val="Times New Roman"/>
        <family val="1"/>
      </rPr>
      <t>(From Engineers/Nepco):</t>
    </r>
  </si>
  <si>
    <t xml:space="preserve">  Turbine (with Carrying Cost)</t>
  </si>
  <si>
    <t>Marginal Cost of Generation</t>
  </si>
  <si>
    <t>Matt Gockerman</t>
  </si>
  <si>
    <t>x 3-3979</t>
  </si>
  <si>
    <t>Variable Payment ($/mWh)</t>
  </si>
  <si>
    <t>$/mWh</t>
  </si>
  <si>
    <r>
      <t xml:space="preserve">  Chillers </t>
    </r>
    <r>
      <rPr>
        <sz val="9"/>
        <color indexed="10"/>
        <rFont val="Times New Roman"/>
        <family val="1"/>
      </rPr>
      <t>(Check that BOP did not already include this)</t>
    </r>
  </si>
  <si>
    <t>Debt Service Reserve Fee</t>
  </si>
  <si>
    <t>*Rough Estimate by Bruce Golden. Please double-check for deal specific</t>
  </si>
  <si>
    <t xml:space="preserve">  Insurance</t>
  </si>
  <si>
    <r>
      <t xml:space="preserve">  Mobilization Expenses </t>
    </r>
    <r>
      <rPr>
        <sz val="9"/>
        <color indexed="10"/>
        <rFont val="Times New Roman"/>
        <family val="1"/>
      </rPr>
      <t>(check that it did not have spare parts)</t>
    </r>
  </si>
  <si>
    <t>Four-hour Block Nominal MW Summary - NY East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</si>
  <si>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</si>
  <si>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</si>
  <si>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</si>
  <si>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</si>
  <si>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</si>
  <si>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</si>
  <si>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</si>
  <si>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</si>
  <si>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</si>
  <si>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</si>
  <si>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</si>
  <si>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</si>
  <si>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WD1</t>
  </si>
  <si>
    <t>WD2</t>
  </si>
  <si>
    <t>WD3</t>
  </si>
  <si>
    <t>WD4</t>
  </si>
  <si>
    <t>WD5</t>
  </si>
  <si>
    <t>WD6</t>
  </si>
  <si>
    <t>WE1</t>
  </si>
  <si>
    <t>WE2</t>
  </si>
  <si>
    <t>WE3</t>
  </si>
  <si>
    <t>WE4</t>
  </si>
  <si>
    <t>WE5</t>
  </si>
  <si>
    <t>WE6</t>
  </si>
  <si>
    <t>MAX</t>
  </si>
  <si>
    <t>Max</t>
  </si>
  <si>
    <t>Esc.</t>
  </si>
  <si>
    <t>PROJECT NAME:  Retail Shorts</t>
  </si>
  <si>
    <t>ICAP</t>
  </si>
  <si>
    <t xml:space="preserve">Price to Serve EES Load </t>
  </si>
  <si>
    <t>EES Load</t>
  </si>
  <si>
    <t>MWh</t>
  </si>
  <si>
    <t>Annual Cost (MM)</t>
  </si>
  <si>
    <t>Capacity Prices</t>
  </si>
  <si>
    <t>Expenses</t>
  </si>
  <si>
    <t>Expense of Serving EES Load</t>
  </si>
  <si>
    <t>70% Correlation</t>
  </si>
  <si>
    <t xml:space="preserve">Include Serving Load Revenue from EES </t>
  </si>
  <si>
    <r>
      <t xml:space="preserve">Energy Prices </t>
    </r>
    <r>
      <rPr>
        <sz val="8"/>
        <rFont val="Times New Roman"/>
        <family val="1"/>
      </rPr>
      <t>(Drop in from Structuring)</t>
    </r>
  </si>
  <si>
    <t xml:space="preserve">  Enhanced Sprint Option</t>
  </si>
  <si>
    <t>Energy Price</t>
  </si>
  <si>
    <t>Spread Option Capacity Revenue</t>
  </si>
  <si>
    <t>Spread Option Energy Revenue</t>
  </si>
  <si>
    <t>EES Energy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</si>
</sst>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9"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_(&quot;$&quot;* #,##0_);_(&quot;$&quot;* \(#,##0\);_(&quot;$&quot;* &quot;-&quot;??_);_(@_)"/>
    <numFmt numFmtId="166" formatCode="_(* #,##0_);_(* \(#,##0\);_(* &quot;-&quot;??_);_(@_)"/>
    <numFmt numFmtId="168" formatCode="_(* #,##0.0_);_(* \(#,##0.0\);_(* &quot;-&quot;??_);_(@_)"/>
    <numFmt numFmtId="169" formatCode="0_)"/>
    <numFmt numFmtId="170" formatCode="0.00_)"/>
    <numFmt numFmtId="171" formatCode="#,##0.0_);\(#,##0.0\)"/>
    <numFmt numFmtId="172" formatCode="#,##0.000_);\(#,##0.000\)"/>
    <numFmt numFmtId="173" formatCode="0.000%"/>
    <numFmt numFmtId="179" formatCode="0.00\x_);\(0.00\x\)"/>
    <numFmt numFmtId="180" formatCode="_(* #,##0.0_);_(* \(#,##0.0\);_(* &quot;-&quot;?_);_(@_)"/>
    <numFmt numFmtId="187" formatCode="0.0"/>
    <numFmt numFmtId="190" formatCode="0.000"/>
    <numFmt numFmtId="193" formatCode="_(* #,##0.000_);_(* \(#,##0.000\);_(* &quot;-&quot;??_);_(@_)"/>
    <numFmt numFmtId="194" formatCode="_(* #,##0.0000_);_(* \(#,##0.0000\);_(* &quot;-&quot;??_);_(@_)"/>
    <numFmt numFmtId="201" formatCode="_(&quot;$&quot;* #,##0.000_);_(&quot;$&quot;* \(#,##0.000\);_(&quot;$&quot;* &quot;-&quot;??_);_(@_)"/>
    <numFmt numFmtId="204" formatCode="#,##0.0_);[Red]\(#,##0.0\)"/>
    <numFmt numFmtId="205" formatCode="#,##0.000_);[Red]\(#,##0.000\)"/>
    <numFmt numFmtId="208" formatCode="_(&quot;$&quot;* #,##0.00000_);_(&quot;$&quot;* \(#,##0.00000\);_(&quot;$&quot;* &quot;-&quot;??_);_(@_)"/>
    <numFmt numFmtId="209" formatCode="&quot;$&quot;#,##0.00000"/>
    <numFmt numFmtId="210" formatCode="0.000000000000000%"/>
    <numFmt numFmtId="212" formatCode="0.00\x"/>
    <numFmt numFmtId="231" formatCode="0.000000%"/>
    <numFmt numFmtId="232" formatCode="0.0000000%"/>
    <numFmt numFmtId="238" formatCode="_(* #,##0.0000000000_);_(* \(#,##0.0000000000\);_(* &quot;-&quot;_);_(@_)"/>
    <numFmt numFmtId="240" formatCode="_(* #,##0.000000000000_);_(* \(#,##0.000000000000\);_(* &quot;-&quot;_);_(@_)"/>
    <numFmt numFmtId="250" formatCode="0.0%;\-0.0%;\ &quot;-&quot;_%;@_%"/>
    <numFmt numFmtId="262" formatCode="0.000000%;\-0.000000%;\ &quot;-&quot;_%;@_%"/>
    <numFmt numFmtId="263" formatCode="_(* #,##0.0000_);_(* \(#,##0.0000\);_(* &quot;-&quot;????_);_(@_)"/>
    <numFmt numFmtId="264" formatCode="_(* #,##0.000_);_(* \(#,##0.000\);_(* &quot;-&quot;???_);_(@_)"/>
    <numFmt numFmtId="269" formatCode="_ &quot;$&quot;\ * #,##0_ ;_ &quot;$&quot;\ * \-#,##0_ ;_ &quot;$&quot;\ * &quot;-&quot;_ ;_ @_ "/>
    <numFmt numFmtId="270" formatCode="_ * #,##0_ ;_ * \-#,##0_ ;_ * &quot;-&quot;_ ;_ @_ "/>
    <numFmt numFmtId="271" formatCode="_ &quot;$&quot;\ * #,##0.00_ ;_ &quot;$&quot;\ * \-#,##0.00_ ;_ &quot;$&quot;\ * &quot;-&quot;??_ ;_ @_ "/>
    <numFmt numFmtId="272" formatCode="_ * #,##0.00_ ;_ * \-#,##0.00_ ;_ * &quot;-&quot;??_ ;_ @_ "/>
    <numFmt numFmtId="273" formatCode="_ &quot;$&quot;\ * #,##0.0_ ;_ &quot;$&quot;\ * \-#,##0.0_ ;_ &quot;$&quot;\ * &quot;-&quot;??_ ;_ @_ "/>
    <numFmt numFmtId="281" formatCode="#,##0.0000_);[Red]\(#,##0.0000\)"/>
    <numFmt numFmtId="299" formatCode="m/yy"/>
    <numFmt numFmtId="301" formatCode="0.0000_)"/>
    <numFmt numFmtId="302" formatCode=";;;"/>
    <numFmt numFmtId="304" formatCode="&quot;$&quot;#,##0;[Red]&quot;$&quot;#,##0"/>
    <numFmt numFmtId="305" formatCode="0_);[Red]\(0\)"/>
    <numFmt numFmtId="306" formatCode="_(* #,##0.000000_);_(* \(#,##0.000000\);_(* &quot;-&quot;??_);_(@_)"/>
    <numFmt numFmtId="310" formatCode="0.00000000000000000%"/>
    <numFmt numFmtId="311" formatCode="yyyy"/>
    <numFmt numFmtId="313" formatCode="mmmm\ d\,\ yyyy"/>
    <numFmt numFmtId="315" formatCode="_(* #,##0.00000000_);_(* \(#,##0.00000000\);_(* &quot;-&quot;??_);_(@_)"/>
    <numFmt numFmtId="318" formatCode="0.000000\x_);\(0.000000\x\)"/>
    <numFmt numFmtId="319" formatCode="#,##0.000000_);[Red]\(#,##0.000000\)"/>
    <numFmt numFmtId="320" formatCode="0.00000000000000%"/>
    <numFmt numFmtId="321" formatCode="mm/dd/yy"/>
    <numFmt numFmtId="322" formatCode="m/d/yy"/>
    <numFmt numFmtId="333" formatCode="#,##0.0000000_);[Red]\(#,##0.0000000\)"/>
    <numFmt numFmtId="334" formatCode="#,##0.00000000_);[Red]\(#,##0.00000000\)"/>
    <numFmt numFmtId="335" formatCode="General_)"/>
    <numFmt numFmtId="336" formatCode="dd\-mmm_)"/>
    <numFmt numFmtId="337" formatCode="mmm\-dd"/>
    <numFmt numFmtId="338" formatCode="#,##0;\(#,##0\)"/>
    <numFmt numFmtId="339" formatCode="&quot;$&quot;#,##0;\(&quot;$&quot;#,##0\)"/>
    <numFmt numFmtId="340" formatCode="##0.000\ \¢"/>
    <numFmt numFmtId="341" formatCode="0.000E+00_)"/>
    <numFmt numFmtId="342" formatCode="&quot;$&quot;#,##0.0000000_);\(&quot;$&quot;#,##0.0000000\)"/>
    <numFmt numFmtId="343" formatCode="0.000000000"/>
    <numFmt numFmtId="344" formatCode="0.0000000000"/>
    <numFmt numFmtId="347" formatCode="&quot;$&quot;#,##0.000000000_);\(&quot;$&quot;#,##0.000000000\)"/>
    <numFmt numFmtId="348" formatCode="&quot;$&quot;#,##0.0000000000_);\(&quot;$&quot;#,##0.0000000000\)"/>
    <numFmt numFmtId="349" formatCode="&quot;$&quot;#,##0.000000_);[Red]\(&quot;$&quot;#,##0.000000\)"/>
    <numFmt numFmtId="350" formatCode="&quot;$&quot;#,##0.0000000_);[Red]\(&quot;$&quot;#,##0.0000000\)"/>
    <numFmt numFmtId="352" formatCode="0.0000000_)"/>
    <numFmt numFmtId="354" formatCode="0.000000000_)"/>
    <numFmt numFmtId="355" formatCode="#,##0.0000000000_);[Red]\(#,##0.0000000000\)"/>
    <numFmt numFmtId="356" formatCode="0.0E+00"/>
    <numFmt numFmtId="357" formatCode="0E+00"/>
  </numFmts>
  <fonts count="116">
    <font>
      <sz val="10"/>
      <name val="Arial"/>
    </font>
    <font>
      <sz val="10"/>
      <name val="Arial"/>
    </font>
    <font>
      <b/>
      <sz val="10"/>
      <name val="Times New Roman"/>
      <family val="1"/>
    </font>
    <font>
      <sz val="10"/>
      <name val="Times New Roman"/>
      <family val="1"/>
    </font>
    <font>
      <sz val="7"/>
      <name val="times new roman"/>
      <family val="1"/>
    </font>
    <font>
      <sz val="9"/>
      <name val="Times New Roman"/>
      <family val="1"/>
    </font>
    <font>
      <sz val="8"/>
      <name val="Arial"/>
    </font>
    <font>
      <b/>
      <sz val="14"/>
      <name val="Times New Roman"/>
      <family val="1"/>
    </font>
    <font>
      <b/>
      <sz val="14"/>
      <color indexed="8"/>
      <name val="Times New Roman"/>
      <family val="1"/>
    </font>
    <font>
      <b/>
      <sz val="12"/>
      <name val="Times New Roman"/>
      <family val="1"/>
    </font>
    <font>
      <sz val="8"/>
      <name val="Times New Roman"/>
      <family val="1"/>
    </font>
    <font>
      <b/>
      <u/>
      <sz val="10"/>
      <name val="Times New Roman"/>
      <family val="1"/>
    </font>
    <font>
      <u val="singleAccounting"/>
      <sz val="10"/>
      <name val="Times New Roman"/>
      <family val="1"/>
    </font>
    <font>
      <b/>
      <sz val="10"/>
      <color indexed="10"/>
      <name val="Times New Roman"/>
      <family val="1"/>
    </font>
    <font>
      <u/>
      <sz val="10"/>
      <name val="Times New Roman"/>
      <family val="1"/>
    </font>
    <font>
      <sz val="10"/>
      <color indexed="10"/>
      <name val="Times New Roman"/>
      <family val="1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  <font>
      <u/>
      <sz val="10"/>
      <color indexed="10"/>
      <name val="Times New Roman"/>
      <family val="1"/>
    </font>
    <font>
      <b/>
      <u/>
      <sz val="12"/>
      <name val="Times New Roman"/>
      <family val="1"/>
    </font>
    <font>
      <b/>
      <sz val="8"/>
      <name val="Times New Roman"/>
      <family val="1"/>
    </font>
    <font>
      <sz val="10"/>
      <name val="Arial"/>
      <family val="2"/>
    </font>
    <font>
      <sz val="12"/>
      <name val="Times New Roman"/>
      <family val="1"/>
    </font>
    <font>
      <b/>
      <i/>
      <sz val="10"/>
      <name val="Times New Roman"/>
      <family val="1"/>
    </font>
    <font>
      <i/>
      <sz val="10"/>
      <name val="Times New Roman"/>
      <family val="1"/>
    </font>
    <font>
      <sz val="12"/>
      <name val="Arial"/>
    </font>
    <font>
      <sz val="10"/>
      <name val="Times New Roman"/>
    </font>
    <font>
      <sz val="12"/>
      <color indexed="8"/>
      <name val="Arial MT"/>
    </font>
    <font>
      <sz val="10"/>
      <color indexed="9"/>
      <name val="Times New Roman"/>
      <family val="1"/>
    </font>
    <font>
      <b/>
      <sz val="20"/>
      <name val="Times New Roman"/>
      <family val="1"/>
    </font>
    <font>
      <u/>
      <sz val="12"/>
      <name val="Times New Roman"/>
      <family val="1"/>
    </font>
    <font>
      <i/>
      <u/>
      <sz val="12"/>
      <name val="Times New Roman"/>
      <family val="1"/>
    </font>
    <font>
      <sz val="12"/>
      <name val="Times New Roman"/>
    </font>
    <font>
      <i/>
      <sz val="12"/>
      <name val="Times New Roman"/>
      <family val="1"/>
    </font>
    <font>
      <i/>
      <sz val="10"/>
      <name val="Arial"/>
      <family val="2"/>
    </font>
    <font>
      <b/>
      <sz val="14"/>
      <color indexed="10"/>
      <name val="Times New Roman"/>
      <family val="1"/>
    </font>
    <font>
      <u/>
      <sz val="10"/>
      <name val="Arial"/>
    </font>
    <font>
      <sz val="10"/>
      <name val="Helv"/>
      <family val="2"/>
    </font>
    <font>
      <sz val="12"/>
      <name val="???"/>
      <family val="1"/>
      <charset val="129"/>
    </font>
    <font>
      <sz val="12"/>
      <name val="???"/>
      <family val="3"/>
      <charset val="129"/>
    </font>
    <font>
      <sz val="10"/>
      <name val="???"/>
      <family val="3"/>
      <charset val="129"/>
    </font>
    <font>
      <sz val="11"/>
      <name val="??"/>
      <family val="3"/>
      <charset val="129"/>
    </font>
    <font>
      <sz val="10"/>
      <name val="MS Sans Serif"/>
      <family val="2"/>
    </font>
    <font>
      <sz val="11"/>
      <name val="???"/>
      <family val="1"/>
      <charset val="129"/>
    </font>
    <font>
      <sz val="11"/>
      <name val="???"/>
      <family val="3"/>
      <charset val="129"/>
    </font>
    <font>
      <sz val="10"/>
      <name val="MS Sans Serif"/>
    </font>
    <font>
      <sz val="10"/>
      <name val="Geneva"/>
      <family val="2"/>
    </font>
    <font>
      <sz val="10"/>
      <name val="Helv"/>
    </font>
    <font>
      <sz val="8"/>
      <name val="Arial"/>
      <family val="2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u/>
      <sz val="8.4"/>
      <color indexed="12"/>
      <name val="Arial"/>
      <family val="2"/>
    </font>
    <font>
      <sz val="7"/>
      <name val="Small Fonts"/>
    </font>
    <font>
      <b/>
      <i/>
      <sz val="16"/>
      <name val="Helv"/>
    </font>
    <font>
      <sz val="12"/>
      <name val="Arial"/>
      <family val="2"/>
    </font>
    <font>
      <sz val="10"/>
      <name val="Courier"/>
    </font>
    <font>
      <sz val="12"/>
      <name val="Helv"/>
      <family val="2"/>
    </font>
    <font>
      <sz val="12"/>
      <name val="Courier"/>
      <family val="3"/>
    </font>
    <font>
      <sz val="8"/>
      <name val="Courier"/>
      <family val="3"/>
    </font>
    <font>
      <sz val="10"/>
      <name val="Book Antiqua"/>
      <family val="1"/>
    </font>
    <font>
      <sz val="8"/>
      <name val="Arial"/>
    </font>
    <font>
      <sz val="8"/>
      <name val="MS Sans Serif"/>
      <family val="2"/>
    </font>
    <font>
      <sz val="10"/>
      <color indexed="8"/>
      <name val="Arial"/>
      <family val="2"/>
    </font>
    <font>
      <sz val="10"/>
      <name val="Courier"/>
      <family val="3"/>
    </font>
    <font>
      <sz val="10"/>
      <color indexed="8"/>
      <name val="MS Sans Serif"/>
    </font>
    <font>
      <sz val="10"/>
      <name val="Univers (W1)"/>
    </font>
    <font>
      <sz val="10"/>
      <name val="Univers (W1)"/>
      <family val="2"/>
    </font>
    <font>
      <b/>
      <sz val="14"/>
      <name val="Times New Roman"/>
    </font>
    <font>
      <sz val="10"/>
      <name val="Geneva"/>
    </font>
    <font>
      <sz val="14"/>
      <name val="AngsanaUPC"/>
      <family val="1"/>
    </font>
    <font>
      <sz val="9"/>
      <name val="Arial Narrow"/>
      <family val="2"/>
    </font>
    <font>
      <sz val="7"/>
      <name val="Arial"/>
      <family val="2"/>
    </font>
    <font>
      <sz val="7"/>
      <name val="Arial"/>
    </font>
    <font>
      <sz val="10"/>
      <name val="Times"/>
    </font>
    <font>
      <sz val="12"/>
      <name val="EucrosiaUPC"/>
      <family val="1"/>
    </font>
    <font>
      <sz val="14"/>
      <name val="CordiaUPC"/>
      <family val="1"/>
    </font>
    <font>
      <sz val="10"/>
      <name val="Advisor SSi"/>
      <family val="1"/>
    </font>
    <font>
      <sz val="14"/>
      <name val="FreesiaUPC"/>
      <family val="1"/>
    </font>
    <font>
      <sz val="12"/>
      <name val="PathWay Access 3.0"/>
      <family val="3"/>
    </font>
    <font>
      <sz val="12"/>
      <name val="Helv"/>
    </font>
    <font>
      <sz val="8.5"/>
      <name val="MS Sans Serif"/>
      <family val="2"/>
    </font>
    <font>
      <sz val="10"/>
      <name val="Arial Narrow"/>
      <family val="2"/>
    </font>
    <font>
      <sz val="9"/>
      <name val="Arial"/>
    </font>
    <font>
      <sz val="11"/>
      <name val="Book Antiqua"/>
      <family val="1"/>
    </font>
    <font>
      <sz val="8"/>
      <name val="Tms Rmn"/>
    </font>
    <font>
      <sz val="10"/>
      <name val="Tms Rmn"/>
    </font>
    <font>
      <sz val="10"/>
      <name val="TimesNewRomanPS"/>
      <family val="1"/>
    </font>
    <font>
      <sz val="8"/>
      <name val="Times New Roman"/>
    </font>
    <font>
      <sz val="8"/>
      <color indexed="12"/>
      <name val="Arial"/>
      <family val="2"/>
    </font>
    <font>
      <b/>
      <u/>
      <sz val="12"/>
      <color indexed="10"/>
      <name val="Times New Roman"/>
      <family val="1"/>
    </font>
    <font>
      <b/>
      <u/>
      <sz val="10"/>
      <color indexed="8"/>
      <name val="Times New Roman"/>
      <family val="1"/>
    </font>
    <font>
      <u/>
      <sz val="10"/>
      <color indexed="8"/>
      <name val="Times New Roman"/>
      <family val="1"/>
    </font>
    <font>
      <b/>
      <i/>
      <u/>
      <sz val="12"/>
      <name val="Times New Roman"/>
      <family val="1"/>
    </font>
    <font>
      <b/>
      <sz val="18"/>
      <name val="Times New Roman"/>
      <family val="1"/>
    </font>
    <font>
      <b/>
      <u/>
      <sz val="9"/>
      <color indexed="10"/>
      <name val="Times New Roman"/>
      <family val="1"/>
    </font>
    <font>
      <sz val="8"/>
      <color indexed="81"/>
      <name val="Tahoma"/>
    </font>
    <font>
      <b/>
      <sz val="8"/>
      <color indexed="81"/>
      <name val="Tahoma"/>
    </font>
    <font>
      <vertAlign val="superscript"/>
      <sz val="7.5"/>
      <name val="Times New Roman"/>
      <family val="1"/>
    </font>
    <font>
      <b/>
      <sz val="10"/>
      <color indexed="20"/>
      <name val="Times New Roman"/>
      <family val="1"/>
    </font>
    <font>
      <b/>
      <sz val="10"/>
      <color indexed="9"/>
      <name val="Times New Roman"/>
      <family val="1"/>
    </font>
    <font>
      <b/>
      <sz val="10"/>
      <color indexed="10"/>
      <name val="Arial"/>
      <family val="2"/>
    </font>
    <font>
      <i/>
      <sz val="10"/>
      <color indexed="8"/>
      <name val="Times New Roman"/>
      <family val="1"/>
    </font>
    <font>
      <b/>
      <sz val="10"/>
      <name val="Arial"/>
      <family val="2"/>
    </font>
    <font>
      <sz val="9"/>
      <color indexed="10"/>
      <name val="Times New Roman"/>
      <family val="1"/>
    </font>
    <font>
      <sz val="14"/>
      <name val="Times New Roman"/>
      <family val="1"/>
    </font>
    <font>
      <b/>
      <i/>
      <u/>
      <sz val="10"/>
      <name val="Times New Roman"/>
      <family val="1"/>
    </font>
    <font>
      <b/>
      <sz val="10"/>
      <color indexed="12"/>
      <name val="Times New Roman"/>
      <family val="1"/>
    </font>
    <font>
      <b/>
      <sz val="12"/>
      <color indexed="10"/>
      <name val="Times New Roman"/>
      <family val="1"/>
    </font>
    <font>
      <u/>
      <sz val="10"/>
      <color indexed="9"/>
      <name val="Times New Roman"/>
      <family val="1"/>
    </font>
    <font>
      <b/>
      <sz val="12"/>
      <name val="Arial"/>
      <family val="2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2"/>
      <color indexed="12"/>
      <name val="Times New Roman"/>
      <family val="1"/>
    </font>
    <font>
      <b/>
      <sz val="12"/>
      <color indexed="12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43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1"/>
        <bgColor indexed="64"/>
      </patternFill>
    </fill>
  </fills>
  <borders count="31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32">
    <xf numFmtId="0" fontId="0" fillId="0" borderId="0"/>
    <xf numFmtId="0" fontId="38" fillId="0" borderId="0"/>
    <xf numFmtId="299" fontId="1" fillId="2" borderId="1">
      <alignment horizontal="center" vertical="center"/>
    </xf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6" fontId="41" fillId="0" borderId="0">
      <protection locked="0"/>
    </xf>
    <xf numFmtId="342" fontId="1" fillId="0" borderId="0" applyFont="0" applyFill="0" applyBorder="0" applyAlignment="0" applyProtection="0"/>
    <xf numFmtId="344" fontId="1" fillId="0" borderId="0" applyFont="0" applyFill="0" applyBorder="0" applyAlignment="0" applyProtection="0"/>
    <xf numFmtId="313" fontId="1" fillId="0" borderId="0">
      <protection locked="0"/>
    </xf>
    <xf numFmtId="38" fontId="48" fillId="4" borderId="0" applyNumberFormat="0" applyBorder="0" applyAlignment="0" applyProtection="0"/>
    <xf numFmtId="0" fontId="49" fillId="0" borderId="0" applyNumberFormat="0" applyFill="0" applyBorder="0" applyAlignment="0" applyProtection="0"/>
    <xf numFmtId="14" fontId="1" fillId="0" borderId="0">
      <protection locked="0"/>
    </xf>
    <xf numFmtId="14" fontId="1" fillId="0" borderId="0">
      <protection locked="0"/>
    </xf>
    <xf numFmtId="0" fontId="50" fillId="0" borderId="2" applyNumberFormat="0" applyFill="0" applyAlignment="0" applyProtection="0"/>
    <xf numFmtId="10" fontId="48" fillId="5" borderId="3" applyNumberFormat="0" applyBorder="0" applyAlignment="0" applyProtection="0"/>
    <xf numFmtId="37" fontId="52" fillId="0" borderId="0"/>
    <xf numFmtId="170" fontId="53" fillId="0" borderId="0"/>
    <xf numFmtId="0" fontId="1" fillId="0" borderId="0"/>
    <xf numFmtId="37" fontId="6" fillId="0" borderId="0" applyBorder="0" applyAlignment="0" applyProtection="0">
      <alignment horizontal="center"/>
    </xf>
    <xf numFmtId="0" fontId="27" fillId="0" borderId="0"/>
    <xf numFmtId="9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0" fontId="1" fillId="6" borderId="0"/>
    <xf numFmtId="14" fontId="1" fillId="0" borderId="5">
      <protection locked="0"/>
    </xf>
    <xf numFmtId="333" fontId="1" fillId="0" borderId="0"/>
    <xf numFmtId="38" fontId="48" fillId="8" borderId="0" applyNumberFormat="0" applyBorder="0" applyAlignment="0" applyProtection="0"/>
    <xf numFmtId="37" fontId="48" fillId="8" borderId="0" applyNumberFormat="0" applyBorder="0" applyAlignment="0" applyProtection="0"/>
    <xf numFmtId="37" fontId="6" fillId="0" borderId="0"/>
    <xf numFmtId="37" fontId="6" fillId="4" borderId="0" applyNumberFormat="0" applyBorder="0" applyAlignment="0" applyProtection="0"/>
    <xf numFmtId="3" fontId="88" fillId="9" borderId="2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</cellStyleXfs>
  <cellXfs count="571">
    <xf numFmtId="0" fontId="0" fillId="0" borderId="0" xfId="0"/>
    <xf numFmtId="0" fontId="2" fillId="0" borderId="0" xfId="0" applyFont="1" applyFill="1"/>
    <xf numFmtId="0" fontId="2" fillId="0" borderId="0" xfId="0" applyFont="1" applyFill="1" applyBorder="1" applyAlignment="1">
      <alignment horizontal="left"/>
    </xf>
    <xf numFmtId="0" fontId="3" fillId="0" borderId="0" xfId="0" applyFont="1" applyFill="1" applyAlignment="1">
      <alignment horizontal="left"/>
    </xf>
    <xf numFmtId="0" fontId="4" fillId="0" borderId="0" xfId="0" applyFont="1" applyFill="1" applyAlignment="1">
      <alignment horizontal="left"/>
    </xf>
    <xf numFmtId="0" fontId="3" fillId="0" borderId="0" xfId="0" applyFont="1" applyFill="1"/>
    <xf numFmtId="0" fontId="3" fillId="0" borderId="0" xfId="0" applyFont="1" applyFill="1" applyBorder="1"/>
    <xf numFmtId="0" fontId="2" fillId="0" borderId="6" xfId="0" applyFont="1" applyFill="1" applyBorder="1" applyAlignment="1">
      <alignment horizontal="center"/>
    </xf>
    <xf numFmtId="0" fontId="0" fillId="0" borderId="0" xfId="0" applyFill="1"/>
    <xf numFmtId="0" fontId="2" fillId="0" borderId="0" xfId="0" applyFont="1" applyFill="1" applyBorder="1" applyAlignment="1">
      <alignment horizontal="center"/>
    </xf>
    <xf numFmtId="0" fontId="10" fillId="0" borderId="0" xfId="0" applyFont="1"/>
    <xf numFmtId="0" fontId="2" fillId="0" borderId="0" xfId="0" applyFont="1"/>
    <xf numFmtId="0" fontId="3" fillId="0" borderId="0" xfId="0" applyFont="1"/>
    <xf numFmtId="0" fontId="3" fillId="0" borderId="0" xfId="0" applyFont="1" applyBorder="1"/>
    <xf numFmtId="37" fontId="10" fillId="0" borderId="0" xfId="18" applyFont="1" applyAlignment="1"/>
    <xf numFmtId="14" fontId="11" fillId="0" borderId="0" xfId="0" applyNumberFormat="1" applyFont="1" applyBorder="1" applyAlignment="1">
      <alignment horizontal="right"/>
    </xf>
    <xf numFmtId="0" fontId="3" fillId="0" borderId="0" xfId="0" applyFont="1" applyAlignment="1" applyProtection="1">
      <alignment horizontal="left"/>
    </xf>
    <xf numFmtId="165" fontId="3" fillId="0" borderId="0" xfId="4" applyNumberFormat="1" applyFont="1" applyProtection="1"/>
    <xf numFmtId="166" fontId="3" fillId="0" borderId="0" xfId="3" applyNumberFormat="1" applyFont="1"/>
    <xf numFmtId="166" fontId="3" fillId="0" borderId="0" xfId="3" applyNumberFormat="1" applyFont="1" applyBorder="1" applyProtection="1"/>
    <xf numFmtId="166" fontId="10" fillId="0" borderId="0" xfId="3" applyNumberFormat="1" applyFont="1"/>
    <xf numFmtId="0" fontId="3" fillId="0" borderId="0" xfId="0" applyFont="1" applyBorder="1" applyAlignment="1" applyProtection="1">
      <alignment horizontal="left"/>
    </xf>
    <xf numFmtId="0" fontId="3" fillId="0" borderId="0" xfId="0" applyFont="1" applyFill="1" applyAlignment="1" applyProtection="1">
      <alignment horizontal="left"/>
    </xf>
    <xf numFmtId="166" fontId="3" fillId="0" borderId="0" xfId="3" applyNumberFormat="1" applyFont="1" applyBorder="1"/>
    <xf numFmtId="0" fontId="15" fillId="0" borderId="0" xfId="0" applyFont="1"/>
    <xf numFmtId="0" fontId="17" fillId="0" borderId="0" xfId="0" applyFont="1"/>
    <xf numFmtId="0" fontId="9" fillId="0" borderId="0" xfId="0" applyFont="1"/>
    <xf numFmtId="0" fontId="2" fillId="0" borderId="0" xfId="0" applyFont="1" applyAlignment="1" applyProtection="1">
      <alignment horizontal="left"/>
      <protection locked="0"/>
    </xf>
    <xf numFmtId="169" fontId="18" fillId="0" borderId="0" xfId="0" applyNumberFormat="1" applyFont="1" applyProtection="1">
      <protection locked="0"/>
    </xf>
    <xf numFmtId="0" fontId="3" fillId="0" borderId="0" xfId="0" applyFont="1" applyAlignment="1" applyProtection="1">
      <alignment horizontal="right"/>
    </xf>
    <xf numFmtId="170" fontId="3" fillId="0" borderId="0" xfId="0" applyNumberFormat="1" applyFont="1" applyProtection="1"/>
    <xf numFmtId="171" fontId="3" fillId="0" borderId="0" xfId="0" applyNumberFormat="1" applyFont="1" applyProtection="1">
      <protection locked="0"/>
    </xf>
    <xf numFmtId="10" fontId="15" fillId="0" borderId="0" xfId="0" applyNumberFormat="1" applyFont="1" applyProtection="1"/>
    <xf numFmtId="10" fontId="3" fillId="0" borderId="0" xfId="20" applyNumberFormat="1" applyFont="1" applyProtection="1"/>
    <xf numFmtId="171" fontId="3" fillId="0" borderId="0" xfId="0" applyNumberFormat="1" applyFont="1" applyProtection="1"/>
    <xf numFmtId="165" fontId="15" fillId="0" borderId="0" xfId="4" applyNumberFormat="1" applyFont="1" applyProtection="1"/>
    <xf numFmtId="165" fontId="3" fillId="0" borderId="0" xfId="0" applyNumberFormat="1" applyFont="1"/>
    <xf numFmtId="10" fontId="3" fillId="0" borderId="0" xfId="0" applyNumberFormat="1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3" fillId="0" borderId="10" xfId="0" applyFont="1" applyBorder="1"/>
    <xf numFmtId="0" fontId="3" fillId="0" borderId="6" xfId="0" applyFont="1" applyBorder="1"/>
    <xf numFmtId="0" fontId="2" fillId="0" borderId="0" xfId="0" applyFont="1" applyBorder="1"/>
    <xf numFmtId="166" fontId="2" fillId="0" borderId="0" xfId="3" applyNumberFormat="1" applyFont="1" applyBorder="1" applyProtection="1"/>
    <xf numFmtId="0" fontId="3" fillId="0" borderId="0" xfId="0" applyFont="1" applyAlignment="1">
      <alignment horizontal="left"/>
    </xf>
    <xf numFmtId="0" fontId="22" fillId="0" borderId="0" xfId="0" applyFont="1"/>
    <xf numFmtId="0" fontId="23" fillId="0" borderId="0" xfId="0" applyFont="1" applyBorder="1"/>
    <xf numFmtId="3" fontId="3" fillId="0" borderId="0" xfId="0" applyNumberFormat="1" applyFont="1"/>
    <xf numFmtId="3" fontId="2" fillId="0" borderId="0" xfId="0" applyNumberFormat="1" applyFont="1"/>
    <xf numFmtId="0" fontId="16" fillId="0" borderId="0" xfId="0" applyFont="1"/>
    <xf numFmtId="0" fontId="16" fillId="0" borderId="0" xfId="0" applyFont="1" applyBorder="1"/>
    <xf numFmtId="6" fontId="16" fillId="0" borderId="0" xfId="0" applyNumberFormat="1" applyFont="1"/>
    <xf numFmtId="0" fontId="13" fillId="0" borderId="0" xfId="0" applyFont="1"/>
    <xf numFmtId="0" fontId="9" fillId="0" borderId="0" xfId="0" applyFont="1" applyFill="1"/>
    <xf numFmtId="0" fontId="3" fillId="0" borderId="11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3" fillId="0" borderId="12" xfId="0" applyFont="1" applyBorder="1"/>
    <xf numFmtId="0" fontId="3" fillId="0" borderId="4" xfId="0" applyFont="1" applyBorder="1"/>
    <xf numFmtId="38" fontId="3" fillId="0" borderId="0" xfId="3" applyNumberFormat="1" applyFont="1"/>
    <xf numFmtId="0" fontId="7" fillId="4" borderId="0" xfId="0" applyFont="1" applyFill="1"/>
    <xf numFmtId="0" fontId="8" fillId="4" borderId="0" xfId="17" applyFont="1" applyFill="1" applyBorder="1"/>
    <xf numFmtId="0" fontId="2" fillId="0" borderId="0" xfId="0" applyFont="1" applyBorder="1" applyAlignment="1">
      <alignment horizontal="left"/>
    </xf>
    <xf numFmtId="0" fontId="2" fillId="0" borderId="0" xfId="0" applyFont="1" applyFill="1" applyBorder="1"/>
    <xf numFmtId="166" fontId="3" fillId="0" borderId="0" xfId="3" applyNumberFormat="1" applyFont="1" applyFill="1" applyBorder="1"/>
    <xf numFmtId="38" fontId="3" fillId="0" borderId="0" xfId="0" applyNumberFormat="1" applyFont="1"/>
    <xf numFmtId="166" fontId="3" fillId="0" borderId="0" xfId="0" applyNumberFormat="1" applyFont="1"/>
    <xf numFmtId="0" fontId="22" fillId="0" borderId="0" xfId="0" applyFont="1" applyFill="1"/>
    <xf numFmtId="171" fontId="3" fillId="0" borderId="0" xfId="0" applyNumberFormat="1" applyFont="1" applyFill="1" applyProtection="1"/>
    <xf numFmtId="10" fontId="15" fillId="0" borderId="0" xfId="0" applyNumberFormat="1" applyFont="1" applyFill="1" applyProtection="1"/>
    <xf numFmtId="0" fontId="10" fillId="0" borderId="0" xfId="0" applyFont="1" applyFill="1"/>
    <xf numFmtId="38" fontId="0" fillId="0" borderId="0" xfId="0" applyNumberFormat="1"/>
    <xf numFmtId="38" fontId="15" fillId="0" borderId="0" xfId="4" applyNumberFormat="1" applyFont="1" applyProtection="1"/>
    <xf numFmtId="38" fontId="3" fillId="0" borderId="0" xfId="4" applyNumberFormat="1" applyFont="1"/>
    <xf numFmtId="38" fontId="3" fillId="0" borderId="0" xfId="0" applyNumberFormat="1" applyFont="1" applyFill="1"/>
    <xf numFmtId="38" fontId="3" fillId="0" borderId="4" xfId="3" applyNumberFormat="1" applyFont="1" applyFill="1" applyBorder="1"/>
    <xf numFmtId="37" fontId="10" fillId="0" borderId="0" xfId="18" applyFont="1" applyAlignment="1">
      <alignment horizontal="right"/>
    </xf>
    <xf numFmtId="166" fontId="10" fillId="0" borderId="0" xfId="3" applyNumberFormat="1" applyFont="1" applyProtection="1"/>
    <xf numFmtId="0" fontId="10" fillId="0" borderId="0" xfId="0" applyFont="1" applyFill="1" applyBorder="1"/>
    <xf numFmtId="37" fontId="10" fillId="0" borderId="0" xfId="18" applyFont="1" applyFill="1" applyBorder="1" applyAlignment="1"/>
    <xf numFmtId="0" fontId="29" fillId="0" borderId="0" xfId="0" applyFont="1"/>
    <xf numFmtId="0" fontId="3" fillId="0" borderId="13" xfId="0" applyFont="1" applyBorder="1"/>
    <xf numFmtId="38" fontId="3" fillId="0" borderId="0" xfId="0" applyNumberFormat="1" applyFont="1" applyBorder="1"/>
    <xf numFmtId="43" fontId="3" fillId="0" borderId="0" xfId="3" applyFont="1" applyBorder="1"/>
    <xf numFmtId="0" fontId="2" fillId="0" borderId="7" xfId="0" applyFont="1" applyBorder="1"/>
    <xf numFmtId="40" fontId="3" fillId="0" borderId="0" xfId="0" applyNumberFormat="1" applyFont="1" applyBorder="1"/>
    <xf numFmtId="43" fontId="3" fillId="0" borderId="0" xfId="3" applyFont="1"/>
    <xf numFmtId="0" fontId="7" fillId="0" borderId="0" xfId="0" applyFont="1"/>
    <xf numFmtId="0" fontId="0" fillId="0" borderId="0" xfId="0" applyFill="1" applyBorder="1"/>
    <xf numFmtId="3" fontId="3" fillId="0" borderId="0" xfId="0" applyNumberFormat="1" applyFont="1" applyFill="1" applyBorder="1"/>
    <xf numFmtId="37" fontId="10" fillId="0" borderId="0" xfId="18" applyFont="1" applyFill="1" applyAlignment="1"/>
    <xf numFmtId="166" fontId="10" fillId="0" borderId="0" xfId="3" applyNumberFormat="1" applyFont="1" applyFill="1" applyBorder="1" applyProtection="1"/>
    <xf numFmtId="166" fontId="20" fillId="0" borderId="0" xfId="3" quotePrefix="1" applyNumberFormat="1" applyFont="1" applyFill="1" applyBorder="1" applyProtection="1"/>
    <xf numFmtId="37" fontId="2" fillId="0" borderId="0" xfId="0" applyNumberFormat="1" applyFont="1" applyFill="1" applyBorder="1" applyAlignment="1">
      <alignment horizontal="center"/>
    </xf>
    <xf numFmtId="0" fontId="19" fillId="0" borderId="14" xfId="0" applyFont="1" applyFill="1" applyBorder="1"/>
    <xf numFmtId="0" fontId="19" fillId="0" borderId="14" xfId="0" applyFont="1" applyFill="1" applyBorder="1" applyAlignment="1" applyProtection="1">
      <alignment horizontal="left"/>
    </xf>
    <xf numFmtId="0" fontId="30" fillId="0" borderId="10" xfId="0" applyFont="1" applyBorder="1" applyAlignment="1" applyProtection="1">
      <alignment horizontal="left"/>
    </xf>
    <xf numFmtId="0" fontId="30" fillId="0" borderId="0" xfId="0" applyFont="1" applyBorder="1" applyAlignment="1">
      <alignment horizontal="center"/>
    </xf>
    <xf numFmtId="0" fontId="22" fillId="0" borderId="0" xfId="0" applyFont="1" applyBorder="1"/>
    <xf numFmtId="0" fontId="22" fillId="0" borderId="10" xfId="0" applyFont="1" applyBorder="1" applyAlignment="1" applyProtection="1">
      <alignment horizontal="left"/>
    </xf>
    <xf numFmtId="10" fontId="22" fillId="0" borderId="10" xfId="0" applyNumberFormat="1" applyFont="1" applyBorder="1" applyAlignment="1">
      <alignment horizontal="left"/>
    </xf>
    <xf numFmtId="0" fontId="19" fillId="0" borderId="10" xfId="0" applyFont="1" applyBorder="1" applyAlignment="1">
      <alignment horizontal="left"/>
    </xf>
    <xf numFmtId="0" fontId="22" fillId="0" borderId="10" xfId="0" applyFont="1" applyBorder="1"/>
    <xf numFmtId="0" fontId="22" fillId="0" borderId="9" xfId="0" applyFont="1" applyBorder="1"/>
    <xf numFmtId="0" fontId="22" fillId="0" borderId="15" xfId="0" applyFont="1" applyBorder="1"/>
    <xf numFmtId="0" fontId="30" fillId="0" borderId="10" xfId="0" applyFont="1" applyBorder="1"/>
    <xf numFmtId="0" fontId="22" fillId="0" borderId="10" xfId="0" applyFont="1" applyBorder="1" applyAlignment="1">
      <alignment horizontal="left"/>
    </xf>
    <xf numFmtId="37" fontId="22" fillId="0" borderId="0" xfId="0" applyNumberFormat="1" applyFont="1" applyFill="1" applyBorder="1" applyAlignment="1">
      <alignment horizontal="center"/>
    </xf>
    <xf numFmtId="173" fontId="22" fillId="0" borderId="0" xfId="0" applyNumberFormat="1" applyFont="1" applyBorder="1" applyAlignment="1">
      <alignment horizontal="center"/>
    </xf>
    <xf numFmtId="0" fontId="30" fillId="0" borderId="0" xfId="0" applyFont="1" applyBorder="1"/>
    <xf numFmtId="212" fontId="22" fillId="0" borderId="0" xfId="3" applyNumberFormat="1" applyFont="1" applyBorder="1" applyAlignment="1">
      <alignment horizontal="center"/>
    </xf>
    <xf numFmtId="38" fontId="22" fillId="0" borderId="0" xfId="0" applyNumberFormat="1" applyFont="1" applyBorder="1"/>
    <xf numFmtId="38" fontId="22" fillId="0" borderId="0" xfId="0" applyNumberFormat="1" applyFont="1" applyBorder="1" applyAlignment="1">
      <alignment horizontal="center"/>
    </xf>
    <xf numFmtId="38" fontId="22" fillId="0" borderId="6" xfId="0" applyNumberFormat="1" applyFont="1" applyBorder="1" applyAlignment="1">
      <alignment horizontal="center"/>
    </xf>
    <xf numFmtId="0" fontId="22" fillId="0" borderId="7" xfId="0" applyFont="1" applyFill="1" applyBorder="1"/>
    <xf numFmtId="0" fontId="19" fillId="0" borderId="7" xfId="0" applyFont="1" applyFill="1" applyBorder="1" applyAlignment="1">
      <alignment horizontal="centerContinuous"/>
    </xf>
    <xf numFmtId="0" fontId="30" fillId="0" borderId="10" xfId="0" applyFont="1" applyFill="1" applyBorder="1"/>
    <xf numFmtId="0" fontId="22" fillId="0" borderId="10" xfId="0" applyFont="1" applyFill="1" applyBorder="1"/>
    <xf numFmtId="0" fontId="22" fillId="0" borderId="15" xfId="0" applyFont="1" applyFill="1" applyBorder="1"/>
    <xf numFmtId="0" fontId="9" fillId="0" borderId="10" xfId="0" applyFont="1" applyBorder="1"/>
    <xf numFmtId="0" fontId="22" fillId="0" borderId="7" xfId="0" applyFont="1" applyBorder="1"/>
    <xf numFmtId="0" fontId="22" fillId="0" borderId="8" xfId="0" applyFont="1" applyBorder="1"/>
    <xf numFmtId="4" fontId="22" fillId="0" borderId="0" xfId="0" applyNumberFormat="1" applyFont="1" applyBorder="1" applyAlignment="1">
      <alignment horizontal="center"/>
    </xf>
    <xf numFmtId="0" fontId="2" fillId="0" borderId="6" xfId="0" applyNumberFormat="1" applyFont="1" applyFill="1" applyBorder="1" applyAlignment="1">
      <alignment horizontal="left"/>
    </xf>
    <xf numFmtId="38" fontId="2" fillId="0" borderId="0" xfId="0" applyNumberFormat="1" applyFont="1"/>
    <xf numFmtId="7" fontId="22" fillId="0" borderId="0" xfId="3" applyNumberFormat="1" applyFont="1" applyBorder="1"/>
    <xf numFmtId="44" fontId="22" fillId="0" borderId="0" xfId="4" applyFont="1" applyFill="1" applyBorder="1"/>
    <xf numFmtId="0" fontId="19" fillId="0" borderId="0" xfId="3" applyNumberFormat="1" applyFont="1" applyBorder="1" applyAlignment="1">
      <alignment horizontal="right"/>
    </xf>
    <xf numFmtId="0" fontId="2" fillId="0" borderId="0" xfId="0" applyNumberFormat="1" applyFont="1" applyFill="1" applyBorder="1" applyAlignment="1">
      <alignment horizontal="left"/>
    </xf>
    <xf numFmtId="0" fontId="11" fillId="0" borderId="0" xfId="0" applyFont="1" applyBorder="1" applyAlignment="1" applyProtection="1">
      <alignment horizontal="left"/>
    </xf>
    <xf numFmtId="0" fontId="2" fillId="0" borderId="0" xfId="0" applyFont="1" applyBorder="1" applyAlignment="1" applyProtection="1">
      <alignment horizontal="left"/>
    </xf>
    <xf numFmtId="166" fontId="12" fillId="0" borderId="0" xfId="3" applyNumberFormat="1" applyFont="1" applyBorder="1"/>
    <xf numFmtId="10" fontId="14" fillId="0" borderId="0" xfId="3" applyNumberFormat="1" applyFont="1" applyBorder="1"/>
    <xf numFmtId="166" fontId="14" fillId="0" borderId="0" xfId="3" applyNumberFormat="1" applyFont="1" applyBorder="1" applyProtection="1"/>
    <xf numFmtId="166" fontId="2" fillId="0" borderId="0" xfId="3" applyNumberFormat="1" applyFont="1" applyBorder="1"/>
    <xf numFmtId="166" fontId="12" fillId="0" borderId="0" xfId="3" applyNumberFormat="1" applyFont="1" applyBorder="1" applyProtection="1"/>
    <xf numFmtId="9" fontId="3" fillId="0" borderId="0" xfId="3" applyNumberFormat="1" applyFont="1" applyBorder="1"/>
    <xf numFmtId="166" fontId="2" fillId="0" borderId="0" xfId="3" quotePrefix="1" applyNumberFormat="1" applyFont="1" applyBorder="1" applyProtection="1"/>
    <xf numFmtId="0" fontId="19" fillId="0" borderId="0" xfId="0" applyFont="1" applyBorder="1"/>
    <xf numFmtId="0" fontId="19" fillId="0" borderId="0" xfId="0" applyFont="1" applyBorder="1" applyAlignment="1" applyProtection="1">
      <alignment horizontal="left"/>
    </xf>
    <xf numFmtId="166" fontId="3" fillId="0" borderId="0" xfId="3" applyNumberFormat="1" applyFont="1" applyFill="1" applyBorder="1" applyProtection="1"/>
    <xf numFmtId="0" fontId="13" fillId="0" borderId="0" xfId="0" applyFont="1" applyBorder="1"/>
    <xf numFmtId="0" fontId="24" fillId="0" borderId="0" xfId="0" applyFont="1" applyBorder="1"/>
    <xf numFmtId="0" fontId="17" fillId="0" borderId="6" xfId="0" applyFont="1" applyBorder="1"/>
    <xf numFmtId="0" fontId="17" fillId="0" borderId="0" xfId="0" applyFont="1" applyBorder="1"/>
    <xf numFmtId="38" fontId="22" fillId="0" borderId="0" xfId="3" applyNumberFormat="1" applyFont="1" applyFill="1" applyBorder="1" applyAlignment="1" applyProtection="1">
      <alignment horizontal="center"/>
    </xf>
    <xf numFmtId="38" fontId="22" fillId="0" borderId="6" xfId="3" applyNumberFormat="1" applyFont="1" applyFill="1" applyBorder="1" applyAlignment="1" applyProtection="1">
      <alignment horizontal="center"/>
    </xf>
    <xf numFmtId="10" fontId="22" fillId="0" borderId="0" xfId="0" applyNumberFormat="1" applyFont="1" applyBorder="1" applyAlignment="1">
      <alignment horizontal="center"/>
    </xf>
    <xf numFmtId="0" fontId="30" fillId="0" borderId="0" xfId="0" applyFont="1" applyFill="1" applyBorder="1" applyAlignment="1">
      <alignment horizontal="center"/>
    </xf>
    <xf numFmtId="9" fontId="19" fillId="0" borderId="0" xfId="0" applyNumberFormat="1" applyFont="1" applyBorder="1" applyAlignment="1" applyProtection="1">
      <alignment horizontal="center"/>
    </xf>
    <xf numFmtId="14" fontId="24" fillId="0" borderId="0" xfId="0" applyNumberFormat="1" applyFont="1" applyAlignment="1">
      <alignment horizontal="center"/>
    </xf>
    <xf numFmtId="166" fontId="0" fillId="0" borderId="0" xfId="3" applyNumberFormat="1" applyFont="1" applyFill="1" applyBorder="1"/>
    <xf numFmtId="9" fontId="22" fillId="0" borderId="0" xfId="0" applyNumberFormat="1" applyFont="1" applyBorder="1" applyAlignment="1">
      <alignment horizontal="center"/>
    </xf>
    <xf numFmtId="0" fontId="19" fillId="0" borderId="0" xfId="0" applyFont="1" applyBorder="1" applyAlignment="1">
      <alignment horizontal="centerContinuous"/>
    </xf>
    <xf numFmtId="10" fontId="22" fillId="0" borderId="0" xfId="20" applyNumberFormat="1" applyFont="1" applyFill="1" applyBorder="1"/>
    <xf numFmtId="40" fontId="22" fillId="0" borderId="0" xfId="0" applyNumberFormat="1" applyFont="1" applyFill="1" applyBorder="1"/>
    <xf numFmtId="1" fontId="22" fillId="0" borderId="0" xfId="0" applyNumberFormat="1" applyFont="1" applyFill="1" applyBorder="1"/>
    <xf numFmtId="43" fontId="22" fillId="0" borderId="0" xfId="3" applyFont="1" applyFill="1" applyBorder="1"/>
    <xf numFmtId="38" fontId="22" fillId="0" borderId="0" xfId="0" applyNumberFormat="1" applyFont="1" applyFill="1" applyBorder="1"/>
    <xf numFmtId="43" fontId="22" fillId="0" borderId="0" xfId="0" applyNumberFormat="1" applyFont="1" applyFill="1" applyBorder="1"/>
    <xf numFmtId="38" fontId="22" fillId="0" borderId="0" xfId="0" applyNumberFormat="1" applyFont="1"/>
    <xf numFmtId="0" fontId="19" fillId="0" borderId="0" xfId="0" applyFont="1" applyBorder="1" applyAlignment="1">
      <alignment horizontal="center"/>
    </xf>
    <xf numFmtId="166" fontId="22" fillId="0" borderId="0" xfId="3" applyNumberFormat="1" applyFont="1" applyBorder="1"/>
    <xf numFmtId="3" fontId="3" fillId="0" borderId="0" xfId="0" applyNumberFormat="1" applyFont="1" applyBorder="1"/>
    <xf numFmtId="14" fontId="2" fillId="0" borderId="0" xfId="0" applyNumberFormat="1" applyFont="1" applyFill="1" applyBorder="1" applyAlignment="1">
      <alignment horizontal="center"/>
    </xf>
    <xf numFmtId="14" fontId="3" fillId="0" borderId="0" xfId="0" applyNumberFormat="1" applyFont="1" applyFill="1" applyBorder="1" applyAlignment="1">
      <alignment horizontal="center"/>
    </xf>
    <xf numFmtId="0" fontId="28" fillId="0" borderId="0" xfId="0" applyFont="1"/>
    <xf numFmtId="38" fontId="22" fillId="0" borderId="9" xfId="0" applyNumberFormat="1" applyFont="1" applyBorder="1" applyAlignment="1">
      <alignment horizontal="center"/>
    </xf>
    <xf numFmtId="164" fontId="22" fillId="0" borderId="0" xfId="0" applyNumberFormat="1" applyFont="1" applyBorder="1" applyAlignment="1">
      <alignment horizontal="center"/>
    </xf>
    <xf numFmtId="164" fontId="22" fillId="0" borderId="0" xfId="20" applyNumberFormat="1" applyFont="1" applyBorder="1" applyAlignment="1">
      <alignment horizontal="center"/>
    </xf>
    <xf numFmtId="0" fontId="30" fillId="0" borderId="0" xfId="0" applyFont="1" applyFill="1" applyBorder="1" applyAlignment="1">
      <alignment horizontal="centerContinuous"/>
    </xf>
    <xf numFmtId="0" fontId="7" fillId="4" borderId="0" xfId="17" applyFont="1" applyFill="1" applyBorder="1"/>
    <xf numFmtId="0" fontId="30" fillId="0" borderId="9" xfId="0" applyFont="1" applyBorder="1" applyAlignment="1">
      <alignment horizontal="center"/>
    </xf>
    <xf numFmtId="0" fontId="3" fillId="0" borderId="15" xfId="0" applyFont="1" applyBorder="1"/>
    <xf numFmtId="179" fontId="16" fillId="0" borderId="0" xfId="0" applyNumberFormat="1" applyFont="1" applyBorder="1" applyAlignment="1">
      <alignment horizontal="right"/>
    </xf>
    <xf numFmtId="0" fontId="16" fillId="0" borderId="16" xfId="0" applyFont="1" applyBorder="1"/>
    <xf numFmtId="0" fontId="22" fillId="0" borderId="0" xfId="0" applyFont="1" applyFill="1" applyBorder="1"/>
    <xf numFmtId="0" fontId="29" fillId="0" borderId="0" xfId="0" applyFont="1" applyFill="1"/>
    <xf numFmtId="0" fontId="7" fillId="0" borderId="0" xfId="0" applyFont="1" applyAlignment="1">
      <alignment horizontal="left"/>
    </xf>
    <xf numFmtId="0" fontId="7" fillId="8" borderId="0" xfId="0" applyFont="1" applyFill="1"/>
    <xf numFmtId="0" fontId="0" fillId="0" borderId="0" xfId="0" applyBorder="1"/>
    <xf numFmtId="168" fontId="14" fillId="0" borderId="0" xfId="3" applyNumberFormat="1" applyFont="1"/>
    <xf numFmtId="0" fontId="19" fillId="0" borderId="10" xfId="0" applyFont="1" applyFill="1" applyBorder="1"/>
    <xf numFmtId="164" fontId="19" fillId="0" borderId="6" xfId="20" applyNumberFormat="1" applyFont="1" applyBorder="1" applyAlignment="1">
      <alignment horizontal="center"/>
    </xf>
    <xf numFmtId="164" fontId="30" fillId="0" borderId="0" xfId="20" applyNumberFormat="1" applyFont="1" applyBorder="1" applyAlignment="1">
      <alignment horizontal="center"/>
    </xf>
    <xf numFmtId="0" fontId="5" fillId="0" borderId="8" xfId="0" applyFont="1" applyFill="1" applyBorder="1"/>
    <xf numFmtId="0" fontId="19" fillId="0" borderId="15" xfId="0" applyFont="1" applyBorder="1" applyAlignment="1" applyProtection="1">
      <alignment horizontal="left"/>
    </xf>
    <xf numFmtId="173" fontId="3" fillId="0" borderId="9" xfId="0" applyNumberFormat="1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9" fontId="22" fillId="0" borderId="9" xfId="20" applyFont="1" applyBorder="1" applyAlignment="1">
      <alignment horizontal="center"/>
    </xf>
    <xf numFmtId="9" fontId="22" fillId="0" borderId="9" xfId="20" applyFont="1" applyFill="1" applyBorder="1" applyAlignment="1">
      <alignment horizontal="center"/>
    </xf>
    <xf numFmtId="9" fontId="22" fillId="0" borderId="13" xfId="20" applyFont="1" applyBorder="1" applyAlignment="1">
      <alignment horizontal="center"/>
    </xf>
    <xf numFmtId="38" fontId="22" fillId="0" borderId="13" xfId="0" applyNumberFormat="1" applyFont="1" applyBorder="1" applyAlignment="1">
      <alignment horizontal="center"/>
    </xf>
    <xf numFmtId="38" fontId="3" fillId="8" borderId="0" xfId="0" applyNumberFormat="1" applyFont="1" applyFill="1"/>
    <xf numFmtId="6" fontId="30" fillId="0" borderId="0" xfId="0" quotePrefix="1" applyNumberFormat="1" applyFont="1" applyBorder="1" applyAlignment="1">
      <alignment horizontal="center"/>
    </xf>
    <xf numFmtId="38" fontId="22" fillId="0" borderId="0" xfId="3" applyNumberFormat="1" applyFont="1" applyBorder="1" applyAlignment="1">
      <alignment horizontal="center"/>
    </xf>
    <xf numFmtId="38" fontId="19" fillId="0" borderId="0" xfId="3" applyNumberFormat="1" applyFont="1" applyBorder="1" applyAlignment="1" applyProtection="1">
      <alignment horizontal="center"/>
    </xf>
    <xf numFmtId="38" fontId="22" fillId="0" borderId="0" xfId="3" applyNumberFormat="1" applyFont="1" applyFill="1" applyBorder="1" applyAlignment="1">
      <alignment horizontal="center"/>
    </xf>
    <xf numFmtId="38" fontId="19" fillId="0" borderId="6" xfId="3" applyNumberFormat="1" applyFont="1" applyFill="1" applyBorder="1" applyAlignment="1">
      <alignment horizontal="center"/>
    </xf>
    <xf numFmtId="38" fontId="33" fillId="0" borderId="0" xfId="0" applyNumberFormat="1" applyFont="1"/>
    <xf numFmtId="0" fontId="19" fillId="0" borderId="7" xfId="0" applyFont="1" applyBorder="1" applyAlignment="1">
      <alignment horizontal="centerContinuous"/>
    </xf>
    <xf numFmtId="38" fontId="31" fillId="0" borderId="9" xfId="0" applyNumberFormat="1" applyFont="1" applyBorder="1" applyAlignment="1">
      <alignment horizontal="center"/>
    </xf>
    <xf numFmtId="38" fontId="22" fillId="0" borderId="7" xfId="0" applyNumberFormat="1" applyFont="1" applyBorder="1"/>
    <xf numFmtId="38" fontId="22" fillId="0" borderId="6" xfId="0" applyNumberFormat="1" applyFont="1" applyBorder="1"/>
    <xf numFmtId="38" fontId="31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322" fontId="24" fillId="0" borderId="0" xfId="0" applyNumberFormat="1" applyFont="1" applyBorder="1" applyAlignment="1">
      <alignment horizontal="center"/>
    </xf>
    <xf numFmtId="0" fontId="35" fillId="0" borderId="0" xfId="0" applyFont="1"/>
    <xf numFmtId="37" fontId="3" fillId="0" borderId="0" xfId="18" applyFont="1" applyBorder="1" applyAlignment="1">
      <alignment horizontal="left"/>
    </xf>
    <xf numFmtId="0" fontId="30" fillId="0" borderId="6" xfId="0" applyFont="1" applyBorder="1"/>
    <xf numFmtId="187" fontId="34" fillId="0" borderId="0" xfId="0" applyNumberFormat="1" applyFont="1" applyAlignment="1">
      <alignment horizontal="center"/>
    </xf>
    <xf numFmtId="322" fontId="34" fillId="0" borderId="0" xfId="0" applyNumberFormat="1" applyFont="1" applyAlignment="1">
      <alignment horizontal="center"/>
    </xf>
    <xf numFmtId="187" fontId="24" fillId="0" borderId="0" xfId="0" applyNumberFormat="1" applyFont="1" applyAlignment="1">
      <alignment horizontal="center"/>
    </xf>
    <xf numFmtId="187" fontId="24" fillId="0" borderId="0" xfId="0" applyNumberFormat="1" applyFont="1" applyBorder="1" applyAlignment="1">
      <alignment horizontal="center"/>
    </xf>
    <xf numFmtId="0" fontId="2" fillId="0" borderId="6" xfId="0" applyNumberFormat="1" applyFont="1" applyFill="1" applyBorder="1" applyAlignment="1">
      <alignment horizontal="center"/>
    </xf>
    <xf numFmtId="171" fontId="24" fillId="0" borderId="0" xfId="18" applyNumberFormat="1" applyFont="1" applyBorder="1" applyAlignment="1">
      <alignment horizontal="center"/>
    </xf>
    <xf numFmtId="0" fontId="10" fillId="4" borderId="0" xfId="0" applyFont="1" applyFill="1" applyBorder="1"/>
    <xf numFmtId="0" fontId="14" fillId="0" borderId="0" xfId="0" applyFont="1" applyBorder="1"/>
    <xf numFmtId="38" fontId="3" fillId="0" borderId="0" xfId="0" applyNumberFormat="1" applyFont="1" applyFill="1" applyAlignment="1">
      <alignment horizontal="right"/>
    </xf>
    <xf numFmtId="38" fontId="22" fillId="0" borderId="0" xfId="0" applyNumberFormat="1" applyFont="1" applyFill="1" applyBorder="1" applyAlignment="1">
      <alignment horizontal="right"/>
    </xf>
    <xf numFmtId="204" fontId="22" fillId="0" borderId="0" xfId="0" applyNumberFormat="1" applyFont="1" applyFill="1" applyBorder="1"/>
    <xf numFmtId="38" fontId="33" fillId="0" borderId="0" xfId="0" applyNumberFormat="1" applyFont="1" applyBorder="1"/>
    <xf numFmtId="38" fontId="33" fillId="0" borderId="0" xfId="0" applyNumberFormat="1" applyFont="1" applyFill="1" applyBorder="1"/>
    <xf numFmtId="40" fontId="33" fillId="0" borderId="0" xfId="0" applyNumberFormat="1" applyFont="1" applyFill="1" applyBorder="1"/>
    <xf numFmtId="40" fontId="33" fillId="0" borderId="6" xfId="0" applyNumberFormat="1" applyFont="1" applyFill="1" applyBorder="1"/>
    <xf numFmtId="43" fontId="3" fillId="0" borderId="0" xfId="0" applyNumberFormat="1" applyFont="1"/>
    <xf numFmtId="0" fontId="90" fillId="0" borderId="0" xfId="19" applyFont="1" applyBorder="1" applyAlignment="1">
      <alignment horizontal="center"/>
    </xf>
    <xf numFmtId="0" fontId="17" fillId="0" borderId="0" xfId="19" applyFont="1" applyBorder="1" applyAlignment="1">
      <alignment horizontal="center"/>
    </xf>
    <xf numFmtId="14" fontId="17" fillId="8" borderId="0" xfId="19" applyNumberFormat="1" applyFont="1" applyFill="1" applyBorder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6" fillId="0" borderId="0" xfId="19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37" fontId="3" fillId="0" borderId="0" xfId="18" applyFont="1" applyFill="1" applyBorder="1" applyAlignment="1"/>
    <xf numFmtId="37" fontId="3" fillId="0" borderId="0" xfId="18" applyFont="1" applyAlignment="1"/>
    <xf numFmtId="37" fontId="3" fillId="0" borderId="0" xfId="18" applyFont="1" applyAlignment="1">
      <alignment horizontal="right"/>
    </xf>
    <xf numFmtId="2" fontId="16" fillId="0" borderId="0" xfId="19" applyNumberFormat="1" applyFont="1" applyBorder="1" applyAlignment="1">
      <alignment horizontal="center" wrapText="1"/>
    </xf>
    <xf numFmtId="37" fontId="3" fillId="0" borderId="0" xfId="18" applyFont="1" applyFill="1" applyAlignment="1"/>
    <xf numFmtId="166" fontId="17" fillId="8" borderId="0" xfId="3" applyNumberFormat="1" applyFont="1" applyFill="1" applyBorder="1"/>
    <xf numFmtId="166" fontId="17" fillId="0" borderId="0" xfId="3" applyNumberFormat="1" applyFont="1" applyBorder="1"/>
    <xf numFmtId="166" fontId="17" fillId="0" borderId="0" xfId="3" applyNumberFormat="1" applyFont="1"/>
    <xf numFmtId="0" fontId="2" fillId="0" borderId="0" xfId="0" applyFont="1" applyFill="1" applyAlignment="1">
      <alignment horizontal="right"/>
    </xf>
    <xf numFmtId="173" fontId="2" fillId="0" borderId="0" xfId="20" applyNumberFormat="1" applyFont="1" applyFill="1"/>
    <xf numFmtId="166" fontId="91" fillId="8" borderId="0" xfId="3" applyNumberFormat="1" applyFont="1" applyFill="1" applyBorder="1"/>
    <xf numFmtId="166" fontId="91" fillId="0" borderId="0" xfId="3" applyNumberFormat="1" applyFont="1" applyBorder="1"/>
    <xf numFmtId="0" fontId="93" fillId="0" borderId="0" xfId="0" applyFont="1"/>
    <xf numFmtId="0" fontId="93" fillId="0" borderId="0" xfId="0" applyFont="1" applyFill="1"/>
    <xf numFmtId="10" fontId="22" fillId="0" borderId="0" xfId="0" applyNumberFormat="1" applyFont="1" applyBorder="1" applyAlignment="1" applyProtection="1">
      <alignment horizontal="center"/>
    </xf>
    <xf numFmtId="0" fontId="22" fillId="0" borderId="15" xfId="0" applyFont="1" applyFill="1" applyBorder="1" applyAlignment="1" applyProtection="1">
      <alignment horizontal="left"/>
    </xf>
    <xf numFmtId="38" fontId="22" fillId="8" borderId="0" xfId="3" applyNumberFormat="1" applyFont="1" applyFill="1" applyBorder="1" applyAlignment="1">
      <alignment horizontal="center"/>
    </xf>
    <xf numFmtId="38" fontId="30" fillId="8" borderId="0" xfId="3" applyNumberFormat="1" applyFont="1" applyFill="1" applyBorder="1" applyAlignment="1">
      <alignment horizontal="center"/>
    </xf>
    <xf numFmtId="38" fontId="22" fillId="8" borderId="0" xfId="0" applyNumberFormat="1" applyFont="1" applyFill="1" applyBorder="1"/>
    <xf numFmtId="40" fontId="22" fillId="8" borderId="0" xfId="0" applyNumberFormat="1" applyFont="1" applyFill="1" applyBorder="1"/>
    <xf numFmtId="166" fontId="22" fillId="8" borderId="0" xfId="3" applyNumberFormat="1" applyFont="1" applyFill="1" applyBorder="1"/>
    <xf numFmtId="313" fontId="22" fillId="8" borderId="0" xfId="0" applyNumberFormat="1" applyFont="1" applyFill="1" applyBorder="1" applyAlignment="1" applyProtection="1">
      <alignment horizontal="right"/>
    </xf>
    <xf numFmtId="37" fontId="22" fillId="8" borderId="0" xfId="0" applyNumberFormat="1" applyFont="1" applyFill="1" applyBorder="1" applyAlignment="1">
      <alignment horizontal="center"/>
    </xf>
    <xf numFmtId="173" fontId="22" fillId="8" borderId="0" xfId="0" applyNumberFormat="1" applyFont="1" applyFill="1" applyBorder="1" applyAlignment="1">
      <alignment horizontal="center"/>
    </xf>
    <xf numFmtId="173" fontId="30" fillId="8" borderId="0" xfId="0" applyNumberFormat="1" applyFont="1" applyFill="1" applyBorder="1" applyAlignment="1">
      <alignment horizontal="center"/>
    </xf>
    <xf numFmtId="10" fontId="22" fillId="8" borderId="0" xfId="0" applyNumberFormat="1" applyFont="1" applyFill="1" applyBorder="1" applyAlignment="1">
      <alignment horizontal="center"/>
    </xf>
    <xf numFmtId="9" fontId="22" fillId="8" borderId="0" xfId="0" applyNumberFormat="1" applyFont="1" applyFill="1" applyBorder="1" applyAlignment="1">
      <alignment horizontal="center"/>
    </xf>
    <xf numFmtId="38" fontId="22" fillId="8" borderId="6" xfId="0" applyNumberFormat="1" applyFont="1" applyFill="1" applyBorder="1"/>
    <xf numFmtId="10" fontId="22" fillId="8" borderId="0" xfId="20" applyNumberFormat="1" applyFont="1" applyFill="1" applyBorder="1"/>
    <xf numFmtId="43" fontId="22" fillId="8" borderId="9" xfId="3" applyNumberFormat="1" applyFont="1" applyFill="1" applyBorder="1"/>
    <xf numFmtId="0" fontId="30" fillId="0" borderId="7" xfId="0" applyFont="1" applyFill="1" applyBorder="1" applyAlignment="1">
      <alignment horizontal="centerContinuous"/>
    </xf>
    <xf numFmtId="10" fontId="22" fillId="0" borderId="0" xfId="0" applyNumberFormat="1" applyFont="1" applyFill="1" applyBorder="1"/>
    <xf numFmtId="43" fontId="22" fillId="0" borderId="0" xfId="3" applyFont="1" applyFill="1" applyBorder="1" applyAlignment="1">
      <alignment horizontal="center"/>
    </xf>
    <xf numFmtId="10" fontId="22" fillId="0" borderId="0" xfId="20" applyNumberFormat="1" applyFont="1" applyFill="1" applyBorder="1" applyAlignment="1">
      <alignment horizontal="center"/>
    </xf>
    <xf numFmtId="9" fontId="30" fillId="0" borderId="9" xfId="20" applyFont="1" applyFill="1" applyBorder="1" applyAlignment="1">
      <alignment horizontal="center"/>
    </xf>
    <xf numFmtId="43" fontId="22" fillId="0" borderId="6" xfId="3" applyFont="1" applyFill="1" applyBorder="1" applyAlignment="1">
      <alignment horizontal="center"/>
    </xf>
    <xf numFmtId="164" fontId="3" fillId="8" borderId="0" xfId="20" applyNumberFormat="1" applyFont="1" applyFill="1" applyBorder="1" applyAlignment="1">
      <alignment horizontal="center"/>
    </xf>
    <xf numFmtId="9" fontId="22" fillId="0" borderId="0" xfId="20" applyFont="1" applyFill="1" applyBorder="1" applyAlignment="1">
      <alignment horizontal="center"/>
    </xf>
    <xf numFmtId="9" fontId="22" fillId="0" borderId="6" xfId="0" applyNumberFormat="1" applyFont="1" applyFill="1" applyBorder="1" applyAlignment="1">
      <alignment horizontal="center"/>
    </xf>
    <xf numFmtId="40" fontId="33" fillId="8" borderId="0" xfId="0" applyNumberFormat="1" applyFont="1" applyFill="1" applyBorder="1"/>
    <xf numFmtId="38" fontId="30" fillId="0" borderId="0" xfId="0" applyNumberFormat="1" applyFont="1" applyBorder="1" applyAlignment="1">
      <alignment horizontal="center"/>
    </xf>
    <xf numFmtId="38" fontId="22" fillId="0" borderId="0" xfId="0" applyNumberFormat="1" applyFont="1" applyFill="1" applyBorder="1" applyAlignment="1">
      <alignment horizontal="center"/>
    </xf>
    <xf numFmtId="38" fontId="22" fillId="0" borderId="6" xfId="0" applyNumberFormat="1" applyFont="1" applyFill="1" applyBorder="1" applyAlignment="1">
      <alignment horizontal="center"/>
    </xf>
    <xf numFmtId="166" fontId="22" fillId="0" borderId="0" xfId="3" applyNumberFormat="1" applyFont="1" applyFill="1" applyBorder="1"/>
    <xf numFmtId="10" fontId="22" fillId="8" borderId="6" xfId="20" applyNumberFormat="1" applyFont="1" applyFill="1" applyBorder="1"/>
    <xf numFmtId="166" fontId="22" fillId="0" borderId="6" xfId="3" applyNumberFormat="1" applyFont="1" applyBorder="1"/>
    <xf numFmtId="166" fontId="22" fillId="0" borderId="6" xfId="3" applyNumberFormat="1" applyFont="1" applyFill="1" applyBorder="1"/>
    <xf numFmtId="10" fontId="3" fillId="0" borderId="0" xfId="20" applyNumberFormat="1" applyFont="1" applyFill="1" applyProtection="1"/>
    <xf numFmtId="38" fontId="22" fillId="0" borderId="7" xfId="0" applyNumberFormat="1" applyFont="1" applyFill="1" applyBorder="1"/>
    <xf numFmtId="0" fontId="3" fillId="0" borderId="7" xfId="0" applyFont="1" applyFill="1" applyBorder="1"/>
    <xf numFmtId="0" fontId="7" fillId="0" borderId="0" xfId="17" applyFont="1" applyFill="1" applyBorder="1"/>
    <xf numFmtId="38" fontId="9" fillId="0" borderId="0" xfId="0" applyNumberFormat="1" applyFont="1" applyFill="1" applyBorder="1" applyAlignment="1">
      <alignment horizontal="right"/>
    </xf>
    <xf numFmtId="0" fontId="3" fillId="4" borderId="0" xfId="0" applyFont="1" applyFill="1"/>
    <xf numFmtId="166" fontId="3" fillId="0" borderId="8" xfId="3" applyNumberFormat="1" applyFont="1" applyBorder="1"/>
    <xf numFmtId="166" fontId="3" fillId="0" borderId="9" xfId="3" applyNumberFormat="1" applyFont="1" applyBorder="1"/>
    <xf numFmtId="166" fontId="3" fillId="0" borderId="13" xfId="3" applyNumberFormat="1" applyFont="1" applyBorder="1"/>
    <xf numFmtId="0" fontId="2" fillId="0" borderId="14" xfId="0" applyFont="1" applyBorder="1"/>
    <xf numFmtId="0" fontId="2" fillId="10" borderId="15" xfId="0" applyFont="1" applyFill="1" applyBorder="1"/>
    <xf numFmtId="0" fontId="3" fillId="10" borderId="6" xfId="0" applyFont="1" applyFill="1" applyBorder="1"/>
    <xf numFmtId="166" fontId="2" fillId="10" borderId="13" xfId="3" applyNumberFormat="1" applyFont="1" applyFill="1" applyBorder="1"/>
    <xf numFmtId="0" fontId="3" fillId="0" borderId="11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18" xfId="0" applyFont="1" applyBorder="1"/>
    <xf numFmtId="166" fontId="30" fillId="8" borderId="0" xfId="3" applyNumberFormat="1" applyFont="1" applyFill="1" applyBorder="1"/>
    <xf numFmtId="40" fontId="31" fillId="0" borderId="0" xfId="0" applyNumberFormat="1" applyFont="1" applyFill="1" applyBorder="1"/>
    <xf numFmtId="43" fontId="30" fillId="8" borderId="9" xfId="3" applyNumberFormat="1" applyFont="1" applyFill="1" applyBorder="1"/>
    <xf numFmtId="43" fontId="22" fillId="0" borderId="9" xfId="3" applyNumberFormat="1" applyFont="1" applyFill="1" applyBorder="1"/>
    <xf numFmtId="40" fontId="31" fillId="8" borderId="0" xfId="0" applyNumberFormat="1" applyFont="1" applyFill="1" applyBorder="1"/>
    <xf numFmtId="43" fontId="22" fillId="0" borderId="0" xfId="3" applyNumberFormat="1" applyFont="1" applyFill="1" applyBorder="1"/>
    <xf numFmtId="166" fontId="3" fillId="0" borderId="0" xfId="3" applyNumberFormat="1" applyFont="1" applyFill="1" applyProtection="1"/>
    <xf numFmtId="0" fontId="20" fillId="0" borderId="0" xfId="0" applyFont="1"/>
    <xf numFmtId="166" fontId="3" fillId="0" borderId="0" xfId="3" applyNumberFormat="1" applyFont="1" applyProtection="1">
      <protection locked="0"/>
    </xf>
    <xf numFmtId="166" fontId="15" fillId="0" borderId="0" xfId="3" applyNumberFormat="1" applyFont="1" applyProtection="1"/>
    <xf numFmtId="166" fontId="2" fillId="0" borderId="0" xfId="3" applyNumberFormat="1" applyFont="1"/>
    <xf numFmtId="0" fontId="2" fillId="0" borderId="0" xfId="0" applyFont="1" applyAlignment="1" applyProtection="1">
      <alignment horizontal="left"/>
    </xf>
    <xf numFmtId="166" fontId="3" fillId="0" borderId="4" xfId="3" applyNumberFormat="1" applyFont="1" applyBorder="1"/>
    <xf numFmtId="166" fontId="0" fillId="0" borderId="0" xfId="3" applyNumberFormat="1" applyFont="1"/>
    <xf numFmtId="166" fontId="14" fillId="0" borderId="0" xfId="3" applyNumberFormat="1" applyFont="1" applyBorder="1"/>
    <xf numFmtId="166" fontId="14" fillId="0" borderId="0" xfId="3" applyNumberFormat="1" applyFont="1"/>
    <xf numFmtId="166" fontId="0" fillId="0" borderId="0" xfId="3" applyNumberFormat="1" applyFont="1" applyBorder="1"/>
    <xf numFmtId="166" fontId="36" fillId="0" borderId="0" xfId="3" applyNumberFormat="1" applyFont="1" applyBorder="1"/>
    <xf numFmtId="166" fontId="36" fillId="0" borderId="0" xfId="3" applyNumberFormat="1" applyFont="1"/>
    <xf numFmtId="166" fontId="36" fillId="0" borderId="0" xfId="3" applyNumberFormat="1" applyFont="1" applyFill="1" applyBorder="1"/>
    <xf numFmtId="0" fontId="34" fillId="10" borderId="0" xfId="0" applyFont="1" applyFill="1"/>
    <xf numFmtId="0" fontId="2" fillId="10" borderId="6" xfId="0" applyFont="1" applyFill="1" applyBorder="1" applyAlignment="1">
      <alignment horizontal="center"/>
    </xf>
    <xf numFmtId="0" fontId="0" fillId="10" borderId="0" xfId="0" applyFill="1"/>
    <xf numFmtId="0" fontId="3" fillId="10" borderId="0" xfId="0" applyFont="1" applyFill="1"/>
    <xf numFmtId="166" fontId="3" fillId="10" borderId="0" xfId="3" applyNumberFormat="1" applyFont="1" applyFill="1"/>
    <xf numFmtId="166" fontId="3" fillId="10" borderId="4" xfId="3" applyNumberFormat="1" applyFont="1" applyFill="1" applyBorder="1"/>
    <xf numFmtId="166" fontId="14" fillId="10" borderId="0" xfId="3" applyNumberFormat="1" applyFont="1" applyFill="1" applyBorder="1"/>
    <xf numFmtId="166" fontId="3" fillId="10" borderId="0" xfId="3" applyNumberFormat="1" applyFont="1" applyFill="1" applyBorder="1"/>
    <xf numFmtId="166" fontId="14" fillId="10" borderId="0" xfId="3" applyNumberFormat="1" applyFont="1" applyFill="1"/>
    <xf numFmtId="212" fontId="22" fillId="8" borderId="0" xfId="0" applyNumberFormat="1" applyFont="1" applyFill="1" applyBorder="1"/>
    <xf numFmtId="0" fontId="22" fillId="0" borderId="10" xfId="0" applyFont="1" applyFill="1" applyBorder="1" applyAlignment="1" applyProtection="1">
      <alignment horizontal="left"/>
    </xf>
    <xf numFmtId="9" fontId="22" fillId="0" borderId="0" xfId="20" applyFont="1" applyFill="1" applyBorder="1"/>
    <xf numFmtId="0" fontId="3" fillId="0" borderId="19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0" fillId="0" borderId="9" xfId="0" applyBorder="1"/>
    <xf numFmtId="0" fontId="3" fillId="0" borderId="19" xfId="0" applyFont="1" applyBorder="1"/>
    <xf numFmtId="0" fontId="3" fillId="0" borderId="20" xfId="0" applyFont="1" applyBorder="1"/>
    <xf numFmtId="0" fontId="3" fillId="0" borderId="21" xfId="0" applyFont="1" applyBorder="1"/>
    <xf numFmtId="0" fontId="3" fillId="0" borderId="17" xfId="0" applyFont="1" applyBorder="1" applyAlignment="1">
      <alignment horizontal="left"/>
    </xf>
    <xf numFmtId="43" fontId="3" fillId="0" borderId="0" xfId="3" applyFont="1" applyFill="1" applyBorder="1" applyAlignment="1">
      <alignment horizontal="left"/>
    </xf>
    <xf numFmtId="15" fontId="22" fillId="8" borderId="0" xfId="0" applyNumberFormat="1" applyFont="1" applyFill="1" applyBorder="1" applyAlignment="1">
      <alignment horizontal="right"/>
    </xf>
    <xf numFmtId="0" fontId="2" fillId="0" borderId="19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3" fillId="0" borderId="11" xfId="0" applyFont="1" applyBorder="1"/>
    <xf numFmtId="38" fontId="30" fillId="8" borderId="0" xfId="0" applyNumberFormat="1" applyFont="1" applyFill="1" applyBorder="1"/>
    <xf numFmtId="43" fontId="3" fillId="0" borderId="0" xfId="0" applyNumberFormat="1" applyFont="1" applyFill="1" applyAlignment="1">
      <alignment horizontal="left"/>
    </xf>
    <xf numFmtId="0" fontId="9" fillId="10" borderId="10" xfId="0" applyFont="1" applyFill="1" applyBorder="1"/>
    <xf numFmtId="0" fontId="2" fillId="10" borderId="0" xfId="0" applyFont="1" applyFill="1" applyBorder="1"/>
    <xf numFmtId="40" fontId="9" fillId="10" borderId="0" xfId="0" applyNumberFormat="1" applyFont="1" applyFill="1" applyBorder="1" applyAlignment="1">
      <alignment horizontal="center"/>
    </xf>
    <xf numFmtId="10" fontId="2" fillId="10" borderId="0" xfId="20" applyNumberFormat="1" applyFont="1" applyFill="1" applyAlignment="1">
      <alignment horizontal="center"/>
    </xf>
    <xf numFmtId="6" fontId="31" fillId="0" borderId="9" xfId="0" applyNumberFormat="1" applyFont="1" applyBorder="1" applyAlignment="1">
      <alignment horizontal="center"/>
    </xf>
    <xf numFmtId="204" fontId="33" fillId="0" borderId="9" xfId="3" applyNumberFormat="1" applyFont="1" applyFill="1" applyBorder="1" applyAlignment="1">
      <alignment horizontal="center"/>
    </xf>
    <xf numFmtId="204" fontId="31" fillId="0" borderId="9" xfId="3" applyNumberFormat="1" applyFont="1" applyFill="1" applyBorder="1" applyAlignment="1">
      <alignment horizontal="center"/>
    </xf>
    <xf numFmtId="204" fontId="24" fillId="0" borderId="9" xfId="0" applyNumberFormat="1" applyFont="1" applyFill="1" applyBorder="1"/>
    <xf numFmtId="204" fontId="3" fillId="0" borderId="9" xfId="0" applyNumberFormat="1" applyFont="1" applyBorder="1"/>
    <xf numFmtId="40" fontId="92" fillId="10" borderId="13" xfId="3" applyNumberFormat="1" applyFont="1" applyFill="1" applyBorder="1" applyAlignment="1">
      <alignment horizontal="center"/>
    </xf>
    <xf numFmtId="212" fontId="22" fillId="0" borderId="9" xfId="3" applyNumberFormat="1" applyFont="1" applyBorder="1" applyAlignment="1">
      <alignment horizontal="center"/>
    </xf>
    <xf numFmtId="313" fontId="22" fillId="0" borderId="0" xfId="0" applyNumberFormat="1" applyFont="1" applyFill="1" applyBorder="1" applyAlignment="1" applyProtection="1">
      <alignment horizontal="right"/>
    </xf>
    <xf numFmtId="0" fontId="19" fillId="0" borderId="10" xfId="0" applyFont="1" applyFill="1" applyBorder="1" applyAlignment="1">
      <alignment horizontal="left"/>
    </xf>
    <xf numFmtId="0" fontId="92" fillId="0" borderId="0" xfId="0" applyFont="1" applyFill="1" applyBorder="1" applyAlignment="1">
      <alignment horizontal="center"/>
    </xf>
    <xf numFmtId="166" fontId="22" fillId="8" borderId="6" xfId="3" applyNumberFormat="1" applyFont="1" applyFill="1" applyBorder="1"/>
    <xf numFmtId="9" fontId="22" fillId="8" borderId="0" xfId="20" applyFont="1" applyFill="1" applyBorder="1"/>
    <xf numFmtId="43" fontId="3" fillId="0" borderId="0" xfId="0" applyNumberFormat="1" applyFont="1" applyBorder="1"/>
    <xf numFmtId="204" fontId="9" fillId="0" borderId="0" xfId="0" applyNumberFormat="1" applyFont="1" applyBorder="1"/>
    <xf numFmtId="0" fontId="2" fillId="0" borderId="20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9" xfId="0" applyFont="1" applyFill="1" applyBorder="1"/>
    <xf numFmtId="0" fontId="3" fillId="0" borderId="8" xfId="0" applyFont="1" applyFill="1" applyBorder="1"/>
    <xf numFmtId="0" fontId="15" fillId="0" borderId="0" xfId="0" applyFont="1" applyFill="1" applyBorder="1"/>
    <xf numFmtId="0" fontId="15" fillId="0" borderId="6" xfId="0" applyFont="1" applyFill="1" applyBorder="1"/>
    <xf numFmtId="322" fontId="24" fillId="0" borderId="0" xfId="0" applyNumberFormat="1" applyFont="1" applyAlignment="1">
      <alignment horizontal="center"/>
    </xf>
    <xf numFmtId="38" fontId="3" fillId="8" borderId="4" xfId="0" applyNumberFormat="1" applyFont="1" applyFill="1" applyBorder="1"/>
    <xf numFmtId="38" fontId="98" fillId="0" borderId="0" xfId="0" applyNumberFormat="1" applyFont="1"/>
    <xf numFmtId="38" fontId="9" fillId="0" borderId="0" xfId="0" applyNumberFormat="1" applyFont="1"/>
    <xf numFmtId="4" fontId="3" fillId="0" borderId="0" xfId="0" applyNumberFormat="1" applyFont="1" applyFill="1" applyBorder="1"/>
    <xf numFmtId="38" fontId="3" fillId="0" borderId="0" xfId="0" applyNumberFormat="1" applyFont="1" applyFill="1" applyBorder="1"/>
    <xf numFmtId="0" fontId="2" fillId="10" borderId="0" xfId="0" applyFont="1" applyFill="1" applyAlignment="1">
      <alignment horizontal="center"/>
    </xf>
    <xf numFmtId="9" fontId="2" fillId="10" borderId="0" xfId="20" applyFont="1" applyFill="1" applyProtection="1"/>
    <xf numFmtId="166" fontId="3" fillId="0" borderId="0" xfId="3" applyNumberFormat="1" applyFont="1" applyFill="1"/>
    <xf numFmtId="166" fontId="12" fillId="0" borderId="0" xfId="3" applyNumberFormat="1" applyFont="1" applyFill="1" applyProtection="1"/>
    <xf numFmtId="166" fontId="12" fillId="0" borderId="0" xfId="3" applyNumberFormat="1" applyFont="1" applyProtection="1"/>
    <xf numFmtId="166" fontId="13" fillId="0" borderId="0" xfId="3" applyNumberFormat="1" applyFont="1" applyProtection="1"/>
    <xf numFmtId="166" fontId="15" fillId="0" borderId="0" xfId="3" applyNumberFormat="1" applyFont="1"/>
    <xf numFmtId="166" fontId="13" fillId="0" borderId="0" xfId="3" applyNumberFormat="1" applyFont="1"/>
    <xf numFmtId="166" fontId="16" fillId="0" borderId="0" xfId="3" applyNumberFormat="1" applyFont="1"/>
    <xf numFmtId="4" fontId="22" fillId="0" borderId="0" xfId="0" applyNumberFormat="1" applyFont="1" applyFill="1" applyBorder="1" applyAlignment="1">
      <alignment horizontal="center"/>
    </xf>
    <xf numFmtId="3" fontId="2" fillId="0" borderId="0" xfId="0" applyNumberFormat="1" applyFont="1" applyBorder="1"/>
    <xf numFmtId="3" fontId="3" fillId="0" borderId="0" xfId="0" applyNumberFormat="1" applyFont="1" applyFill="1"/>
    <xf numFmtId="0" fontId="3" fillId="0" borderId="6" xfId="0" applyFont="1" applyFill="1" applyBorder="1"/>
    <xf numFmtId="179" fontId="16" fillId="8" borderId="0" xfId="0" applyNumberFormat="1" applyFont="1" applyFill="1" applyBorder="1" applyAlignment="1">
      <alignment horizontal="right"/>
    </xf>
    <xf numFmtId="3" fontId="14" fillId="0" borderId="0" xfId="0" applyNumberFormat="1" applyFont="1" applyBorder="1"/>
    <xf numFmtId="0" fontId="2" fillId="0" borderId="19" xfId="0" applyFont="1" applyBorder="1"/>
    <xf numFmtId="37" fontId="3" fillId="0" borderId="12" xfId="0" applyNumberFormat="1" applyFont="1" applyBorder="1"/>
    <xf numFmtId="0" fontId="2" fillId="0" borderId="11" xfId="0" applyFont="1" applyBorder="1"/>
    <xf numFmtId="0" fontId="2" fillId="0" borderId="17" xfId="0" applyFont="1" applyBorder="1"/>
    <xf numFmtId="166" fontId="3" fillId="0" borderId="18" xfId="3" applyNumberFormat="1" applyFont="1" applyBorder="1"/>
    <xf numFmtId="14" fontId="14" fillId="8" borderId="0" xfId="0" applyNumberFormat="1" applyFont="1" applyFill="1" applyAlignment="1">
      <alignment horizontal="center"/>
    </xf>
    <xf numFmtId="14" fontId="24" fillId="0" borderId="0" xfId="0" applyNumberFormat="1" applyFont="1" applyFill="1" applyAlignment="1">
      <alignment horizontal="center"/>
    </xf>
    <xf numFmtId="14" fontId="99" fillId="0" borderId="0" xfId="0" applyNumberFormat="1" applyFont="1" applyFill="1" applyBorder="1" applyAlignment="1">
      <alignment horizontal="center"/>
    </xf>
    <xf numFmtId="14" fontId="14" fillId="0" borderId="0" xfId="0" applyNumberFormat="1" applyFont="1" applyFill="1" applyAlignment="1">
      <alignment horizontal="center"/>
    </xf>
    <xf numFmtId="3" fontId="14" fillId="0" borderId="0" xfId="0" applyNumberFormat="1" applyFont="1"/>
    <xf numFmtId="3" fontId="2" fillId="10" borderId="3" xfId="0" applyNumberFormat="1" applyFont="1" applyFill="1" applyBorder="1"/>
    <xf numFmtId="38" fontId="3" fillId="0" borderId="0" xfId="3" applyNumberFormat="1" applyFont="1" applyFill="1" applyBorder="1"/>
    <xf numFmtId="173" fontId="3" fillId="0" borderId="18" xfId="0" applyNumberFormat="1" applyFont="1" applyBorder="1" applyAlignment="1">
      <alignment horizontal="center"/>
    </xf>
    <xf numFmtId="2" fontId="17" fillId="0" borderId="20" xfId="0" applyNumberFormat="1" applyFont="1" applyBorder="1" applyAlignment="1">
      <alignment horizontal="center"/>
    </xf>
    <xf numFmtId="0" fontId="17" fillId="0" borderId="19" xfId="0" applyFont="1" applyBorder="1"/>
    <xf numFmtId="166" fontId="13" fillId="0" borderId="3" xfId="3" applyNumberFormat="1" applyFont="1" applyBorder="1"/>
    <xf numFmtId="179" fontId="16" fillId="8" borderId="22" xfId="0" applyNumberFormat="1" applyFont="1" applyFill="1" applyBorder="1" applyAlignment="1">
      <alignment horizontal="right"/>
    </xf>
    <xf numFmtId="0" fontId="100" fillId="0" borderId="0" xfId="0" applyFont="1"/>
    <xf numFmtId="3" fontId="24" fillId="0" borderId="0" xfId="0" applyNumberFormat="1" applyFont="1"/>
    <xf numFmtId="179" fontId="101" fillId="0" borderId="0" xfId="0" applyNumberFormat="1" applyFont="1" applyFill="1" applyBorder="1" applyAlignment="1">
      <alignment horizontal="right"/>
    </xf>
    <xf numFmtId="3" fontId="24" fillId="0" borderId="0" xfId="0" applyNumberFormat="1" applyFont="1" applyBorder="1"/>
    <xf numFmtId="166" fontId="16" fillId="0" borderId="0" xfId="3" applyNumberFormat="1" applyFont="1" applyBorder="1" applyAlignment="1">
      <alignment horizontal="right"/>
    </xf>
    <xf numFmtId="166" fontId="16" fillId="0" borderId="0" xfId="3" applyNumberFormat="1" applyFont="1" applyBorder="1" applyAlignment="1">
      <alignment horizontal="center"/>
    </xf>
    <xf numFmtId="0" fontId="0" fillId="0" borderId="7" xfId="0" applyBorder="1"/>
    <xf numFmtId="9" fontId="0" fillId="0" borderId="7" xfId="20" applyFont="1" applyBorder="1"/>
    <xf numFmtId="9" fontId="0" fillId="0" borderId="8" xfId="20" applyFont="1" applyBorder="1"/>
    <xf numFmtId="9" fontId="0" fillId="0" borderId="0" xfId="20" applyFont="1" applyBorder="1"/>
    <xf numFmtId="9" fontId="0" fillId="0" borderId="9" xfId="20" applyFont="1" applyBorder="1"/>
    <xf numFmtId="0" fontId="0" fillId="0" borderId="6" xfId="0" applyBorder="1"/>
    <xf numFmtId="9" fontId="0" fillId="0" borderId="6" xfId="20" applyFont="1" applyBorder="1"/>
    <xf numFmtId="9" fontId="0" fillId="0" borderId="13" xfId="20" applyFont="1" applyBorder="1"/>
    <xf numFmtId="0" fontId="102" fillId="0" borderId="7" xfId="0" applyFont="1" applyBorder="1"/>
    <xf numFmtId="0" fontId="102" fillId="0" borderId="8" xfId="0" applyFont="1" applyBorder="1"/>
    <xf numFmtId="0" fontId="102" fillId="0" borderId="0" xfId="0" applyFont="1" applyBorder="1"/>
    <xf numFmtId="0" fontId="102" fillId="0" borderId="9" xfId="0" applyFont="1" applyBorder="1"/>
    <xf numFmtId="0" fontId="102" fillId="0" borderId="23" xfId="0" applyFont="1" applyBorder="1"/>
    <xf numFmtId="0" fontId="102" fillId="0" borderId="24" xfId="0" applyFont="1" applyBorder="1"/>
    <xf numFmtId="0" fontId="0" fillId="0" borderId="23" xfId="0" applyBorder="1" applyAlignment="1">
      <alignment horizontal="center"/>
    </xf>
    <xf numFmtId="0" fontId="0" fillId="0" borderId="25" xfId="0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321" fontId="3" fillId="0" borderId="0" xfId="0" applyNumberFormat="1" applyFont="1" applyBorder="1" applyAlignment="1">
      <alignment horizontal="center"/>
    </xf>
    <xf numFmtId="0" fontId="3" fillId="0" borderId="14" xfId="0" quotePrefix="1" applyFont="1" applyBorder="1" applyAlignment="1">
      <alignment horizontal="center"/>
    </xf>
    <xf numFmtId="1" fontId="3" fillId="0" borderId="7" xfId="0" applyNumberFormat="1" applyFont="1" applyBorder="1" applyAlignment="1">
      <alignment horizontal="center"/>
    </xf>
    <xf numFmtId="321" fontId="3" fillId="0" borderId="7" xfId="0" applyNumberFormat="1" applyFont="1" applyBorder="1" applyAlignment="1">
      <alignment horizontal="center"/>
    </xf>
    <xf numFmtId="321" fontId="3" fillId="0" borderId="8" xfId="0" applyNumberFormat="1" applyFont="1" applyBorder="1" applyAlignment="1">
      <alignment horizontal="center"/>
    </xf>
    <xf numFmtId="0" fontId="3" fillId="0" borderId="10" xfId="0" quotePrefix="1" applyFont="1" applyBorder="1" applyAlignment="1">
      <alignment horizontal="center"/>
    </xf>
    <xf numFmtId="321" fontId="3" fillId="0" borderId="9" xfId="0" applyNumberFormat="1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1" fontId="3" fillId="0" borderId="6" xfId="0" applyNumberFormat="1" applyFont="1" applyBorder="1" applyAlignment="1">
      <alignment horizontal="center"/>
    </xf>
    <xf numFmtId="321" fontId="3" fillId="0" borderId="6" xfId="0" applyNumberFormat="1" applyFont="1" applyBorder="1" applyAlignment="1">
      <alignment horizontal="center"/>
    </xf>
    <xf numFmtId="321" fontId="3" fillId="0" borderId="13" xfId="0" applyNumberFormat="1" applyFont="1" applyBorder="1" applyAlignment="1">
      <alignment horizontal="center"/>
    </xf>
    <xf numFmtId="164" fontId="14" fillId="8" borderId="0" xfId="20" applyNumberFormat="1" applyFont="1" applyFill="1" applyBorder="1" applyAlignment="1">
      <alignment horizontal="center"/>
    </xf>
    <xf numFmtId="9" fontId="3" fillId="0" borderId="0" xfId="0" applyNumberFormat="1" applyFont="1"/>
    <xf numFmtId="0" fontId="102" fillId="0" borderId="24" xfId="0" applyFont="1" applyBorder="1" applyAlignment="1">
      <alignment horizontal="center"/>
    </xf>
    <xf numFmtId="37" fontId="2" fillId="8" borderId="0" xfId="18" applyFont="1" applyFill="1" applyAlignment="1"/>
    <xf numFmtId="0" fontId="17" fillId="0" borderId="11" xfId="0" applyFont="1" applyBorder="1"/>
    <xf numFmtId="37" fontId="3" fillId="0" borderId="18" xfId="0" applyNumberFormat="1" applyFont="1" applyFill="1" applyBorder="1" applyAlignment="1">
      <alignment horizontal="center"/>
    </xf>
    <xf numFmtId="166" fontId="14" fillId="0" borderId="0" xfId="3" applyNumberFormat="1" applyFont="1" applyFill="1" applyBorder="1"/>
    <xf numFmtId="166" fontId="3" fillId="8" borderId="4" xfId="3" applyNumberFormat="1" applyFont="1" applyFill="1" applyBorder="1"/>
    <xf numFmtId="0" fontId="2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164" fontId="2" fillId="0" borderId="0" xfId="20" applyNumberFormat="1" applyFont="1" applyFill="1" applyBorder="1" applyAlignment="1">
      <alignment horizontal="center"/>
    </xf>
    <xf numFmtId="43" fontId="3" fillId="0" borderId="0" xfId="3" applyNumberFormat="1" applyFont="1"/>
    <xf numFmtId="40" fontId="31" fillId="0" borderId="9" xfId="3" applyNumberFormat="1" applyFont="1" applyFill="1" applyBorder="1" applyAlignment="1">
      <alignment horizontal="center"/>
    </xf>
    <xf numFmtId="171" fontId="2" fillId="0" borderId="0" xfId="18" applyNumberFormat="1" applyFont="1" applyFill="1" applyAlignment="1"/>
    <xf numFmtId="164" fontId="2" fillId="10" borderId="3" xfId="20" applyNumberFormat="1" applyFont="1" applyFill="1" applyBorder="1" applyAlignment="1">
      <alignment horizontal="center"/>
    </xf>
    <xf numFmtId="9" fontId="3" fillId="8" borderId="3" xfId="20" applyFont="1" applyFill="1" applyBorder="1"/>
    <xf numFmtId="43" fontId="14" fillId="0" borderId="0" xfId="3" applyNumberFormat="1" applyFont="1"/>
    <xf numFmtId="0" fontId="3" fillId="0" borderId="19" xfId="0" applyFont="1" applyBorder="1" applyAlignment="1">
      <alignment horizontal="left"/>
    </xf>
    <xf numFmtId="173" fontId="3" fillId="0" borderId="20" xfId="0" applyNumberFormat="1" applyFont="1" applyFill="1" applyBorder="1" applyAlignment="1">
      <alignment horizontal="center"/>
    </xf>
    <xf numFmtId="4" fontId="3" fillId="0" borderId="21" xfId="0" applyNumberFormat="1" applyFont="1" applyBorder="1" applyAlignment="1">
      <alignment horizontal="center"/>
    </xf>
    <xf numFmtId="0" fontId="3" fillId="0" borderId="17" xfId="0" applyFont="1" applyBorder="1"/>
    <xf numFmtId="173" fontId="14" fillId="0" borderId="21" xfId="0" applyNumberFormat="1" applyFont="1" applyFill="1" applyBorder="1" applyAlignment="1">
      <alignment horizontal="center"/>
    </xf>
    <xf numFmtId="179" fontId="16" fillId="0" borderId="20" xfId="0" applyNumberFormat="1" applyFont="1" applyBorder="1" applyAlignment="1">
      <alignment horizontal="center"/>
    </xf>
    <xf numFmtId="179" fontId="16" fillId="0" borderId="18" xfId="0" applyNumberFormat="1" applyFont="1" applyBorder="1" applyAlignment="1">
      <alignment horizontal="center"/>
    </xf>
    <xf numFmtId="193" fontId="3" fillId="0" borderId="0" xfId="3" applyNumberFormat="1" applyFont="1"/>
    <xf numFmtId="37" fontId="3" fillId="0" borderId="20" xfId="0" applyNumberFormat="1" applyFont="1" applyBorder="1"/>
    <xf numFmtId="179" fontId="16" fillId="8" borderId="26" xfId="0" applyNumberFormat="1" applyFont="1" applyFill="1" applyBorder="1" applyAlignment="1">
      <alignment horizontal="right"/>
    </xf>
    <xf numFmtId="166" fontId="3" fillId="8" borderId="16" xfId="3" applyNumberFormat="1" applyFont="1" applyFill="1" applyBorder="1" applyProtection="1"/>
    <xf numFmtId="166" fontId="3" fillId="8" borderId="22" xfId="3" applyNumberFormat="1" applyFont="1" applyFill="1" applyBorder="1" applyProtection="1"/>
    <xf numFmtId="166" fontId="3" fillId="8" borderId="26" xfId="3" applyNumberFormat="1" applyFont="1" applyFill="1" applyBorder="1" applyProtection="1"/>
    <xf numFmtId="166" fontId="3" fillId="8" borderId="0" xfId="3" applyNumberFormat="1" applyFont="1" applyFill="1" applyBorder="1" applyProtection="1"/>
    <xf numFmtId="0" fontId="0" fillId="0" borderId="24" xfId="0" applyBorder="1" applyAlignment="1">
      <alignment horizontal="center"/>
    </xf>
    <xf numFmtId="0" fontId="104" fillId="0" borderId="0" xfId="0" applyFont="1"/>
    <xf numFmtId="0" fontId="2" fillId="0" borderId="0" xfId="17" applyFont="1" applyFill="1" applyBorder="1"/>
    <xf numFmtId="0" fontId="11" fillId="0" borderId="0" xfId="0" applyFont="1"/>
    <xf numFmtId="14" fontId="3" fillId="0" borderId="0" xfId="0" applyNumberFormat="1" applyFont="1"/>
    <xf numFmtId="0" fontId="14" fillId="0" borderId="0" xfId="0" applyFont="1"/>
    <xf numFmtId="0" fontId="3" fillId="0" borderId="7" xfId="0" applyFont="1" applyBorder="1" applyAlignment="1">
      <alignment horizontal="center"/>
    </xf>
    <xf numFmtId="0" fontId="3" fillId="0" borderId="27" xfId="0" applyFont="1" applyBorder="1" applyAlignment="1">
      <alignment horizontal="centerContinuous"/>
    </xf>
    <xf numFmtId="0" fontId="3" fillId="0" borderId="28" xfId="0" applyFont="1" applyBorder="1" applyAlignment="1">
      <alignment horizontal="centerContinuous"/>
    </xf>
    <xf numFmtId="0" fontId="3" fillId="0" borderId="29" xfId="0" applyFont="1" applyBorder="1"/>
    <xf numFmtId="0" fontId="3" fillId="0" borderId="30" xfId="0" applyFont="1" applyBorder="1" applyAlignment="1">
      <alignment horizontal="center"/>
    </xf>
    <xf numFmtId="0" fontId="2" fillId="0" borderId="15" xfId="0" applyFont="1" applyFill="1" applyBorder="1"/>
    <xf numFmtId="10" fontId="2" fillId="0" borderId="6" xfId="0" applyNumberFormat="1" applyFont="1" applyFill="1" applyBorder="1"/>
    <xf numFmtId="179" fontId="2" fillId="0" borderId="6" xfId="3" applyNumberFormat="1" applyFont="1" applyFill="1" applyBorder="1"/>
    <xf numFmtId="179" fontId="2" fillId="0" borderId="13" xfId="3" applyNumberFormat="1" applyFont="1" applyFill="1" applyBorder="1"/>
    <xf numFmtId="179" fontId="2" fillId="0" borderId="0" xfId="3" applyNumberFormat="1" applyFont="1" applyFill="1" applyBorder="1"/>
    <xf numFmtId="0" fontId="13" fillId="0" borderId="14" xfId="0" applyFont="1" applyBorder="1"/>
    <xf numFmtId="10" fontId="3" fillId="0" borderId="7" xfId="20" applyNumberFormat="1" applyFont="1" applyBorder="1"/>
    <xf numFmtId="179" fontId="3" fillId="0" borderId="7" xfId="3" applyNumberFormat="1" applyFont="1" applyFill="1" applyBorder="1"/>
    <xf numFmtId="179" fontId="3" fillId="0" borderId="8" xfId="3" applyNumberFormat="1" applyFont="1" applyFill="1" applyBorder="1"/>
    <xf numFmtId="0" fontId="11" fillId="0" borderId="0" xfId="0" applyFont="1" applyBorder="1"/>
    <xf numFmtId="0" fontId="105" fillId="0" borderId="0" xfId="0" applyFont="1" applyBorder="1"/>
    <xf numFmtId="43" fontId="3" fillId="0" borderId="0" xfId="3" applyNumberFormat="1" applyFont="1" applyFill="1" applyBorder="1" applyAlignment="1">
      <alignment horizontal="right"/>
    </xf>
    <xf numFmtId="40" fontId="3" fillId="8" borderId="0" xfId="3" applyNumberFormat="1" applyFont="1" applyFill="1" applyBorder="1" applyAlignment="1">
      <alignment horizontal="right"/>
    </xf>
    <xf numFmtId="43" fontId="3" fillId="8" borderId="0" xfId="3" applyNumberFormat="1" applyFont="1" applyFill="1" applyBorder="1" applyAlignment="1">
      <alignment horizontal="right"/>
    </xf>
    <xf numFmtId="40" fontId="3" fillId="0" borderId="0" xfId="3" applyNumberFormat="1" applyFont="1" applyFill="1" applyBorder="1" applyAlignment="1">
      <alignment horizontal="right"/>
    </xf>
    <xf numFmtId="43" fontId="14" fillId="8" borderId="0" xfId="3" applyNumberFormat="1" applyFont="1" applyFill="1" applyBorder="1" applyAlignment="1">
      <alignment horizontal="right"/>
    </xf>
    <xf numFmtId="1" fontId="2" fillId="0" borderId="3" xfId="3" applyNumberFormat="1" applyFont="1" applyFill="1" applyBorder="1" applyAlignment="1">
      <alignment horizontal="center"/>
    </xf>
    <xf numFmtId="1" fontId="106" fillId="0" borderId="0" xfId="3" applyNumberFormat="1" applyFont="1" applyFill="1" applyBorder="1" applyAlignment="1">
      <alignment horizontal="right"/>
    </xf>
    <xf numFmtId="2" fontId="3" fillId="0" borderId="0" xfId="0" applyNumberFormat="1" applyFont="1" applyFill="1" applyBorder="1"/>
    <xf numFmtId="43" fontId="14" fillId="0" borderId="0" xfId="3" applyNumberFormat="1" applyFont="1" applyBorder="1" applyAlignment="1">
      <alignment horizontal="right"/>
    </xf>
    <xf numFmtId="44" fontId="3" fillId="0" borderId="0" xfId="4" applyFont="1" applyBorder="1" applyAlignment="1">
      <alignment horizontal="right"/>
    </xf>
    <xf numFmtId="7" fontId="3" fillId="0" borderId="0" xfId="3" applyNumberFormat="1" applyFont="1" applyBorder="1" applyAlignment="1">
      <alignment horizontal="right"/>
    </xf>
    <xf numFmtId="43" fontId="3" fillId="0" borderId="16" xfId="3" applyNumberFormat="1" applyFont="1" applyBorder="1" applyAlignment="1">
      <alignment horizontal="right"/>
    </xf>
    <xf numFmtId="43" fontId="3" fillId="0" borderId="22" xfId="3" applyNumberFormat="1" applyFont="1" applyBorder="1" applyAlignment="1">
      <alignment horizontal="right"/>
    </xf>
    <xf numFmtId="43" fontId="3" fillId="0" borderId="26" xfId="3" applyNumberFormat="1" applyFont="1" applyBorder="1" applyAlignment="1">
      <alignment horizontal="right"/>
    </xf>
    <xf numFmtId="2" fontId="106" fillId="0" borderId="0" xfId="3" applyNumberFormat="1" applyFont="1" applyFill="1" applyBorder="1" applyAlignment="1">
      <alignment horizontal="right"/>
    </xf>
    <xf numFmtId="43" fontId="3" fillId="8" borderId="0" xfId="3" applyNumberFormat="1" applyFont="1" applyFill="1" applyBorder="1"/>
    <xf numFmtId="10" fontId="3" fillId="0" borderId="0" xfId="3" applyNumberFormat="1" applyFont="1" applyFill="1" applyBorder="1"/>
    <xf numFmtId="2" fontId="3" fillId="0" borderId="16" xfId="0" applyNumberFormat="1" applyFont="1" applyFill="1" applyBorder="1"/>
    <xf numFmtId="2" fontId="3" fillId="0" borderId="22" xfId="0" applyNumberFormat="1" applyFont="1" applyFill="1" applyBorder="1"/>
    <xf numFmtId="2" fontId="3" fillId="0" borderId="26" xfId="0" applyNumberFormat="1" applyFont="1" applyFill="1" applyBorder="1"/>
    <xf numFmtId="40" fontId="14" fillId="0" borderId="0" xfId="3" applyNumberFormat="1" applyFont="1" applyFill="1" applyBorder="1" applyAlignment="1">
      <alignment horizontal="right"/>
    </xf>
    <xf numFmtId="0" fontId="11" fillId="0" borderId="6" xfId="3" applyNumberFormat="1" applyFont="1" applyBorder="1" applyAlignment="1">
      <alignment horizontal="center"/>
    </xf>
    <xf numFmtId="166" fontId="3" fillId="0" borderId="16" xfId="3" applyNumberFormat="1" applyFont="1" applyBorder="1"/>
    <xf numFmtId="166" fontId="3" fillId="0" borderId="22" xfId="3" applyNumberFormat="1" applyFont="1" applyBorder="1"/>
    <xf numFmtId="166" fontId="3" fillId="0" borderId="26" xfId="3" applyNumberFormat="1" applyFont="1" applyBorder="1"/>
    <xf numFmtId="9" fontId="14" fillId="8" borderId="0" xfId="0" applyNumberFormat="1" applyFont="1" applyFill="1"/>
    <xf numFmtId="9" fontId="3" fillId="8" borderId="3" xfId="3" applyNumberFormat="1" applyFont="1" applyFill="1" applyBorder="1" applyAlignment="1">
      <alignment horizontal="right"/>
    </xf>
    <xf numFmtId="0" fontId="107" fillId="0" borderId="0" xfId="0" applyFont="1" applyFill="1" applyBorder="1" applyAlignment="1">
      <alignment horizontal="left"/>
    </xf>
    <xf numFmtId="0" fontId="3" fillId="0" borderId="14" xfId="0" applyFont="1" applyBorder="1"/>
    <xf numFmtId="0" fontId="0" fillId="0" borderId="10" xfId="0" applyBorder="1"/>
    <xf numFmtId="9" fontId="0" fillId="0" borderId="7" xfId="20" applyNumberFormat="1" applyFont="1" applyBorder="1"/>
    <xf numFmtId="9" fontId="0" fillId="0" borderId="0" xfId="20" applyNumberFormat="1" applyFont="1" applyBorder="1"/>
    <xf numFmtId="166" fontId="28" fillId="0" borderId="0" xfId="3" applyNumberFormat="1" applyFont="1"/>
    <xf numFmtId="10" fontId="2" fillId="0" borderId="0" xfId="20" applyNumberFormat="1" applyFont="1" applyFill="1"/>
    <xf numFmtId="37" fontId="3" fillId="0" borderId="0" xfId="0" applyNumberFormat="1" applyFont="1"/>
    <xf numFmtId="14" fontId="108" fillId="0" borderId="0" xfId="0" applyNumberFormat="1" applyFont="1" applyFill="1" applyAlignment="1">
      <alignment horizontal="center"/>
    </xf>
    <xf numFmtId="0" fontId="109" fillId="0" borderId="0" xfId="0" applyFont="1"/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NumberFormat="1"/>
    <xf numFmtId="2" fontId="0" fillId="0" borderId="0" xfId="0" applyNumberFormat="1"/>
    <xf numFmtId="0" fontId="102" fillId="0" borderId="19" xfId="0" applyFont="1" applyBorder="1" applyAlignment="1">
      <alignment horizontal="center"/>
    </xf>
    <xf numFmtId="2" fontId="102" fillId="0" borderId="20" xfId="0" applyNumberFormat="1" applyFont="1" applyBorder="1"/>
    <xf numFmtId="0" fontId="102" fillId="0" borderId="17" xfId="0" applyFont="1" applyBorder="1" applyAlignment="1">
      <alignment horizontal="center"/>
    </xf>
    <xf numFmtId="2" fontId="102" fillId="0" borderId="18" xfId="0" applyNumberFormat="1" applyFont="1" applyBorder="1"/>
    <xf numFmtId="2" fontId="0" fillId="0" borderId="0" xfId="0" applyNumberFormat="1" applyAlignment="1">
      <alignment horizontal="center"/>
    </xf>
    <xf numFmtId="0" fontId="102" fillId="0" borderId="0" xfId="0" applyFont="1" applyAlignment="1">
      <alignment horizontal="center"/>
    </xf>
    <xf numFmtId="38" fontId="106" fillId="8" borderId="0" xfId="0" applyNumberFormat="1" applyFont="1" applyFill="1"/>
    <xf numFmtId="164" fontId="22" fillId="0" borderId="9" xfId="20" applyNumberFormat="1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8" fontId="22" fillId="8" borderId="0" xfId="3" applyNumberFormat="1" applyFont="1" applyFill="1" applyBorder="1"/>
    <xf numFmtId="168" fontId="30" fillId="8" borderId="0" xfId="3" applyNumberFormat="1" applyFont="1" applyFill="1" applyBorder="1"/>
    <xf numFmtId="204" fontId="115" fillId="0" borderId="0" xfId="0" applyNumberFormat="1" applyFont="1" applyFill="1" applyBorder="1"/>
    <xf numFmtId="0" fontId="2" fillId="0" borderId="0" xfId="0" applyFont="1" applyFill="1" applyAlignment="1">
      <alignment horizontal="left"/>
    </xf>
    <xf numFmtId="44" fontId="3" fillId="0" borderId="0" xfId="4" applyFont="1"/>
    <xf numFmtId="165" fontId="3" fillId="0" borderId="0" xfId="4" applyNumberFormat="1" applyFont="1"/>
    <xf numFmtId="44" fontId="3" fillId="0" borderId="0" xfId="4" applyNumberFormat="1" applyFont="1"/>
    <xf numFmtId="0" fontId="3" fillId="0" borderId="16" xfId="0" applyFont="1" applyBorder="1"/>
    <xf numFmtId="0" fontId="3" fillId="0" borderId="22" xfId="0" applyFont="1" applyBorder="1"/>
    <xf numFmtId="0" fontId="3" fillId="0" borderId="26" xfId="0" applyFont="1" applyBorder="1"/>
    <xf numFmtId="44" fontId="3" fillId="0" borderId="0" xfId="0" applyNumberFormat="1" applyFont="1"/>
    <xf numFmtId="166" fontId="3" fillId="0" borderId="0" xfId="4" applyNumberFormat="1" applyFont="1"/>
    <xf numFmtId="0" fontId="19" fillId="0" borderId="10" xfId="0" applyFont="1" applyBorder="1" applyAlignment="1" applyProtection="1">
      <alignment horizontal="left"/>
    </xf>
    <xf numFmtId="0" fontId="9" fillId="0" borderId="0" xfId="0" applyFont="1" applyBorder="1" applyAlignment="1">
      <alignment horizontal="center"/>
    </xf>
    <xf numFmtId="165" fontId="3" fillId="11" borderId="0" xfId="4" applyNumberFormat="1" applyFont="1" applyFill="1"/>
    <xf numFmtId="0" fontId="102" fillId="11" borderId="7" xfId="0" applyFont="1" applyFill="1" applyBorder="1"/>
    <xf numFmtId="0" fontId="102" fillId="11" borderId="0" xfId="0" applyFont="1" applyFill="1" applyBorder="1"/>
    <xf numFmtId="9" fontId="0" fillId="11" borderId="7" xfId="20" applyFont="1" applyFill="1" applyBorder="1"/>
    <xf numFmtId="9" fontId="0" fillId="11" borderId="0" xfId="20" applyFont="1" applyFill="1" applyBorder="1"/>
    <xf numFmtId="9" fontId="0" fillId="11" borderId="6" xfId="20" applyFont="1" applyFill="1" applyBorder="1"/>
    <xf numFmtId="166" fontId="114" fillId="8" borderId="0" xfId="3" applyNumberFormat="1" applyFont="1" applyFill="1" applyBorder="1"/>
    <xf numFmtId="40" fontId="114" fillId="8" borderId="0" xfId="0" applyNumberFormat="1" applyFont="1" applyFill="1" applyBorder="1"/>
    <xf numFmtId="0" fontId="2" fillId="0" borderId="16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26" xfId="0" applyFont="1" applyBorder="1" applyAlignment="1">
      <alignment horizontal="center"/>
    </xf>
  </cellXfs>
  <cellStyles count="32">
    <cellStyle name="??_?.????" xfId="1"/>
    <cellStyle name="Actual Date" xfId="2"/>
    <cellStyle name="Comma" xfId="3" builtinId="3"/>
    <cellStyle name="Currency" xfId="4" builtinId="4"/>
    <cellStyle name="Date" xfId="5"/>
    <cellStyle name="Dezimal [0]_Compiling Utility Macros" xfId="6"/>
    <cellStyle name="Dezimal_Compiling Utility Macros" xfId="7"/>
    <cellStyle name="Fixed" xfId="8"/>
    <cellStyle name="Grey" xfId="9"/>
    <cellStyle name="HEADER" xfId="10"/>
    <cellStyle name="Heading1" xfId="11"/>
    <cellStyle name="Heading2" xfId="12"/>
    <cellStyle name="HIGHLIGHT" xfId="13"/>
    <cellStyle name="Input [yellow]" xfId="14"/>
    <cellStyle name="no dec" xfId="15"/>
    <cellStyle name="Normal" xfId="0" builtinId="0"/>
    <cellStyle name="Normal - Style1" xfId="16"/>
    <cellStyle name="Normal_cf0402_ndf" xfId="17"/>
    <cellStyle name="Normal_Curve_Economics" xfId="18"/>
    <cellStyle name="Normal_H" xfId="19"/>
    <cellStyle name="Percent" xfId="20" builtinId="5"/>
    <cellStyle name="Percent [2]" xfId="21"/>
    <cellStyle name="Standard_Anpassen der Amortisation" xfId="22"/>
    <cellStyle name="Total" xfId="23" builtinId="25" customBuiltin="1"/>
    <cellStyle name="uk" xfId="24"/>
    <cellStyle name="Un" xfId="25"/>
    <cellStyle name="Unprot" xfId="26"/>
    <cellStyle name="Unprot$" xfId="27"/>
    <cellStyle name="Unprot_CurrencySKorea" xfId="28"/>
    <cellStyle name="Unprotect" xfId="29"/>
    <cellStyle name="Währung [0]_Compiling Utility Macros" xfId="30"/>
    <cellStyle name="Währung_Compiling Utility Macros" xfId="3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hartsheet" Target="chartsheets/sheet2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hartsheet" Target="chartsheets/sheet1.xml"/><Relationship Id="rId22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NY East: 4 Hour Block Load - "Short"</a:t>
            </a:r>
          </a:p>
        </c:rich>
      </c:tx>
      <c:layout>
        <c:manualLayout>
          <c:xMode val="edge"/>
          <c:yMode val="edge"/>
          <c:x val="0.33962264150943394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4339622641509441E-2"/>
          <c:y val="0.12398042414355628"/>
          <c:w val="0.89567147613762488"/>
          <c:h val="0.69657422512234912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'NY East'!$C$3:$EP$3</c:f>
              <c:strCache>
                <c:ptCount val="144"/>
                <c:pt idx="0">
                  <c:v>WD1</c:v>
                </c:pt>
                <c:pt idx="1">
                  <c:v>WD2</c:v>
                </c:pt>
                <c:pt idx="2">
                  <c:v>WD3</c:v>
                </c:pt>
                <c:pt idx="3">
                  <c:v>WD4</c:v>
                </c:pt>
                <c:pt idx="4">
                  <c:v>WD5</c:v>
                </c:pt>
                <c:pt idx="5">
                  <c:v>WD6</c:v>
                </c:pt>
                <c:pt idx="6">
                  <c:v>WE1</c:v>
                </c:pt>
                <c:pt idx="7">
                  <c:v>WE2</c:v>
                </c:pt>
                <c:pt idx="8">
                  <c:v>WE3</c:v>
                </c:pt>
                <c:pt idx="9">
                  <c:v>WE4</c:v>
                </c:pt>
                <c:pt idx="10">
                  <c:v>WE5</c:v>
                </c:pt>
                <c:pt idx="11">
                  <c:v>WE6</c:v>
                </c:pt>
                <c:pt idx="12">
                  <c:v>WD1</c:v>
                </c:pt>
                <c:pt idx="13">
                  <c:v>WD2</c:v>
                </c:pt>
                <c:pt idx="14">
                  <c:v>WD3</c:v>
                </c:pt>
                <c:pt idx="15">
                  <c:v>WD4</c:v>
                </c:pt>
                <c:pt idx="16">
                  <c:v>WD5</c:v>
                </c:pt>
                <c:pt idx="17">
                  <c:v>WD6</c:v>
                </c:pt>
                <c:pt idx="18">
                  <c:v>WE1</c:v>
                </c:pt>
                <c:pt idx="19">
                  <c:v>WE2</c:v>
                </c:pt>
                <c:pt idx="20">
                  <c:v>WE3</c:v>
                </c:pt>
                <c:pt idx="21">
                  <c:v>WE4</c:v>
                </c:pt>
                <c:pt idx="22">
                  <c:v>WE5</c:v>
                </c:pt>
                <c:pt idx="23">
                  <c:v>WE6</c:v>
                </c:pt>
                <c:pt idx="24">
                  <c:v>WD1</c:v>
                </c:pt>
                <c:pt idx="25">
                  <c:v>WD2</c:v>
                </c:pt>
                <c:pt idx="26">
                  <c:v>WD3</c:v>
                </c:pt>
                <c:pt idx="27">
                  <c:v>WD4</c:v>
                </c:pt>
                <c:pt idx="28">
                  <c:v>WD5</c:v>
                </c:pt>
                <c:pt idx="29">
                  <c:v>WD6</c:v>
                </c:pt>
                <c:pt idx="30">
                  <c:v>WE1</c:v>
                </c:pt>
                <c:pt idx="31">
                  <c:v>WE2</c:v>
                </c:pt>
                <c:pt idx="32">
                  <c:v>WE3</c:v>
                </c:pt>
                <c:pt idx="33">
                  <c:v>WE4</c:v>
                </c:pt>
                <c:pt idx="34">
                  <c:v>WE5</c:v>
                </c:pt>
                <c:pt idx="35">
                  <c:v>WE6</c:v>
                </c:pt>
                <c:pt idx="36">
                  <c:v>WD1</c:v>
                </c:pt>
                <c:pt idx="37">
                  <c:v>WD2</c:v>
                </c:pt>
                <c:pt idx="38">
                  <c:v>WD3</c:v>
                </c:pt>
                <c:pt idx="39">
                  <c:v>WD4</c:v>
                </c:pt>
                <c:pt idx="40">
                  <c:v>WD5</c:v>
                </c:pt>
                <c:pt idx="41">
                  <c:v>WD6</c:v>
                </c:pt>
                <c:pt idx="42">
                  <c:v>WE1</c:v>
                </c:pt>
                <c:pt idx="43">
                  <c:v>WE2</c:v>
                </c:pt>
                <c:pt idx="44">
                  <c:v>WE3</c:v>
                </c:pt>
                <c:pt idx="45">
                  <c:v>WE4</c:v>
                </c:pt>
                <c:pt idx="46">
                  <c:v>WE5</c:v>
                </c:pt>
                <c:pt idx="47">
                  <c:v>WE6</c:v>
                </c:pt>
                <c:pt idx="48">
                  <c:v>WD1</c:v>
                </c:pt>
                <c:pt idx="49">
                  <c:v>WD2</c:v>
                </c:pt>
                <c:pt idx="50">
                  <c:v>WD3</c:v>
                </c:pt>
                <c:pt idx="51">
                  <c:v>WD4</c:v>
                </c:pt>
                <c:pt idx="52">
                  <c:v>WD5</c:v>
                </c:pt>
                <c:pt idx="53">
                  <c:v>WD6</c:v>
                </c:pt>
                <c:pt idx="54">
                  <c:v>WE1</c:v>
                </c:pt>
                <c:pt idx="55">
                  <c:v>WE2</c:v>
                </c:pt>
                <c:pt idx="56">
                  <c:v>WE3</c:v>
                </c:pt>
                <c:pt idx="57">
                  <c:v>WE4</c:v>
                </c:pt>
                <c:pt idx="58">
                  <c:v>WE5</c:v>
                </c:pt>
                <c:pt idx="59">
                  <c:v>WE6</c:v>
                </c:pt>
                <c:pt idx="60">
                  <c:v>WD1</c:v>
                </c:pt>
                <c:pt idx="61">
                  <c:v>WD2</c:v>
                </c:pt>
                <c:pt idx="62">
                  <c:v>WD3</c:v>
                </c:pt>
                <c:pt idx="63">
                  <c:v>WD4</c:v>
                </c:pt>
                <c:pt idx="64">
                  <c:v>WD5</c:v>
                </c:pt>
                <c:pt idx="65">
                  <c:v>WD6</c:v>
                </c:pt>
                <c:pt idx="66">
                  <c:v>WE1</c:v>
                </c:pt>
                <c:pt idx="67">
                  <c:v>WE2</c:v>
                </c:pt>
                <c:pt idx="68">
                  <c:v>WE3</c:v>
                </c:pt>
                <c:pt idx="69">
                  <c:v>WE4</c:v>
                </c:pt>
                <c:pt idx="70">
                  <c:v>WE5</c:v>
                </c:pt>
                <c:pt idx="71">
                  <c:v>WE6</c:v>
                </c:pt>
                <c:pt idx="72">
                  <c:v>WD1</c:v>
                </c:pt>
                <c:pt idx="73">
                  <c:v>WD2</c:v>
                </c:pt>
                <c:pt idx="74">
                  <c:v>WD3</c:v>
                </c:pt>
                <c:pt idx="75">
                  <c:v>WD4</c:v>
                </c:pt>
                <c:pt idx="76">
                  <c:v>WD5</c:v>
                </c:pt>
                <c:pt idx="77">
                  <c:v>WD6</c:v>
                </c:pt>
                <c:pt idx="78">
                  <c:v>WE1</c:v>
                </c:pt>
                <c:pt idx="79">
                  <c:v>WE2</c:v>
                </c:pt>
                <c:pt idx="80">
                  <c:v>WE3</c:v>
                </c:pt>
                <c:pt idx="81">
                  <c:v>WE4</c:v>
                </c:pt>
                <c:pt idx="82">
                  <c:v>WE5</c:v>
                </c:pt>
                <c:pt idx="83">
                  <c:v>WE6</c:v>
                </c:pt>
                <c:pt idx="84">
                  <c:v>WD1</c:v>
                </c:pt>
                <c:pt idx="85">
                  <c:v>WD2</c:v>
                </c:pt>
                <c:pt idx="86">
                  <c:v>WD3</c:v>
                </c:pt>
                <c:pt idx="87">
                  <c:v>WD4</c:v>
                </c:pt>
                <c:pt idx="88">
                  <c:v>WD5</c:v>
                </c:pt>
                <c:pt idx="89">
                  <c:v>WD6</c:v>
                </c:pt>
                <c:pt idx="90">
                  <c:v>WE1</c:v>
                </c:pt>
                <c:pt idx="91">
                  <c:v>WE2</c:v>
                </c:pt>
                <c:pt idx="92">
                  <c:v>WE3</c:v>
                </c:pt>
                <c:pt idx="93">
                  <c:v>WE4</c:v>
                </c:pt>
                <c:pt idx="94">
                  <c:v>WE5</c:v>
                </c:pt>
                <c:pt idx="95">
                  <c:v>WE6</c:v>
                </c:pt>
                <c:pt idx="96">
                  <c:v>WD1</c:v>
                </c:pt>
                <c:pt idx="97">
                  <c:v>WD2</c:v>
                </c:pt>
                <c:pt idx="98">
                  <c:v>WD3</c:v>
                </c:pt>
                <c:pt idx="99">
                  <c:v>WD4</c:v>
                </c:pt>
                <c:pt idx="100">
                  <c:v>WD5</c:v>
                </c:pt>
                <c:pt idx="101">
                  <c:v>WD6</c:v>
                </c:pt>
                <c:pt idx="102">
                  <c:v>WE1</c:v>
                </c:pt>
                <c:pt idx="103">
                  <c:v>WE2</c:v>
                </c:pt>
                <c:pt idx="104">
                  <c:v>WE3</c:v>
                </c:pt>
                <c:pt idx="105">
                  <c:v>WE4</c:v>
                </c:pt>
                <c:pt idx="106">
                  <c:v>WE5</c:v>
                </c:pt>
                <c:pt idx="107">
                  <c:v>WE6</c:v>
                </c:pt>
                <c:pt idx="108">
                  <c:v>WD1</c:v>
                </c:pt>
                <c:pt idx="109">
                  <c:v>WD2</c:v>
                </c:pt>
                <c:pt idx="110">
                  <c:v>WD3</c:v>
                </c:pt>
                <c:pt idx="111">
                  <c:v>WD4</c:v>
                </c:pt>
                <c:pt idx="112">
                  <c:v>WD5</c:v>
                </c:pt>
                <c:pt idx="113">
                  <c:v>WD6</c:v>
                </c:pt>
                <c:pt idx="114">
                  <c:v>WE1</c:v>
                </c:pt>
                <c:pt idx="115">
                  <c:v>WE2</c:v>
                </c:pt>
                <c:pt idx="116">
                  <c:v>WE3</c:v>
                </c:pt>
                <c:pt idx="117">
                  <c:v>WE4</c:v>
                </c:pt>
                <c:pt idx="118">
                  <c:v>WE5</c:v>
                </c:pt>
                <c:pt idx="119">
                  <c:v>WE6</c:v>
                </c:pt>
                <c:pt idx="120">
                  <c:v>WD1</c:v>
                </c:pt>
                <c:pt idx="121">
                  <c:v>WD2</c:v>
                </c:pt>
                <c:pt idx="122">
                  <c:v>WD3</c:v>
                </c:pt>
                <c:pt idx="123">
                  <c:v>WD4</c:v>
                </c:pt>
                <c:pt idx="124">
                  <c:v>WD5</c:v>
                </c:pt>
                <c:pt idx="125">
                  <c:v>WD6</c:v>
                </c:pt>
                <c:pt idx="126">
                  <c:v>WE1</c:v>
                </c:pt>
                <c:pt idx="127">
                  <c:v>WE2</c:v>
                </c:pt>
                <c:pt idx="128">
                  <c:v>WE3</c:v>
                </c:pt>
                <c:pt idx="129">
                  <c:v>WE4</c:v>
                </c:pt>
                <c:pt idx="130">
                  <c:v>WE5</c:v>
                </c:pt>
                <c:pt idx="131">
                  <c:v>WE6</c:v>
                </c:pt>
                <c:pt idx="132">
                  <c:v>WD1</c:v>
                </c:pt>
                <c:pt idx="133">
                  <c:v>WD2</c:v>
                </c:pt>
                <c:pt idx="134">
                  <c:v>WD3</c:v>
                </c:pt>
                <c:pt idx="135">
                  <c:v>WD4</c:v>
                </c:pt>
                <c:pt idx="136">
                  <c:v>WD5</c:v>
                </c:pt>
                <c:pt idx="137">
                  <c:v>WD6</c:v>
                </c:pt>
                <c:pt idx="138">
                  <c:v>WE1</c:v>
                </c:pt>
                <c:pt idx="139">
                  <c:v>WE2</c:v>
                </c:pt>
                <c:pt idx="140">
                  <c:v>WE3</c:v>
                </c:pt>
                <c:pt idx="141">
                  <c:v>WE4</c:v>
                </c:pt>
                <c:pt idx="142">
                  <c:v>WE5</c:v>
                </c:pt>
                <c:pt idx="143">
                  <c:v>WE6</c:v>
                </c:pt>
              </c:strCache>
            </c:strRef>
          </c:cat>
          <c:val>
            <c:numRef>
              <c:f>'NY East'!$C$18:$EP$18</c:f>
              <c:numCache>
                <c:formatCode>0.00</c:formatCode>
                <c:ptCount val="1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5.6837184239409728</c:v>
                </c:pt>
                <c:pt idx="25">
                  <c:v>11.569054320609197</c:v>
                </c:pt>
                <c:pt idx="26">
                  <c:v>11.892481160836867</c:v>
                </c:pt>
                <c:pt idx="27">
                  <c:v>11.701224190750128</c:v>
                </c:pt>
                <c:pt idx="28">
                  <c:v>9.4517091641553606</c:v>
                </c:pt>
                <c:pt idx="29">
                  <c:v>6.4163112477082977</c:v>
                </c:pt>
                <c:pt idx="30">
                  <c:v>21.865920815096956</c:v>
                </c:pt>
                <c:pt idx="31">
                  <c:v>21.327865209749199</c:v>
                </c:pt>
                <c:pt idx="32">
                  <c:v>25.652883515687897</c:v>
                </c:pt>
                <c:pt idx="33">
                  <c:v>21.733839788082804</c:v>
                </c:pt>
                <c:pt idx="34">
                  <c:v>20.429749529932174</c:v>
                </c:pt>
                <c:pt idx="35">
                  <c:v>21.888992659058641</c:v>
                </c:pt>
                <c:pt idx="36">
                  <c:v>0.36214257591913668</c:v>
                </c:pt>
                <c:pt idx="37">
                  <c:v>0.66297536976073657</c:v>
                </c:pt>
                <c:pt idx="38">
                  <c:v>0.8720166540336427</c:v>
                </c:pt>
                <c:pt idx="39">
                  <c:v>0.9446673823763323</c:v>
                </c:pt>
                <c:pt idx="40">
                  <c:v>0.76328254954863606</c:v>
                </c:pt>
                <c:pt idx="41">
                  <c:v>0.41973404071102333</c:v>
                </c:pt>
                <c:pt idx="42">
                  <c:v>0.86560208499753788</c:v>
                </c:pt>
                <c:pt idx="43">
                  <c:v>0.86304799469408278</c:v>
                </c:pt>
                <c:pt idx="44">
                  <c:v>1.1840168454546807</c:v>
                </c:pt>
                <c:pt idx="45">
                  <c:v>1.1296453899010077</c:v>
                </c:pt>
                <c:pt idx="46">
                  <c:v>0.81742817467790929</c:v>
                </c:pt>
                <c:pt idx="47">
                  <c:v>0.86305790517679815</c:v>
                </c:pt>
                <c:pt idx="48">
                  <c:v>0.7351933920488064</c:v>
                </c:pt>
                <c:pt idx="49">
                  <c:v>1.8707015287122359</c:v>
                </c:pt>
                <c:pt idx="50">
                  <c:v>2.4606031417656928</c:v>
                </c:pt>
                <c:pt idx="51">
                  <c:v>2.5648230869844082</c:v>
                </c:pt>
                <c:pt idx="52">
                  <c:v>2.0770436784757855</c:v>
                </c:pt>
                <c:pt idx="53">
                  <c:v>0.92198271113885322</c:v>
                </c:pt>
                <c:pt idx="54">
                  <c:v>2.8969100295905807</c:v>
                </c:pt>
                <c:pt idx="55">
                  <c:v>2.850706171284676</c:v>
                </c:pt>
                <c:pt idx="56">
                  <c:v>4.9538864252793813</c:v>
                </c:pt>
                <c:pt idx="57">
                  <c:v>4.0648949041419398</c:v>
                </c:pt>
                <c:pt idx="58">
                  <c:v>2.503295164415968</c:v>
                </c:pt>
                <c:pt idx="59">
                  <c:v>2.8917485496129505</c:v>
                </c:pt>
                <c:pt idx="60">
                  <c:v>0.17374803714290671</c:v>
                </c:pt>
                <c:pt idx="61">
                  <c:v>0.29883428792262512</c:v>
                </c:pt>
                <c:pt idx="62">
                  <c:v>0.48039755603339063</c:v>
                </c:pt>
                <c:pt idx="63">
                  <c:v>0.53996408770675874</c:v>
                </c:pt>
                <c:pt idx="64">
                  <c:v>0.47988635742934582</c:v>
                </c:pt>
                <c:pt idx="65">
                  <c:v>0.22086411044326104</c:v>
                </c:pt>
                <c:pt idx="66">
                  <c:v>0.41313764310521489</c:v>
                </c:pt>
                <c:pt idx="67">
                  <c:v>0.41141479328286878</c:v>
                </c:pt>
                <c:pt idx="68">
                  <c:v>0.73386229064102859</c:v>
                </c:pt>
                <c:pt idx="69">
                  <c:v>0.71895480608469731</c:v>
                </c:pt>
                <c:pt idx="70">
                  <c:v>0.47097010089294727</c:v>
                </c:pt>
                <c:pt idx="71">
                  <c:v>0.42976554037815856</c:v>
                </c:pt>
                <c:pt idx="72">
                  <c:v>0.29827235829053589</c:v>
                </c:pt>
                <c:pt idx="73">
                  <c:v>0.63464844823711886</c:v>
                </c:pt>
                <c:pt idx="74">
                  <c:v>0.8965172766891214</c:v>
                </c:pt>
                <c:pt idx="75">
                  <c:v>0.95932132695536976</c:v>
                </c:pt>
                <c:pt idx="76">
                  <c:v>0.83685650579487236</c:v>
                </c:pt>
                <c:pt idx="77">
                  <c:v>0.37314162854968314</c:v>
                </c:pt>
                <c:pt idx="78">
                  <c:v>0.62977987795285073</c:v>
                </c:pt>
                <c:pt idx="79">
                  <c:v>0.63361808679586495</c:v>
                </c:pt>
                <c:pt idx="80">
                  <c:v>1.3478895357077147</c:v>
                </c:pt>
                <c:pt idx="81">
                  <c:v>1.1545278073089229</c:v>
                </c:pt>
                <c:pt idx="82">
                  <c:v>0.62573343601362719</c:v>
                </c:pt>
                <c:pt idx="83">
                  <c:v>0.6356426811128586</c:v>
                </c:pt>
                <c:pt idx="84">
                  <c:v>0.33979568423873813</c:v>
                </c:pt>
                <c:pt idx="85">
                  <c:v>0.81550604411960215</c:v>
                </c:pt>
                <c:pt idx="86">
                  <c:v>1.1609242799527337</c:v>
                </c:pt>
                <c:pt idx="87">
                  <c:v>1.2371023176665643</c:v>
                </c:pt>
                <c:pt idx="88">
                  <c:v>1.0462170874050545</c:v>
                </c:pt>
                <c:pt idx="89">
                  <c:v>0.43519445618319669</c:v>
                </c:pt>
                <c:pt idx="90">
                  <c:v>1.309736408304472</c:v>
                </c:pt>
                <c:pt idx="91">
                  <c:v>1.295527908157321</c:v>
                </c:pt>
                <c:pt idx="92">
                  <c:v>2.5109697766884582</c:v>
                </c:pt>
                <c:pt idx="93">
                  <c:v>2.1419057881173362</c:v>
                </c:pt>
                <c:pt idx="94">
                  <c:v>1.1880731383286278</c:v>
                </c:pt>
                <c:pt idx="95">
                  <c:v>1.3220539229754429</c:v>
                </c:pt>
                <c:pt idx="96">
                  <c:v>0.33391023464435349</c:v>
                </c:pt>
                <c:pt idx="97">
                  <c:v>0.77891849437572902</c:v>
                </c:pt>
                <c:pt idx="98">
                  <c:v>1.0627130935964924</c:v>
                </c:pt>
                <c:pt idx="99">
                  <c:v>1.1525537072808512</c:v>
                </c:pt>
                <c:pt idx="100">
                  <c:v>0.97863639060250696</c:v>
                </c:pt>
                <c:pt idx="101">
                  <c:v>0.42682943728038286</c:v>
                </c:pt>
                <c:pt idx="102">
                  <c:v>0.90983553538888662</c:v>
                </c:pt>
                <c:pt idx="103">
                  <c:v>0.91736443946026058</c:v>
                </c:pt>
                <c:pt idx="104">
                  <c:v>1.6844448559847951</c:v>
                </c:pt>
                <c:pt idx="105">
                  <c:v>1.465931541320542</c:v>
                </c:pt>
                <c:pt idx="106">
                  <c:v>0.86583098504519318</c:v>
                </c:pt>
                <c:pt idx="107">
                  <c:v>0.91267778479171169</c:v>
                </c:pt>
                <c:pt idx="108">
                  <c:v>1.6251603235446737</c:v>
                </c:pt>
                <c:pt idx="109">
                  <c:v>4.2040756506743762</c:v>
                </c:pt>
                <c:pt idx="110">
                  <c:v>4.8615557336238089</c:v>
                </c:pt>
                <c:pt idx="111">
                  <c:v>5.0030412506249711</c:v>
                </c:pt>
                <c:pt idx="112">
                  <c:v>4.0364438898291883</c:v>
                </c:pt>
                <c:pt idx="113">
                  <c:v>1.9972999508356857</c:v>
                </c:pt>
                <c:pt idx="114">
                  <c:v>6.1004041270156684</c:v>
                </c:pt>
                <c:pt idx="115">
                  <c:v>6.4259837541299616</c:v>
                </c:pt>
                <c:pt idx="116">
                  <c:v>10.112255527943734</c:v>
                </c:pt>
                <c:pt idx="117">
                  <c:v>8.2922340530889826</c:v>
                </c:pt>
                <c:pt idx="118">
                  <c:v>5.5892692890553404</c:v>
                </c:pt>
                <c:pt idx="119">
                  <c:v>6.1298465906631883</c:v>
                </c:pt>
                <c:pt idx="120">
                  <c:v>1.3987274169904342</c:v>
                </c:pt>
                <c:pt idx="121">
                  <c:v>2.6815092783045968</c:v>
                </c:pt>
                <c:pt idx="122">
                  <c:v>2.8210336854608138</c:v>
                </c:pt>
                <c:pt idx="123">
                  <c:v>2.7903630024909853</c:v>
                </c:pt>
                <c:pt idx="124">
                  <c:v>2.3469489145047042</c:v>
                </c:pt>
                <c:pt idx="125">
                  <c:v>1.5725670627717936</c:v>
                </c:pt>
                <c:pt idx="126">
                  <c:v>4.0426400763228925</c:v>
                </c:pt>
                <c:pt idx="127">
                  <c:v>4.0573080401654238</c:v>
                </c:pt>
                <c:pt idx="128">
                  <c:v>4.8014137044569978</c:v>
                </c:pt>
                <c:pt idx="129">
                  <c:v>4.2031236291995118</c:v>
                </c:pt>
                <c:pt idx="130">
                  <c:v>3.9500657510733896</c:v>
                </c:pt>
                <c:pt idx="131">
                  <c:v>4.0543160750816716</c:v>
                </c:pt>
                <c:pt idx="132">
                  <c:v>0.81127479367607569</c:v>
                </c:pt>
                <c:pt idx="133">
                  <c:v>1.5598828425119198</c:v>
                </c:pt>
                <c:pt idx="134">
                  <c:v>1.6728447404140323</c:v>
                </c:pt>
                <c:pt idx="135">
                  <c:v>1.6518463017086689</c:v>
                </c:pt>
                <c:pt idx="136">
                  <c:v>1.4315642599949423</c:v>
                </c:pt>
                <c:pt idx="137">
                  <c:v>0.91366749859546348</c:v>
                </c:pt>
                <c:pt idx="138">
                  <c:v>1.7886644590366971</c:v>
                </c:pt>
                <c:pt idx="139">
                  <c:v>1.8368827495030706</c:v>
                </c:pt>
                <c:pt idx="140">
                  <c:v>2.2670902554172412</c:v>
                </c:pt>
                <c:pt idx="141">
                  <c:v>1.9870739481337099</c:v>
                </c:pt>
                <c:pt idx="142">
                  <c:v>1.7642522111510766</c:v>
                </c:pt>
                <c:pt idx="143">
                  <c:v>1.7880435513035406</c:v>
                </c:pt>
              </c:numCache>
            </c:numRef>
          </c:val>
          <c:smooth val="0"/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strRef>
              <c:f>'NY East'!$C$3:$EP$3</c:f>
              <c:strCache>
                <c:ptCount val="144"/>
                <c:pt idx="0">
                  <c:v>WD1</c:v>
                </c:pt>
                <c:pt idx="1">
                  <c:v>WD2</c:v>
                </c:pt>
                <c:pt idx="2">
                  <c:v>WD3</c:v>
                </c:pt>
                <c:pt idx="3">
                  <c:v>WD4</c:v>
                </c:pt>
                <c:pt idx="4">
                  <c:v>WD5</c:v>
                </c:pt>
                <c:pt idx="5">
                  <c:v>WD6</c:v>
                </c:pt>
                <c:pt idx="6">
                  <c:v>WE1</c:v>
                </c:pt>
                <c:pt idx="7">
                  <c:v>WE2</c:v>
                </c:pt>
                <c:pt idx="8">
                  <c:v>WE3</c:v>
                </c:pt>
                <c:pt idx="9">
                  <c:v>WE4</c:v>
                </c:pt>
                <c:pt idx="10">
                  <c:v>WE5</c:v>
                </c:pt>
                <c:pt idx="11">
                  <c:v>WE6</c:v>
                </c:pt>
                <c:pt idx="12">
                  <c:v>WD1</c:v>
                </c:pt>
                <c:pt idx="13">
                  <c:v>WD2</c:v>
                </c:pt>
                <c:pt idx="14">
                  <c:v>WD3</c:v>
                </c:pt>
                <c:pt idx="15">
                  <c:v>WD4</c:v>
                </c:pt>
                <c:pt idx="16">
                  <c:v>WD5</c:v>
                </c:pt>
                <c:pt idx="17">
                  <c:v>WD6</c:v>
                </c:pt>
                <c:pt idx="18">
                  <c:v>WE1</c:v>
                </c:pt>
                <c:pt idx="19">
                  <c:v>WE2</c:v>
                </c:pt>
                <c:pt idx="20">
                  <c:v>WE3</c:v>
                </c:pt>
                <c:pt idx="21">
                  <c:v>WE4</c:v>
                </c:pt>
                <c:pt idx="22">
                  <c:v>WE5</c:v>
                </c:pt>
                <c:pt idx="23">
                  <c:v>WE6</c:v>
                </c:pt>
                <c:pt idx="24">
                  <c:v>WD1</c:v>
                </c:pt>
                <c:pt idx="25">
                  <c:v>WD2</c:v>
                </c:pt>
                <c:pt idx="26">
                  <c:v>WD3</c:v>
                </c:pt>
                <c:pt idx="27">
                  <c:v>WD4</c:v>
                </c:pt>
                <c:pt idx="28">
                  <c:v>WD5</c:v>
                </c:pt>
                <c:pt idx="29">
                  <c:v>WD6</c:v>
                </c:pt>
                <c:pt idx="30">
                  <c:v>WE1</c:v>
                </c:pt>
                <c:pt idx="31">
                  <c:v>WE2</c:v>
                </c:pt>
                <c:pt idx="32">
                  <c:v>WE3</c:v>
                </c:pt>
                <c:pt idx="33">
                  <c:v>WE4</c:v>
                </c:pt>
                <c:pt idx="34">
                  <c:v>WE5</c:v>
                </c:pt>
                <c:pt idx="35">
                  <c:v>WE6</c:v>
                </c:pt>
                <c:pt idx="36">
                  <c:v>WD1</c:v>
                </c:pt>
                <c:pt idx="37">
                  <c:v>WD2</c:v>
                </c:pt>
                <c:pt idx="38">
                  <c:v>WD3</c:v>
                </c:pt>
                <c:pt idx="39">
                  <c:v>WD4</c:v>
                </c:pt>
                <c:pt idx="40">
                  <c:v>WD5</c:v>
                </c:pt>
                <c:pt idx="41">
                  <c:v>WD6</c:v>
                </c:pt>
                <c:pt idx="42">
                  <c:v>WE1</c:v>
                </c:pt>
                <c:pt idx="43">
                  <c:v>WE2</c:v>
                </c:pt>
                <c:pt idx="44">
                  <c:v>WE3</c:v>
                </c:pt>
                <c:pt idx="45">
                  <c:v>WE4</c:v>
                </c:pt>
                <c:pt idx="46">
                  <c:v>WE5</c:v>
                </c:pt>
                <c:pt idx="47">
                  <c:v>WE6</c:v>
                </c:pt>
                <c:pt idx="48">
                  <c:v>WD1</c:v>
                </c:pt>
                <c:pt idx="49">
                  <c:v>WD2</c:v>
                </c:pt>
                <c:pt idx="50">
                  <c:v>WD3</c:v>
                </c:pt>
                <c:pt idx="51">
                  <c:v>WD4</c:v>
                </c:pt>
                <c:pt idx="52">
                  <c:v>WD5</c:v>
                </c:pt>
                <c:pt idx="53">
                  <c:v>WD6</c:v>
                </c:pt>
                <c:pt idx="54">
                  <c:v>WE1</c:v>
                </c:pt>
                <c:pt idx="55">
                  <c:v>WE2</c:v>
                </c:pt>
                <c:pt idx="56">
                  <c:v>WE3</c:v>
                </c:pt>
                <c:pt idx="57">
                  <c:v>WE4</c:v>
                </c:pt>
                <c:pt idx="58">
                  <c:v>WE5</c:v>
                </c:pt>
                <c:pt idx="59">
                  <c:v>WE6</c:v>
                </c:pt>
                <c:pt idx="60">
                  <c:v>WD1</c:v>
                </c:pt>
                <c:pt idx="61">
                  <c:v>WD2</c:v>
                </c:pt>
                <c:pt idx="62">
                  <c:v>WD3</c:v>
                </c:pt>
                <c:pt idx="63">
                  <c:v>WD4</c:v>
                </c:pt>
                <c:pt idx="64">
                  <c:v>WD5</c:v>
                </c:pt>
                <c:pt idx="65">
                  <c:v>WD6</c:v>
                </c:pt>
                <c:pt idx="66">
                  <c:v>WE1</c:v>
                </c:pt>
                <c:pt idx="67">
                  <c:v>WE2</c:v>
                </c:pt>
                <c:pt idx="68">
                  <c:v>WE3</c:v>
                </c:pt>
                <c:pt idx="69">
                  <c:v>WE4</c:v>
                </c:pt>
                <c:pt idx="70">
                  <c:v>WE5</c:v>
                </c:pt>
                <c:pt idx="71">
                  <c:v>WE6</c:v>
                </c:pt>
                <c:pt idx="72">
                  <c:v>WD1</c:v>
                </c:pt>
                <c:pt idx="73">
                  <c:v>WD2</c:v>
                </c:pt>
                <c:pt idx="74">
                  <c:v>WD3</c:v>
                </c:pt>
                <c:pt idx="75">
                  <c:v>WD4</c:v>
                </c:pt>
                <c:pt idx="76">
                  <c:v>WD5</c:v>
                </c:pt>
                <c:pt idx="77">
                  <c:v>WD6</c:v>
                </c:pt>
                <c:pt idx="78">
                  <c:v>WE1</c:v>
                </c:pt>
                <c:pt idx="79">
                  <c:v>WE2</c:v>
                </c:pt>
                <c:pt idx="80">
                  <c:v>WE3</c:v>
                </c:pt>
                <c:pt idx="81">
                  <c:v>WE4</c:v>
                </c:pt>
                <c:pt idx="82">
                  <c:v>WE5</c:v>
                </c:pt>
                <c:pt idx="83">
                  <c:v>WE6</c:v>
                </c:pt>
                <c:pt idx="84">
                  <c:v>WD1</c:v>
                </c:pt>
                <c:pt idx="85">
                  <c:v>WD2</c:v>
                </c:pt>
                <c:pt idx="86">
                  <c:v>WD3</c:v>
                </c:pt>
                <c:pt idx="87">
                  <c:v>WD4</c:v>
                </c:pt>
                <c:pt idx="88">
                  <c:v>WD5</c:v>
                </c:pt>
                <c:pt idx="89">
                  <c:v>WD6</c:v>
                </c:pt>
                <c:pt idx="90">
                  <c:v>WE1</c:v>
                </c:pt>
                <c:pt idx="91">
                  <c:v>WE2</c:v>
                </c:pt>
                <c:pt idx="92">
                  <c:v>WE3</c:v>
                </c:pt>
                <c:pt idx="93">
                  <c:v>WE4</c:v>
                </c:pt>
                <c:pt idx="94">
                  <c:v>WE5</c:v>
                </c:pt>
                <c:pt idx="95">
                  <c:v>WE6</c:v>
                </c:pt>
                <c:pt idx="96">
                  <c:v>WD1</c:v>
                </c:pt>
                <c:pt idx="97">
                  <c:v>WD2</c:v>
                </c:pt>
                <c:pt idx="98">
                  <c:v>WD3</c:v>
                </c:pt>
                <c:pt idx="99">
                  <c:v>WD4</c:v>
                </c:pt>
                <c:pt idx="100">
                  <c:v>WD5</c:v>
                </c:pt>
                <c:pt idx="101">
                  <c:v>WD6</c:v>
                </c:pt>
                <c:pt idx="102">
                  <c:v>WE1</c:v>
                </c:pt>
                <c:pt idx="103">
                  <c:v>WE2</c:v>
                </c:pt>
                <c:pt idx="104">
                  <c:v>WE3</c:v>
                </c:pt>
                <c:pt idx="105">
                  <c:v>WE4</c:v>
                </c:pt>
                <c:pt idx="106">
                  <c:v>WE5</c:v>
                </c:pt>
                <c:pt idx="107">
                  <c:v>WE6</c:v>
                </c:pt>
                <c:pt idx="108">
                  <c:v>WD1</c:v>
                </c:pt>
                <c:pt idx="109">
                  <c:v>WD2</c:v>
                </c:pt>
                <c:pt idx="110">
                  <c:v>WD3</c:v>
                </c:pt>
                <c:pt idx="111">
                  <c:v>WD4</c:v>
                </c:pt>
                <c:pt idx="112">
                  <c:v>WD5</c:v>
                </c:pt>
                <c:pt idx="113">
                  <c:v>WD6</c:v>
                </c:pt>
                <c:pt idx="114">
                  <c:v>WE1</c:v>
                </c:pt>
                <c:pt idx="115">
                  <c:v>WE2</c:v>
                </c:pt>
                <c:pt idx="116">
                  <c:v>WE3</c:v>
                </c:pt>
                <c:pt idx="117">
                  <c:v>WE4</c:v>
                </c:pt>
                <c:pt idx="118">
                  <c:v>WE5</c:v>
                </c:pt>
                <c:pt idx="119">
                  <c:v>WE6</c:v>
                </c:pt>
                <c:pt idx="120">
                  <c:v>WD1</c:v>
                </c:pt>
                <c:pt idx="121">
                  <c:v>WD2</c:v>
                </c:pt>
                <c:pt idx="122">
                  <c:v>WD3</c:v>
                </c:pt>
                <c:pt idx="123">
                  <c:v>WD4</c:v>
                </c:pt>
                <c:pt idx="124">
                  <c:v>WD5</c:v>
                </c:pt>
                <c:pt idx="125">
                  <c:v>WD6</c:v>
                </c:pt>
                <c:pt idx="126">
                  <c:v>WE1</c:v>
                </c:pt>
                <c:pt idx="127">
                  <c:v>WE2</c:v>
                </c:pt>
                <c:pt idx="128">
                  <c:v>WE3</c:v>
                </c:pt>
                <c:pt idx="129">
                  <c:v>WE4</c:v>
                </c:pt>
                <c:pt idx="130">
                  <c:v>WE5</c:v>
                </c:pt>
                <c:pt idx="131">
                  <c:v>WE6</c:v>
                </c:pt>
                <c:pt idx="132">
                  <c:v>WD1</c:v>
                </c:pt>
                <c:pt idx="133">
                  <c:v>WD2</c:v>
                </c:pt>
                <c:pt idx="134">
                  <c:v>WD3</c:v>
                </c:pt>
                <c:pt idx="135">
                  <c:v>WD4</c:v>
                </c:pt>
                <c:pt idx="136">
                  <c:v>WD5</c:v>
                </c:pt>
                <c:pt idx="137">
                  <c:v>WD6</c:v>
                </c:pt>
                <c:pt idx="138">
                  <c:v>WE1</c:v>
                </c:pt>
                <c:pt idx="139">
                  <c:v>WE2</c:v>
                </c:pt>
                <c:pt idx="140">
                  <c:v>WE3</c:v>
                </c:pt>
                <c:pt idx="141">
                  <c:v>WE4</c:v>
                </c:pt>
                <c:pt idx="142">
                  <c:v>WE5</c:v>
                </c:pt>
                <c:pt idx="143">
                  <c:v>WE6</c:v>
                </c:pt>
              </c:strCache>
            </c:strRef>
          </c:cat>
          <c:val>
            <c:numRef>
              <c:f>'NY East'!$C$19:$EP$19</c:f>
              <c:numCache>
                <c:formatCode>0.00</c:formatCode>
                <c:ptCount val="144"/>
                <c:pt idx="0">
                  <c:v>5.3867534407376993</c:v>
                </c:pt>
                <c:pt idx="1">
                  <c:v>10.721120894728248</c:v>
                </c:pt>
                <c:pt idx="2">
                  <c:v>10.799831082541356</c:v>
                </c:pt>
                <c:pt idx="3">
                  <c:v>10.692148493783289</c:v>
                </c:pt>
                <c:pt idx="4">
                  <c:v>9.436809237805809</c:v>
                </c:pt>
                <c:pt idx="5">
                  <c:v>6.9675891911650041</c:v>
                </c:pt>
                <c:pt idx="6">
                  <c:v>13.190895256599957</c:v>
                </c:pt>
                <c:pt idx="7">
                  <c:v>14.103121697491423</c:v>
                </c:pt>
                <c:pt idx="8">
                  <c:v>16.823032922314773</c:v>
                </c:pt>
                <c:pt idx="9">
                  <c:v>14.394645994452004</c:v>
                </c:pt>
                <c:pt idx="10">
                  <c:v>13.37349852449322</c:v>
                </c:pt>
                <c:pt idx="11">
                  <c:v>13.596816112411737</c:v>
                </c:pt>
                <c:pt idx="12">
                  <c:v>6.3963484470989558</c:v>
                </c:pt>
                <c:pt idx="13">
                  <c:v>11.769819577219575</c:v>
                </c:pt>
                <c:pt idx="14">
                  <c:v>11.893671310837641</c:v>
                </c:pt>
                <c:pt idx="15">
                  <c:v>11.765518383989793</c:v>
                </c:pt>
                <c:pt idx="16">
                  <c:v>10.150008251858804</c:v>
                </c:pt>
                <c:pt idx="17">
                  <c:v>7.6999729771136529</c:v>
                </c:pt>
                <c:pt idx="18">
                  <c:v>15.828412168841181</c:v>
                </c:pt>
                <c:pt idx="19">
                  <c:v>16.305223909986328</c:v>
                </c:pt>
                <c:pt idx="20">
                  <c:v>19.434806875455859</c:v>
                </c:pt>
                <c:pt idx="21">
                  <c:v>16.727370743737431</c:v>
                </c:pt>
                <c:pt idx="22">
                  <c:v>15.373792814960852</c:v>
                </c:pt>
                <c:pt idx="23">
                  <c:v>16.152236992590144</c:v>
                </c:pt>
                <c:pt idx="24">
                  <c:v>5.1104423245665949</c:v>
                </c:pt>
                <c:pt idx="25">
                  <c:v>10.094926334918286</c:v>
                </c:pt>
                <c:pt idx="26">
                  <c:v>10.417182195915634</c:v>
                </c:pt>
                <c:pt idx="27">
                  <c:v>10.364654979412267</c:v>
                </c:pt>
                <c:pt idx="28">
                  <c:v>8.9745926524559607</c:v>
                </c:pt>
                <c:pt idx="29">
                  <c:v>6.6734480904995532</c:v>
                </c:pt>
                <c:pt idx="30">
                  <c:v>12.982750826089591</c:v>
                </c:pt>
                <c:pt idx="31">
                  <c:v>13.036887142601469</c:v>
                </c:pt>
                <c:pt idx="32">
                  <c:v>15.469495509438721</c:v>
                </c:pt>
                <c:pt idx="33">
                  <c:v>13.446170637803631</c:v>
                </c:pt>
                <c:pt idx="34">
                  <c:v>12.71144451019669</c:v>
                </c:pt>
                <c:pt idx="35">
                  <c:v>13.299390653896946</c:v>
                </c:pt>
                <c:pt idx="36">
                  <c:v>4.0646417325311388</c:v>
                </c:pt>
                <c:pt idx="37">
                  <c:v>7.6635361247648817</c:v>
                </c:pt>
                <c:pt idx="38">
                  <c:v>8.353509361270568</c:v>
                </c:pt>
                <c:pt idx="39">
                  <c:v>8.6126893035705372</c:v>
                </c:pt>
                <c:pt idx="40">
                  <c:v>7.1589543382714496</c:v>
                </c:pt>
                <c:pt idx="41">
                  <c:v>5.1510785348398933</c:v>
                </c:pt>
                <c:pt idx="42">
                  <c:v>9.6810799420784353</c:v>
                </c:pt>
                <c:pt idx="43">
                  <c:v>9.8364153818299673</c:v>
                </c:pt>
                <c:pt idx="44">
                  <c:v>12.187988448622608</c:v>
                </c:pt>
                <c:pt idx="45">
                  <c:v>10.725240892113858</c:v>
                </c:pt>
                <c:pt idx="46">
                  <c:v>8.9768736267395859</c:v>
                </c:pt>
                <c:pt idx="47">
                  <c:v>9.8216370720744379</c:v>
                </c:pt>
                <c:pt idx="48">
                  <c:v>3.2640963751798959</c:v>
                </c:pt>
                <c:pt idx="49">
                  <c:v>7.0695880567981071</c:v>
                </c:pt>
                <c:pt idx="50">
                  <c:v>8.4377596957748189</c:v>
                </c:pt>
                <c:pt idx="51">
                  <c:v>8.7110179114704849</c:v>
                </c:pt>
                <c:pt idx="52">
                  <c:v>7.437249497803136</c:v>
                </c:pt>
                <c:pt idx="53">
                  <c:v>4.3853709955266078</c:v>
                </c:pt>
                <c:pt idx="54">
                  <c:v>8.8077674168764215</c:v>
                </c:pt>
                <c:pt idx="55">
                  <c:v>8.9032721221292981</c:v>
                </c:pt>
                <c:pt idx="56">
                  <c:v>14.355776481996267</c:v>
                </c:pt>
                <c:pt idx="57">
                  <c:v>11.957180546825084</c:v>
                </c:pt>
                <c:pt idx="58">
                  <c:v>8.0147909319542734</c:v>
                </c:pt>
                <c:pt idx="59">
                  <c:v>8.9680960242932937</c:v>
                </c:pt>
                <c:pt idx="60">
                  <c:v>1.8703967728558812</c:v>
                </c:pt>
                <c:pt idx="61">
                  <c:v>2.7319290540144734</c:v>
                </c:pt>
                <c:pt idx="62">
                  <c:v>3.0602138438545219</c:v>
                </c:pt>
                <c:pt idx="63">
                  <c:v>3.2224704649070839</c:v>
                </c:pt>
                <c:pt idx="64">
                  <c:v>3.076688272690661</c:v>
                </c:pt>
                <c:pt idx="65">
                  <c:v>2.4692454427106316</c:v>
                </c:pt>
                <c:pt idx="66">
                  <c:v>2.2119888202973574</c:v>
                </c:pt>
                <c:pt idx="67">
                  <c:v>2.3589587447229134</c:v>
                </c:pt>
                <c:pt idx="68">
                  <c:v>2.950305247234557</c:v>
                </c:pt>
                <c:pt idx="69">
                  <c:v>2.9313718332932024</c:v>
                </c:pt>
                <c:pt idx="70">
                  <c:v>2.4995535407401102</c:v>
                </c:pt>
                <c:pt idx="71">
                  <c:v>2.3635338614993588</c:v>
                </c:pt>
                <c:pt idx="72">
                  <c:v>88.749636006077822</c:v>
                </c:pt>
                <c:pt idx="73">
                  <c:v>91.816651794612113</c:v>
                </c:pt>
                <c:pt idx="74">
                  <c:v>97.502937498140085</c:v>
                </c:pt>
                <c:pt idx="75">
                  <c:v>97.862549266567882</c:v>
                </c:pt>
                <c:pt idx="76">
                  <c:v>95.19806482227429</c:v>
                </c:pt>
                <c:pt idx="77">
                  <c:v>91.30524627365412</c:v>
                </c:pt>
                <c:pt idx="78">
                  <c:v>85.810799644253905</c:v>
                </c:pt>
                <c:pt idx="79">
                  <c:v>87.115216613739648</c:v>
                </c:pt>
                <c:pt idx="80">
                  <c:v>93.118396003427449</c:v>
                </c:pt>
                <c:pt idx="81">
                  <c:v>94.147812385229912</c:v>
                </c:pt>
                <c:pt idx="82">
                  <c:v>91.497409314812145</c:v>
                </c:pt>
                <c:pt idx="83">
                  <c:v>88.58814575594451</c:v>
                </c:pt>
                <c:pt idx="84">
                  <c:v>90.735801828640746</c:v>
                </c:pt>
                <c:pt idx="85">
                  <c:v>93.956153321725751</c:v>
                </c:pt>
                <c:pt idx="86">
                  <c:v>100.33101232703569</c:v>
                </c:pt>
                <c:pt idx="87">
                  <c:v>101.51676290301295</c:v>
                </c:pt>
                <c:pt idx="88">
                  <c:v>98.140367921409933</c:v>
                </c:pt>
                <c:pt idx="89">
                  <c:v>93.466640341840758</c:v>
                </c:pt>
                <c:pt idx="90">
                  <c:v>90.318983324748757</c:v>
                </c:pt>
                <c:pt idx="91">
                  <c:v>91.918845761401371</c:v>
                </c:pt>
                <c:pt idx="92">
                  <c:v>99.782436068871789</c:v>
                </c:pt>
                <c:pt idx="93">
                  <c:v>101.11796417659703</c:v>
                </c:pt>
                <c:pt idx="94">
                  <c:v>97.637679843343363</c:v>
                </c:pt>
                <c:pt idx="95">
                  <c:v>93.974757977275033</c:v>
                </c:pt>
                <c:pt idx="96">
                  <c:v>90.359965520046359</c:v>
                </c:pt>
                <c:pt idx="97">
                  <c:v>93.316776178780174</c:v>
                </c:pt>
                <c:pt idx="98">
                  <c:v>98.731604290154635</c:v>
                </c:pt>
                <c:pt idx="99">
                  <c:v>99.552988648555043</c:v>
                </c:pt>
                <c:pt idx="100">
                  <c:v>96.136181772680345</c:v>
                </c:pt>
                <c:pt idx="101">
                  <c:v>91.806139525127676</c:v>
                </c:pt>
                <c:pt idx="102">
                  <c:v>91.661319407923756</c:v>
                </c:pt>
                <c:pt idx="103">
                  <c:v>92.519737487026674</c:v>
                </c:pt>
                <c:pt idx="104">
                  <c:v>99.868553201914878</c:v>
                </c:pt>
                <c:pt idx="105">
                  <c:v>101.64869802550793</c:v>
                </c:pt>
                <c:pt idx="106">
                  <c:v>98.456217055198564</c:v>
                </c:pt>
                <c:pt idx="107">
                  <c:v>95.442057947790616</c:v>
                </c:pt>
                <c:pt idx="108">
                  <c:v>86.650140660005732</c:v>
                </c:pt>
                <c:pt idx="109">
                  <c:v>93.046108666018924</c:v>
                </c:pt>
                <c:pt idx="110">
                  <c:v>98.332111537757669</c:v>
                </c:pt>
                <c:pt idx="111">
                  <c:v>99.094754361356166</c:v>
                </c:pt>
                <c:pt idx="112">
                  <c:v>94.7201488378427</c:v>
                </c:pt>
                <c:pt idx="113">
                  <c:v>88.854653526584741</c:v>
                </c:pt>
                <c:pt idx="114">
                  <c:v>95.093521637214366</c:v>
                </c:pt>
                <c:pt idx="115">
                  <c:v>96.708352154716437</c:v>
                </c:pt>
                <c:pt idx="116">
                  <c:v>107.70904484398952</c:v>
                </c:pt>
                <c:pt idx="117">
                  <c:v>106.55474083410211</c:v>
                </c:pt>
                <c:pt idx="118">
                  <c:v>99.52309920457644</c:v>
                </c:pt>
                <c:pt idx="119">
                  <c:v>97.060812201718505</c:v>
                </c:pt>
                <c:pt idx="120">
                  <c:v>83.186976960655556</c:v>
                </c:pt>
                <c:pt idx="121">
                  <c:v>88.034367111725174</c:v>
                </c:pt>
                <c:pt idx="122">
                  <c:v>91.591583007930112</c:v>
                </c:pt>
                <c:pt idx="123">
                  <c:v>92.256573161712041</c:v>
                </c:pt>
                <c:pt idx="124">
                  <c:v>89.247883443683975</c:v>
                </c:pt>
                <c:pt idx="125">
                  <c:v>85.112693911650297</c:v>
                </c:pt>
                <c:pt idx="126">
                  <c:v>87.944812356269438</c:v>
                </c:pt>
                <c:pt idx="127">
                  <c:v>89.368653244419335</c:v>
                </c:pt>
                <c:pt idx="128">
                  <c:v>94.085046185494377</c:v>
                </c:pt>
                <c:pt idx="129">
                  <c:v>94.533620677542501</c:v>
                </c:pt>
                <c:pt idx="130">
                  <c:v>91.596818552906299</c:v>
                </c:pt>
                <c:pt idx="131">
                  <c:v>89.203876227032509</c:v>
                </c:pt>
                <c:pt idx="132">
                  <c:v>80.645170846714919</c:v>
                </c:pt>
                <c:pt idx="133">
                  <c:v>85.966483961846876</c:v>
                </c:pt>
                <c:pt idx="134">
                  <c:v>89.491366638915025</c:v>
                </c:pt>
                <c:pt idx="135">
                  <c:v>89.298274909417444</c:v>
                </c:pt>
                <c:pt idx="136">
                  <c:v>86.322349355551921</c:v>
                </c:pt>
                <c:pt idx="137">
                  <c:v>82.825330114893035</c:v>
                </c:pt>
                <c:pt idx="138">
                  <c:v>82.316149811959406</c:v>
                </c:pt>
                <c:pt idx="139">
                  <c:v>84.198557727781761</c:v>
                </c:pt>
                <c:pt idx="140">
                  <c:v>88.004552865456503</c:v>
                </c:pt>
                <c:pt idx="141">
                  <c:v>87.637028540455233</c:v>
                </c:pt>
                <c:pt idx="142">
                  <c:v>85.671731345882066</c:v>
                </c:pt>
                <c:pt idx="143">
                  <c:v>84.066464264720636</c:v>
                </c:pt>
              </c:numCache>
            </c:numRef>
          </c:val>
          <c:smooth val="0"/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strRef>
              <c:f>'NY East'!$C$3:$EP$3</c:f>
              <c:strCache>
                <c:ptCount val="144"/>
                <c:pt idx="0">
                  <c:v>WD1</c:v>
                </c:pt>
                <c:pt idx="1">
                  <c:v>WD2</c:v>
                </c:pt>
                <c:pt idx="2">
                  <c:v>WD3</c:v>
                </c:pt>
                <c:pt idx="3">
                  <c:v>WD4</c:v>
                </c:pt>
                <c:pt idx="4">
                  <c:v>WD5</c:v>
                </c:pt>
                <c:pt idx="5">
                  <c:v>WD6</c:v>
                </c:pt>
                <c:pt idx="6">
                  <c:v>WE1</c:v>
                </c:pt>
                <c:pt idx="7">
                  <c:v>WE2</c:v>
                </c:pt>
                <c:pt idx="8">
                  <c:v>WE3</c:v>
                </c:pt>
                <c:pt idx="9">
                  <c:v>WE4</c:v>
                </c:pt>
                <c:pt idx="10">
                  <c:v>WE5</c:v>
                </c:pt>
                <c:pt idx="11">
                  <c:v>WE6</c:v>
                </c:pt>
                <c:pt idx="12">
                  <c:v>WD1</c:v>
                </c:pt>
                <c:pt idx="13">
                  <c:v>WD2</c:v>
                </c:pt>
                <c:pt idx="14">
                  <c:v>WD3</c:v>
                </c:pt>
                <c:pt idx="15">
                  <c:v>WD4</c:v>
                </c:pt>
                <c:pt idx="16">
                  <c:v>WD5</c:v>
                </c:pt>
                <c:pt idx="17">
                  <c:v>WD6</c:v>
                </c:pt>
                <c:pt idx="18">
                  <c:v>WE1</c:v>
                </c:pt>
                <c:pt idx="19">
                  <c:v>WE2</c:v>
                </c:pt>
                <c:pt idx="20">
                  <c:v>WE3</c:v>
                </c:pt>
                <c:pt idx="21">
                  <c:v>WE4</c:v>
                </c:pt>
                <c:pt idx="22">
                  <c:v>WE5</c:v>
                </c:pt>
                <c:pt idx="23">
                  <c:v>WE6</c:v>
                </c:pt>
                <c:pt idx="24">
                  <c:v>WD1</c:v>
                </c:pt>
                <c:pt idx="25">
                  <c:v>WD2</c:v>
                </c:pt>
                <c:pt idx="26">
                  <c:v>WD3</c:v>
                </c:pt>
                <c:pt idx="27">
                  <c:v>WD4</c:v>
                </c:pt>
                <c:pt idx="28">
                  <c:v>WD5</c:v>
                </c:pt>
                <c:pt idx="29">
                  <c:v>WD6</c:v>
                </c:pt>
                <c:pt idx="30">
                  <c:v>WE1</c:v>
                </c:pt>
                <c:pt idx="31">
                  <c:v>WE2</c:v>
                </c:pt>
                <c:pt idx="32">
                  <c:v>WE3</c:v>
                </c:pt>
                <c:pt idx="33">
                  <c:v>WE4</c:v>
                </c:pt>
                <c:pt idx="34">
                  <c:v>WE5</c:v>
                </c:pt>
                <c:pt idx="35">
                  <c:v>WE6</c:v>
                </c:pt>
                <c:pt idx="36">
                  <c:v>WD1</c:v>
                </c:pt>
                <c:pt idx="37">
                  <c:v>WD2</c:v>
                </c:pt>
                <c:pt idx="38">
                  <c:v>WD3</c:v>
                </c:pt>
                <c:pt idx="39">
                  <c:v>WD4</c:v>
                </c:pt>
                <c:pt idx="40">
                  <c:v>WD5</c:v>
                </c:pt>
                <c:pt idx="41">
                  <c:v>WD6</c:v>
                </c:pt>
                <c:pt idx="42">
                  <c:v>WE1</c:v>
                </c:pt>
                <c:pt idx="43">
                  <c:v>WE2</c:v>
                </c:pt>
                <c:pt idx="44">
                  <c:v>WE3</c:v>
                </c:pt>
                <c:pt idx="45">
                  <c:v>WE4</c:v>
                </c:pt>
                <c:pt idx="46">
                  <c:v>WE5</c:v>
                </c:pt>
                <c:pt idx="47">
                  <c:v>WE6</c:v>
                </c:pt>
                <c:pt idx="48">
                  <c:v>WD1</c:v>
                </c:pt>
                <c:pt idx="49">
                  <c:v>WD2</c:v>
                </c:pt>
                <c:pt idx="50">
                  <c:v>WD3</c:v>
                </c:pt>
                <c:pt idx="51">
                  <c:v>WD4</c:v>
                </c:pt>
                <c:pt idx="52">
                  <c:v>WD5</c:v>
                </c:pt>
                <c:pt idx="53">
                  <c:v>WD6</c:v>
                </c:pt>
                <c:pt idx="54">
                  <c:v>WE1</c:v>
                </c:pt>
                <c:pt idx="55">
                  <c:v>WE2</c:v>
                </c:pt>
                <c:pt idx="56">
                  <c:v>WE3</c:v>
                </c:pt>
                <c:pt idx="57">
                  <c:v>WE4</c:v>
                </c:pt>
                <c:pt idx="58">
                  <c:v>WE5</c:v>
                </c:pt>
                <c:pt idx="59">
                  <c:v>WE6</c:v>
                </c:pt>
                <c:pt idx="60">
                  <c:v>WD1</c:v>
                </c:pt>
                <c:pt idx="61">
                  <c:v>WD2</c:v>
                </c:pt>
                <c:pt idx="62">
                  <c:v>WD3</c:v>
                </c:pt>
                <c:pt idx="63">
                  <c:v>WD4</c:v>
                </c:pt>
                <c:pt idx="64">
                  <c:v>WD5</c:v>
                </c:pt>
                <c:pt idx="65">
                  <c:v>WD6</c:v>
                </c:pt>
                <c:pt idx="66">
                  <c:v>WE1</c:v>
                </c:pt>
                <c:pt idx="67">
                  <c:v>WE2</c:v>
                </c:pt>
                <c:pt idx="68">
                  <c:v>WE3</c:v>
                </c:pt>
                <c:pt idx="69">
                  <c:v>WE4</c:v>
                </c:pt>
                <c:pt idx="70">
                  <c:v>WE5</c:v>
                </c:pt>
                <c:pt idx="71">
                  <c:v>WE6</c:v>
                </c:pt>
                <c:pt idx="72">
                  <c:v>WD1</c:v>
                </c:pt>
                <c:pt idx="73">
                  <c:v>WD2</c:v>
                </c:pt>
                <c:pt idx="74">
                  <c:v>WD3</c:v>
                </c:pt>
                <c:pt idx="75">
                  <c:v>WD4</c:v>
                </c:pt>
                <c:pt idx="76">
                  <c:v>WD5</c:v>
                </c:pt>
                <c:pt idx="77">
                  <c:v>WD6</c:v>
                </c:pt>
                <c:pt idx="78">
                  <c:v>WE1</c:v>
                </c:pt>
                <c:pt idx="79">
                  <c:v>WE2</c:v>
                </c:pt>
                <c:pt idx="80">
                  <c:v>WE3</c:v>
                </c:pt>
                <c:pt idx="81">
                  <c:v>WE4</c:v>
                </c:pt>
                <c:pt idx="82">
                  <c:v>WE5</c:v>
                </c:pt>
                <c:pt idx="83">
                  <c:v>WE6</c:v>
                </c:pt>
                <c:pt idx="84">
                  <c:v>WD1</c:v>
                </c:pt>
                <c:pt idx="85">
                  <c:v>WD2</c:v>
                </c:pt>
                <c:pt idx="86">
                  <c:v>WD3</c:v>
                </c:pt>
                <c:pt idx="87">
                  <c:v>WD4</c:v>
                </c:pt>
                <c:pt idx="88">
                  <c:v>WD5</c:v>
                </c:pt>
                <c:pt idx="89">
                  <c:v>WD6</c:v>
                </c:pt>
                <c:pt idx="90">
                  <c:v>WE1</c:v>
                </c:pt>
                <c:pt idx="91">
                  <c:v>WE2</c:v>
                </c:pt>
                <c:pt idx="92">
                  <c:v>WE3</c:v>
                </c:pt>
                <c:pt idx="93">
                  <c:v>WE4</c:v>
                </c:pt>
                <c:pt idx="94">
                  <c:v>WE5</c:v>
                </c:pt>
                <c:pt idx="95">
                  <c:v>WE6</c:v>
                </c:pt>
                <c:pt idx="96">
                  <c:v>WD1</c:v>
                </c:pt>
                <c:pt idx="97">
                  <c:v>WD2</c:v>
                </c:pt>
                <c:pt idx="98">
                  <c:v>WD3</c:v>
                </c:pt>
                <c:pt idx="99">
                  <c:v>WD4</c:v>
                </c:pt>
                <c:pt idx="100">
                  <c:v>WD5</c:v>
                </c:pt>
                <c:pt idx="101">
                  <c:v>WD6</c:v>
                </c:pt>
                <c:pt idx="102">
                  <c:v>WE1</c:v>
                </c:pt>
                <c:pt idx="103">
                  <c:v>WE2</c:v>
                </c:pt>
                <c:pt idx="104">
                  <c:v>WE3</c:v>
                </c:pt>
                <c:pt idx="105">
                  <c:v>WE4</c:v>
                </c:pt>
                <c:pt idx="106">
                  <c:v>WE5</c:v>
                </c:pt>
                <c:pt idx="107">
                  <c:v>WE6</c:v>
                </c:pt>
                <c:pt idx="108">
                  <c:v>WD1</c:v>
                </c:pt>
                <c:pt idx="109">
                  <c:v>WD2</c:v>
                </c:pt>
                <c:pt idx="110">
                  <c:v>WD3</c:v>
                </c:pt>
                <c:pt idx="111">
                  <c:v>WD4</c:v>
                </c:pt>
                <c:pt idx="112">
                  <c:v>WD5</c:v>
                </c:pt>
                <c:pt idx="113">
                  <c:v>WD6</c:v>
                </c:pt>
                <c:pt idx="114">
                  <c:v>WE1</c:v>
                </c:pt>
                <c:pt idx="115">
                  <c:v>WE2</c:v>
                </c:pt>
                <c:pt idx="116">
                  <c:v>WE3</c:v>
                </c:pt>
                <c:pt idx="117">
                  <c:v>WE4</c:v>
                </c:pt>
                <c:pt idx="118">
                  <c:v>WE5</c:v>
                </c:pt>
                <c:pt idx="119">
                  <c:v>WE6</c:v>
                </c:pt>
                <c:pt idx="120">
                  <c:v>WD1</c:v>
                </c:pt>
                <c:pt idx="121">
                  <c:v>WD2</c:v>
                </c:pt>
                <c:pt idx="122">
                  <c:v>WD3</c:v>
                </c:pt>
                <c:pt idx="123">
                  <c:v>WD4</c:v>
                </c:pt>
                <c:pt idx="124">
                  <c:v>WD5</c:v>
                </c:pt>
                <c:pt idx="125">
                  <c:v>WD6</c:v>
                </c:pt>
                <c:pt idx="126">
                  <c:v>WE1</c:v>
                </c:pt>
                <c:pt idx="127">
                  <c:v>WE2</c:v>
                </c:pt>
                <c:pt idx="128">
                  <c:v>WE3</c:v>
                </c:pt>
                <c:pt idx="129">
                  <c:v>WE4</c:v>
                </c:pt>
                <c:pt idx="130">
                  <c:v>WE5</c:v>
                </c:pt>
                <c:pt idx="131">
                  <c:v>WE6</c:v>
                </c:pt>
                <c:pt idx="132">
                  <c:v>WD1</c:v>
                </c:pt>
                <c:pt idx="133">
                  <c:v>WD2</c:v>
                </c:pt>
                <c:pt idx="134">
                  <c:v>WD3</c:v>
                </c:pt>
                <c:pt idx="135">
                  <c:v>WD4</c:v>
                </c:pt>
                <c:pt idx="136">
                  <c:v>WD5</c:v>
                </c:pt>
                <c:pt idx="137">
                  <c:v>WD6</c:v>
                </c:pt>
                <c:pt idx="138">
                  <c:v>WE1</c:v>
                </c:pt>
                <c:pt idx="139">
                  <c:v>WE2</c:v>
                </c:pt>
                <c:pt idx="140">
                  <c:v>WE3</c:v>
                </c:pt>
                <c:pt idx="141">
                  <c:v>WE4</c:v>
                </c:pt>
                <c:pt idx="142">
                  <c:v>WE5</c:v>
                </c:pt>
                <c:pt idx="143">
                  <c:v>WE6</c:v>
                </c:pt>
              </c:strCache>
            </c:strRef>
          </c:cat>
          <c:val>
            <c:numRef>
              <c:f>'NY East'!$C$20:$EP$20</c:f>
              <c:numCache>
                <c:formatCode>0.00</c:formatCode>
                <c:ptCount val="144"/>
                <c:pt idx="0">
                  <c:v>76.182649426801717</c:v>
                </c:pt>
                <c:pt idx="1">
                  <c:v>82.653144939052282</c:v>
                </c:pt>
                <c:pt idx="2">
                  <c:v>86.023893766732073</c:v>
                </c:pt>
                <c:pt idx="3">
                  <c:v>85.893527589128198</c:v>
                </c:pt>
                <c:pt idx="4">
                  <c:v>82.490565782356953</c:v>
                </c:pt>
                <c:pt idx="5">
                  <c:v>78.468749012835247</c:v>
                </c:pt>
                <c:pt idx="6">
                  <c:v>82.621063683993953</c:v>
                </c:pt>
                <c:pt idx="7">
                  <c:v>84.92723993544756</c:v>
                </c:pt>
                <c:pt idx="8">
                  <c:v>90.268673892973951</c:v>
                </c:pt>
                <c:pt idx="9">
                  <c:v>88.467271395985989</c:v>
                </c:pt>
                <c:pt idx="10">
                  <c:v>85.31106722777254</c:v>
                </c:pt>
                <c:pt idx="11">
                  <c:v>83.542149615228666</c:v>
                </c:pt>
                <c:pt idx="12">
                  <c:v>75.243633354766359</c:v>
                </c:pt>
                <c:pt idx="13">
                  <c:v>81.488114251545255</c:v>
                </c:pt>
                <c:pt idx="14">
                  <c:v>84.484870357661208</c:v>
                </c:pt>
                <c:pt idx="15">
                  <c:v>83.984036564922221</c:v>
                </c:pt>
                <c:pt idx="16">
                  <c:v>80.52080120496565</c:v>
                </c:pt>
                <c:pt idx="17">
                  <c:v>76.747864066860686</c:v>
                </c:pt>
                <c:pt idx="18">
                  <c:v>82.511181965388772</c:v>
                </c:pt>
                <c:pt idx="19">
                  <c:v>84.15546524377713</c:v>
                </c:pt>
                <c:pt idx="20">
                  <c:v>89.31508723509134</c:v>
                </c:pt>
                <c:pt idx="21">
                  <c:v>86.964602174398507</c:v>
                </c:pt>
                <c:pt idx="22">
                  <c:v>84.336768071701783</c:v>
                </c:pt>
                <c:pt idx="23">
                  <c:v>83.416882279443499</c:v>
                </c:pt>
                <c:pt idx="24">
                  <c:v>70.558814918092978</c:v>
                </c:pt>
                <c:pt idx="25">
                  <c:v>75.997815157178991</c:v>
                </c:pt>
                <c:pt idx="26">
                  <c:v>80.06912159751775</c:v>
                </c:pt>
                <c:pt idx="27">
                  <c:v>81.048302672225077</c:v>
                </c:pt>
                <c:pt idx="28">
                  <c:v>77.928089988564281</c:v>
                </c:pt>
                <c:pt idx="29">
                  <c:v>74.183113536467232</c:v>
                </c:pt>
                <c:pt idx="30">
                  <c:v>77.87394469167009</c:v>
                </c:pt>
                <c:pt idx="31">
                  <c:v>78.937452243654732</c:v>
                </c:pt>
                <c:pt idx="32">
                  <c:v>83.154197077642124</c:v>
                </c:pt>
                <c:pt idx="33">
                  <c:v>81.839425801219818</c:v>
                </c:pt>
                <c:pt idx="34">
                  <c:v>79.882969343129872</c:v>
                </c:pt>
                <c:pt idx="35">
                  <c:v>78.474267986826447</c:v>
                </c:pt>
                <c:pt idx="36">
                  <c:v>78.411440817598958</c:v>
                </c:pt>
                <c:pt idx="37">
                  <c:v>84.139152986630606</c:v>
                </c:pt>
                <c:pt idx="38">
                  <c:v>88.942914804764143</c:v>
                </c:pt>
                <c:pt idx="39">
                  <c:v>90.263278972403583</c:v>
                </c:pt>
                <c:pt idx="40">
                  <c:v>86.080436017941651</c:v>
                </c:pt>
                <c:pt idx="41">
                  <c:v>80.975827739804956</c:v>
                </c:pt>
                <c:pt idx="42">
                  <c:v>85.55225729622282</c:v>
                </c:pt>
                <c:pt idx="43">
                  <c:v>86.836215873595151</c:v>
                </c:pt>
                <c:pt idx="44">
                  <c:v>92.930860459355699</c:v>
                </c:pt>
                <c:pt idx="45">
                  <c:v>91.044484515823427</c:v>
                </c:pt>
                <c:pt idx="46">
                  <c:v>87.206559937232669</c:v>
                </c:pt>
                <c:pt idx="47">
                  <c:v>86.081545041705482</c:v>
                </c:pt>
                <c:pt idx="48">
                  <c:v>84.051490924516003</c:v>
                </c:pt>
                <c:pt idx="49">
                  <c:v>90.4730391590533</c:v>
                </c:pt>
                <c:pt idx="50">
                  <c:v>96.814139246563713</c:v>
                </c:pt>
                <c:pt idx="51">
                  <c:v>98.027469349283166</c:v>
                </c:pt>
                <c:pt idx="52">
                  <c:v>93.720143605415686</c:v>
                </c:pt>
                <c:pt idx="53">
                  <c:v>87.192079320472359</c:v>
                </c:pt>
                <c:pt idx="54">
                  <c:v>92.091300468459536</c:v>
                </c:pt>
                <c:pt idx="55">
                  <c:v>93.490878935497705</c:v>
                </c:pt>
                <c:pt idx="56">
                  <c:v>104.63607810407093</c:v>
                </c:pt>
                <c:pt idx="57">
                  <c:v>102.38429286220597</c:v>
                </c:pt>
                <c:pt idx="58">
                  <c:v>95.58291453974249</c:v>
                </c:pt>
                <c:pt idx="59">
                  <c:v>93.976910573427062</c:v>
                </c:pt>
                <c:pt idx="60">
                  <c:v>86.942583913142499</c:v>
                </c:pt>
                <c:pt idx="61">
                  <c:v>89.990683525844759</c:v>
                </c:pt>
                <c:pt idx="62">
                  <c:v>94.946685908885485</c:v>
                </c:pt>
                <c:pt idx="63">
                  <c:v>95.500343117693518</c:v>
                </c:pt>
                <c:pt idx="64">
                  <c:v>92.763403386248214</c:v>
                </c:pt>
                <c:pt idx="65">
                  <c:v>89.553179407492692</c:v>
                </c:pt>
                <c:pt idx="66">
                  <c:v>88.458600332037008</c:v>
                </c:pt>
                <c:pt idx="67">
                  <c:v>89.416546270908782</c:v>
                </c:pt>
                <c:pt idx="68">
                  <c:v>94.011403137074169</c:v>
                </c:pt>
                <c:pt idx="69">
                  <c:v>94.854407318061362</c:v>
                </c:pt>
                <c:pt idx="70">
                  <c:v>92.633172379334326</c:v>
                </c:pt>
                <c:pt idx="71">
                  <c:v>89.704237000070776</c:v>
                </c:pt>
                <c:pt idx="72">
                  <c:v>88.791513734218412</c:v>
                </c:pt>
                <c:pt idx="73">
                  <c:v>91.964684738072364</c:v>
                </c:pt>
                <c:pt idx="74">
                  <c:v>97.695028048922822</c:v>
                </c:pt>
                <c:pt idx="75">
                  <c:v>98.060613764942346</c:v>
                </c:pt>
                <c:pt idx="76">
                  <c:v>95.359629293508689</c:v>
                </c:pt>
                <c:pt idx="77">
                  <c:v>91.360803670784748</c:v>
                </c:pt>
                <c:pt idx="78">
                  <c:v>86.177337296725696</c:v>
                </c:pt>
                <c:pt idx="79">
                  <c:v>87.474618731067523</c:v>
                </c:pt>
                <c:pt idx="80">
                  <c:v>93.929014405384592</c:v>
                </c:pt>
                <c:pt idx="81">
                  <c:v>94.763841777323321</c:v>
                </c:pt>
                <c:pt idx="82">
                  <c:v>91.799657713612973</c:v>
                </c:pt>
                <c:pt idx="83">
                  <c:v>88.952398597312879</c:v>
                </c:pt>
                <c:pt idx="84">
                  <c:v>90.73393893886221</c:v>
                </c:pt>
                <c:pt idx="85">
                  <c:v>93.958576675391981</c:v>
                </c:pt>
                <c:pt idx="86">
                  <c:v>100.33219469433411</c:v>
                </c:pt>
                <c:pt idx="87">
                  <c:v>101.51715030638486</c:v>
                </c:pt>
                <c:pt idx="88">
                  <c:v>98.139505819562018</c:v>
                </c:pt>
                <c:pt idx="89">
                  <c:v>93.46457434969868</c:v>
                </c:pt>
                <c:pt idx="90">
                  <c:v>90.095374618961117</c:v>
                </c:pt>
                <c:pt idx="91">
                  <c:v>91.699082055325292</c:v>
                </c:pt>
                <c:pt idx="92">
                  <c:v>99.352222729505172</c:v>
                </c:pt>
                <c:pt idx="93">
                  <c:v>100.76783289460352</c:v>
                </c:pt>
                <c:pt idx="94">
                  <c:v>97.449112318804168</c:v>
                </c:pt>
                <c:pt idx="95">
                  <c:v>93.7518887204766</c:v>
                </c:pt>
                <c:pt idx="96">
                  <c:v>90.661312641658213</c:v>
                </c:pt>
                <c:pt idx="97">
                  <c:v>94.226456952316354</c:v>
                </c:pt>
                <c:pt idx="98">
                  <c:v>99.828611005240944</c:v>
                </c:pt>
                <c:pt idx="99">
                  <c:v>100.68815283312938</c:v>
                </c:pt>
                <c:pt idx="100">
                  <c:v>97.070099738650143</c:v>
                </c:pt>
                <c:pt idx="101">
                  <c:v>92.191150448193341</c:v>
                </c:pt>
                <c:pt idx="102">
                  <c:v>93.077922191789526</c:v>
                </c:pt>
                <c:pt idx="103">
                  <c:v>93.959851408768841</c:v>
                </c:pt>
                <c:pt idx="104">
                  <c:v>102.47096779465099</c:v>
                </c:pt>
                <c:pt idx="105">
                  <c:v>103.69383448294373</c:v>
                </c:pt>
                <c:pt idx="106">
                  <c:v>99.681848735146133</c:v>
                </c:pt>
                <c:pt idx="107">
                  <c:v>96.857345112274814</c:v>
                </c:pt>
                <c:pt idx="108">
                  <c:v>86.212474835424899</c:v>
                </c:pt>
                <c:pt idx="109">
                  <c:v>91.883811658884355</c:v>
                </c:pt>
                <c:pt idx="110">
                  <c:v>97.020679336628305</c:v>
                </c:pt>
                <c:pt idx="111">
                  <c:v>97.757812907295232</c:v>
                </c:pt>
                <c:pt idx="112">
                  <c:v>93.649518810011386</c:v>
                </c:pt>
                <c:pt idx="113">
                  <c:v>88.318152174430693</c:v>
                </c:pt>
                <c:pt idx="114">
                  <c:v>93.09808801215199</c:v>
                </c:pt>
                <c:pt idx="115">
                  <c:v>94.60570714564696</c:v>
                </c:pt>
                <c:pt idx="116">
                  <c:v>104.41746855619526</c:v>
                </c:pt>
                <c:pt idx="117">
                  <c:v>103.89470564233977</c:v>
                </c:pt>
                <c:pt idx="118">
                  <c:v>97.716259439423524</c:v>
                </c:pt>
                <c:pt idx="119">
                  <c:v>95.057710936147757</c:v>
                </c:pt>
                <c:pt idx="120">
                  <c:v>83.18984846697785</c:v>
                </c:pt>
                <c:pt idx="121">
                  <c:v>88.042157580646659</c:v>
                </c:pt>
                <c:pt idx="122">
                  <c:v>91.595638014658306</c:v>
                </c:pt>
                <c:pt idx="123">
                  <c:v>92.2590609987882</c:v>
                </c:pt>
                <c:pt idx="124">
                  <c:v>89.249122343718895</c:v>
                </c:pt>
                <c:pt idx="125">
                  <c:v>85.115703999136798</c:v>
                </c:pt>
                <c:pt idx="126">
                  <c:v>86.893629848425263</c:v>
                </c:pt>
                <c:pt idx="127">
                  <c:v>88.313245125728372</c:v>
                </c:pt>
                <c:pt idx="128">
                  <c:v>92.857115615223705</c:v>
                </c:pt>
                <c:pt idx="129">
                  <c:v>93.481110821675827</c:v>
                </c:pt>
                <c:pt idx="130">
                  <c:v>90.582096753623688</c:v>
                </c:pt>
                <c:pt idx="131">
                  <c:v>88.149655804521402</c:v>
                </c:pt>
                <c:pt idx="132">
                  <c:v>80.995465865002018</c:v>
                </c:pt>
                <c:pt idx="133">
                  <c:v>86.674134794646676</c:v>
                </c:pt>
                <c:pt idx="134">
                  <c:v>90.18690668339714</c:v>
                </c:pt>
                <c:pt idx="135">
                  <c:v>89.972365188268142</c:v>
                </c:pt>
                <c:pt idx="136">
                  <c:v>86.886563102312294</c:v>
                </c:pt>
                <c:pt idx="137">
                  <c:v>83.216927392888778</c:v>
                </c:pt>
                <c:pt idx="138">
                  <c:v>83.943117757835523</c:v>
                </c:pt>
                <c:pt idx="139">
                  <c:v>85.869958551141309</c:v>
                </c:pt>
                <c:pt idx="140">
                  <c:v>89.990518857506842</c:v>
                </c:pt>
                <c:pt idx="141">
                  <c:v>89.301006862807697</c:v>
                </c:pt>
                <c:pt idx="142">
                  <c:v>87.230710314889166</c:v>
                </c:pt>
                <c:pt idx="143">
                  <c:v>85.693033585853172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none"/>
          </c:marker>
          <c:cat>
            <c:strRef>
              <c:f>'NY East'!$C$3:$EP$3</c:f>
              <c:strCache>
                <c:ptCount val="144"/>
                <c:pt idx="0">
                  <c:v>WD1</c:v>
                </c:pt>
                <c:pt idx="1">
                  <c:v>WD2</c:v>
                </c:pt>
                <c:pt idx="2">
                  <c:v>WD3</c:v>
                </c:pt>
                <c:pt idx="3">
                  <c:v>WD4</c:v>
                </c:pt>
                <c:pt idx="4">
                  <c:v>WD5</c:v>
                </c:pt>
                <c:pt idx="5">
                  <c:v>WD6</c:v>
                </c:pt>
                <c:pt idx="6">
                  <c:v>WE1</c:v>
                </c:pt>
                <c:pt idx="7">
                  <c:v>WE2</c:v>
                </c:pt>
                <c:pt idx="8">
                  <c:v>WE3</c:v>
                </c:pt>
                <c:pt idx="9">
                  <c:v>WE4</c:v>
                </c:pt>
                <c:pt idx="10">
                  <c:v>WE5</c:v>
                </c:pt>
                <c:pt idx="11">
                  <c:v>WE6</c:v>
                </c:pt>
                <c:pt idx="12">
                  <c:v>WD1</c:v>
                </c:pt>
                <c:pt idx="13">
                  <c:v>WD2</c:v>
                </c:pt>
                <c:pt idx="14">
                  <c:v>WD3</c:v>
                </c:pt>
                <c:pt idx="15">
                  <c:v>WD4</c:v>
                </c:pt>
                <c:pt idx="16">
                  <c:v>WD5</c:v>
                </c:pt>
                <c:pt idx="17">
                  <c:v>WD6</c:v>
                </c:pt>
                <c:pt idx="18">
                  <c:v>WE1</c:v>
                </c:pt>
                <c:pt idx="19">
                  <c:v>WE2</c:v>
                </c:pt>
                <c:pt idx="20">
                  <c:v>WE3</c:v>
                </c:pt>
                <c:pt idx="21">
                  <c:v>WE4</c:v>
                </c:pt>
                <c:pt idx="22">
                  <c:v>WE5</c:v>
                </c:pt>
                <c:pt idx="23">
                  <c:v>WE6</c:v>
                </c:pt>
                <c:pt idx="24">
                  <c:v>WD1</c:v>
                </c:pt>
                <c:pt idx="25">
                  <c:v>WD2</c:v>
                </c:pt>
                <c:pt idx="26">
                  <c:v>WD3</c:v>
                </c:pt>
                <c:pt idx="27">
                  <c:v>WD4</c:v>
                </c:pt>
                <c:pt idx="28">
                  <c:v>WD5</c:v>
                </c:pt>
                <c:pt idx="29">
                  <c:v>WD6</c:v>
                </c:pt>
                <c:pt idx="30">
                  <c:v>WE1</c:v>
                </c:pt>
                <c:pt idx="31">
                  <c:v>WE2</c:v>
                </c:pt>
                <c:pt idx="32">
                  <c:v>WE3</c:v>
                </c:pt>
                <c:pt idx="33">
                  <c:v>WE4</c:v>
                </c:pt>
                <c:pt idx="34">
                  <c:v>WE5</c:v>
                </c:pt>
                <c:pt idx="35">
                  <c:v>WE6</c:v>
                </c:pt>
                <c:pt idx="36">
                  <c:v>WD1</c:v>
                </c:pt>
                <c:pt idx="37">
                  <c:v>WD2</c:v>
                </c:pt>
                <c:pt idx="38">
                  <c:v>WD3</c:v>
                </c:pt>
                <c:pt idx="39">
                  <c:v>WD4</c:v>
                </c:pt>
                <c:pt idx="40">
                  <c:v>WD5</c:v>
                </c:pt>
                <c:pt idx="41">
                  <c:v>WD6</c:v>
                </c:pt>
                <c:pt idx="42">
                  <c:v>WE1</c:v>
                </c:pt>
                <c:pt idx="43">
                  <c:v>WE2</c:v>
                </c:pt>
                <c:pt idx="44">
                  <c:v>WE3</c:v>
                </c:pt>
                <c:pt idx="45">
                  <c:v>WE4</c:v>
                </c:pt>
                <c:pt idx="46">
                  <c:v>WE5</c:v>
                </c:pt>
                <c:pt idx="47">
                  <c:v>WE6</c:v>
                </c:pt>
                <c:pt idx="48">
                  <c:v>WD1</c:v>
                </c:pt>
                <c:pt idx="49">
                  <c:v>WD2</c:v>
                </c:pt>
                <c:pt idx="50">
                  <c:v>WD3</c:v>
                </c:pt>
                <c:pt idx="51">
                  <c:v>WD4</c:v>
                </c:pt>
                <c:pt idx="52">
                  <c:v>WD5</c:v>
                </c:pt>
                <c:pt idx="53">
                  <c:v>WD6</c:v>
                </c:pt>
                <c:pt idx="54">
                  <c:v>WE1</c:v>
                </c:pt>
                <c:pt idx="55">
                  <c:v>WE2</c:v>
                </c:pt>
                <c:pt idx="56">
                  <c:v>WE3</c:v>
                </c:pt>
                <c:pt idx="57">
                  <c:v>WE4</c:v>
                </c:pt>
                <c:pt idx="58">
                  <c:v>WE5</c:v>
                </c:pt>
                <c:pt idx="59">
                  <c:v>WE6</c:v>
                </c:pt>
                <c:pt idx="60">
                  <c:v>WD1</c:v>
                </c:pt>
                <c:pt idx="61">
                  <c:v>WD2</c:v>
                </c:pt>
                <c:pt idx="62">
                  <c:v>WD3</c:v>
                </c:pt>
                <c:pt idx="63">
                  <c:v>WD4</c:v>
                </c:pt>
                <c:pt idx="64">
                  <c:v>WD5</c:v>
                </c:pt>
                <c:pt idx="65">
                  <c:v>WD6</c:v>
                </c:pt>
                <c:pt idx="66">
                  <c:v>WE1</c:v>
                </c:pt>
                <c:pt idx="67">
                  <c:v>WE2</c:v>
                </c:pt>
                <c:pt idx="68">
                  <c:v>WE3</c:v>
                </c:pt>
                <c:pt idx="69">
                  <c:v>WE4</c:v>
                </c:pt>
                <c:pt idx="70">
                  <c:v>WE5</c:v>
                </c:pt>
                <c:pt idx="71">
                  <c:v>WE6</c:v>
                </c:pt>
                <c:pt idx="72">
                  <c:v>WD1</c:v>
                </c:pt>
                <c:pt idx="73">
                  <c:v>WD2</c:v>
                </c:pt>
                <c:pt idx="74">
                  <c:v>WD3</c:v>
                </c:pt>
                <c:pt idx="75">
                  <c:v>WD4</c:v>
                </c:pt>
                <c:pt idx="76">
                  <c:v>WD5</c:v>
                </c:pt>
                <c:pt idx="77">
                  <c:v>WD6</c:v>
                </c:pt>
                <c:pt idx="78">
                  <c:v>WE1</c:v>
                </c:pt>
                <c:pt idx="79">
                  <c:v>WE2</c:v>
                </c:pt>
                <c:pt idx="80">
                  <c:v>WE3</c:v>
                </c:pt>
                <c:pt idx="81">
                  <c:v>WE4</c:v>
                </c:pt>
                <c:pt idx="82">
                  <c:v>WE5</c:v>
                </c:pt>
                <c:pt idx="83">
                  <c:v>WE6</c:v>
                </c:pt>
                <c:pt idx="84">
                  <c:v>WD1</c:v>
                </c:pt>
                <c:pt idx="85">
                  <c:v>WD2</c:v>
                </c:pt>
                <c:pt idx="86">
                  <c:v>WD3</c:v>
                </c:pt>
                <c:pt idx="87">
                  <c:v>WD4</c:v>
                </c:pt>
                <c:pt idx="88">
                  <c:v>WD5</c:v>
                </c:pt>
                <c:pt idx="89">
                  <c:v>WD6</c:v>
                </c:pt>
                <c:pt idx="90">
                  <c:v>WE1</c:v>
                </c:pt>
                <c:pt idx="91">
                  <c:v>WE2</c:v>
                </c:pt>
                <c:pt idx="92">
                  <c:v>WE3</c:v>
                </c:pt>
                <c:pt idx="93">
                  <c:v>WE4</c:v>
                </c:pt>
                <c:pt idx="94">
                  <c:v>WE5</c:v>
                </c:pt>
                <c:pt idx="95">
                  <c:v>WE6</c:v>
                </c:pt>
                <c:pt idx="96">
                  <c:v>WD1</c:v>
                </c:pt>
                <c:pt idx="97">
                  <c:v>WD2</c:v>
                </c:pt>
                <c:pt idx="98">
                  <c:v>WD3</c:v>
                </c:pt>
                <c:pt idx="99">
                  <c:v>WD4</c:v>
                </c:pt>
                <c:pt idx="100">
                  <c:v>WD5</c:v>
                </c:pt>
                <c:pt idx="101">
                  <c:v>WD6</c:v>
                </c:pt>
                <c:pt idx="102">
                  <c:v>WE1</c:v>
                </c:pt>
                <c:pt idx="103">
                  <c:v>WE2</c:v>
                </c:pt>
                <c:pt idx="104">
                  <c:v>WE3</c:v>
                </c:pt>
                <c:pt idx="105">
                  <c:v>WE4</c:v>
                </c:pt>
                <c:pt idx="106">
                  <c:v>WE5</c:v>
                </c:pt>
                <c:pt idx="107">
                  <c:v>WE6</c:v>
                </c:pt>
                <c:pt idx="108">
                  <c:v>WD1</c:v>
                </c:pt>
                <c:pt idx="109">
                  <c:v>WD2</c:v>
                </c:pt>
                <c:pt idx="110">
                  <c:v>WD3</c:v>
                </c:pt>
                <c:pt idx="111">
                  <c:v>WD4</c:v>
                </c:pt>
                <c:pt idx="112">
                  <c:v>WD5</c:v>
                </c:pt>
                <c:pt idx="113">
                  <c:v>WD6</c:v>
                </c:pt>
                <c:pt idx="114">
                  <c:v>WE1</c:v>
                </c:pt>
                <c:pt idx="115">
                  <c:v>WE2</c:v>
                </c:pt>
                <c:pt idx="116">
                  <c:v>WE3</c:v>
                </c:pt>
                <c:pt idx="117">
                  <c:v>WE4</c:v>
                </c:pt>
                <c:pt idx="118">
                  <c:v>WE5</c:v>
                </c:pt>
                <c:pt idx="119">
                  <c:v>WE6</c:v>
                </c:pt>
                <c:pt idx="120">
                  <c:v>WD1</c:v>
                </c:pt>
                <c:pt idx="121">
                  <c:v>WD2</c:v>
                </c:pt>
                <c:pt idx="122">
                  <c:v>WD3</c:v>
                </c:pt>
                <c:pt idx="123">
                  <c:v>WD4</c:v>
                </c:pt>
                <c:pt idx="124">
                  <c:v>WD5</c:v>
                </c:pt>
                <c:pt idx="125">
                  <c:v>WD6</c:v>
                </c:pt>
                <c:pt idx="126">
                  <c:v>WE1</c:v>
                </c:pt>
                <c:pt idx="127">
                  <c:v>WE2</c:v>
                </c:pt>
                <c:pt idx="128">
                  <c:v>WE3</c:v>
                </c:pt>
                <c:pt idx="129">
                  <c:v>WE4</c:v>
                </c:pt>
                <c:pt idx="130">
                  <c:v>WE5</c:v>
                </c:pt>
                <c:pt idx="131">
                  <c:v>WE6</c:v>
                </c:pt>
                <c:pt idx="132">
                  <c:v>WD1</c:v>
                </c:pt>
                <c:pt idx="133">
                  <c:v>WD2</c:v>
                </c:pt>
                <c:pt idx="134">
                  <c:v>WD3</c:v>
                </c:pt>
                <c:pt idx="135">
                  <c:v>WD4</c:v>
                </c:pt>
                <c:pt idx="136">
                  <c:v>WD5</c:v>
                </c:pt>
                <c:pt idx="137">
                  <c:v>WD6</c:v>
                </c:pt>
                <c:pt idx="138">
                  <c:v>WE1</c:v>
                </c:pt>
                <c:pt idx="139">
                  <c:v>WE2</c:v>
                </c:pt>
                <c:pt idx="140">
                  <c:v>WE3</c:v>
                </c:pt>
                <c:pt idx="141">
                  <c:v>WE4</c:v>
                </c:pt>
                <c:pt idx="142">
                  <c:v>WE5</c:v>
                </c:pt>
                <c:pt idx="143">
                  <c:v>WE6</c:v>
                </c:pt>
              </c:strCache>
            </c:strRef>
          </c:cat>
          <c:val>
            <c:numRef>
              <c:f>'NY East'!$C$21:$EP$21</c:f>
              <c:numCache>
                <c:formatCode>0.00</c:formatCode>
                <c:ptCount val="144"/>
                <c:pt idx="0">
                  <c:v>75.744991756249192</c:v>
                </c:pt>
                <c:pt idx="1">
                  <c:v>81.753192620054335</c:v>
                </c:pt>
                <c:pt idx="2">
                  <c:v>85.137446560250254</c:v>
                </c:pt>
                <c:pt idx="3">
                  <c:v>85.029999272544771</c:v>
                </c:pt>
                <c:pt idx="4">
                  <c:v>81.777025957687187</c:v>
                </c:pt>
                <c:pt idx="5">
                  <c:v>77.979651308733239</c:v>
                </c:pt>
                <c:pt idx="6">
                  <c:v>81.247561014918745</c:v>
                </c:pt>
                <c:pt idx="7">
                  <c:v>83.499444296863871</c:v>
                </c:pt>
                <c:pt idx="8">
                  <c:v>88.544446230990317</c:v>
                </c:pt>
                <c:pt idx="9">
                  <c:v>87.038081157935082</c:v>
                </c:pt>
                <c:pt idx="10">
                  <c:v>83.987598220380264</c:v>
                </c:pt>
                <c:pt idx="11">
                  <c:v>82.159831238658228</c:v>
                </c:pt>
                <c:pt idx="12">
                  <c:v>74.399335195190247</c:v>
                </c:pt>
                <c:pt idx="13">
                  <c:v>79.77413549821199</c:v>
                </c:pt>
                <c:pt idx="14">
                  <c:v>82.781973622889396</c:v>
                </c:pt>
                <c:pt idx="15">
                  <c:v>82.31908935814441</c:v>
                </c:pt>
                <c:pt idx="16">
                  <c:v>79.178500124407961</c:v>
                </c:pt>
                <c:pt idx="17">
                  <c:v>75.804782411629603</c:v>
                </c:pt>
                <c:pt idx="18">
                  <c:v>79.782784892742683</c:v>
                </c:pt>
                <c:pt idx="19">
                  <c:v>81.388925154266545</c:v>
                </c:pt>
                <c:pt idx="20">
                  <c:v>85.963963815361822</c:v>
                </c:pt>
                <c:pt idx="21">
                  <c:v>84.163017298375962</c:v>
                </c:pt>
                <c:pt idx="22">
                  <c:v>81.779347858652443</c:v>
                </c:pt>
                <c:pt idx="23">
                  <c:v>80.668964055069893</c:v>
                </c:pt>
                <c:pt idx="24">
                  <c:v>70.13038807211521</c:v>
                </c:pt>
                <c:pt idx="25">
                  <c:v>75.11859151816634</c:v>
                </c:pt>
                <c:pt idx="26">
                  <c:v>79.177407888763426</c:v>
                </c:pt>
                <c:pt idx="27">
                  <c:v>80.174563856543173</c:v>
                </c:pt>
                <c:pt idx="28">
                  <c:v>77.225971074925738</c:v>
                </c:pt>
                <c:pt idx="29">
                  <c:v>73.699892377187055</c:v>
                </c:pt>
                <c:pt idx="30">
                  <c:v>76.655508645817875</c:v>
                </c:pt>
                <c:pt idx="31">
                  <c:v>77.749157626270787</c:v>
                </c:pt>
                <c:pt idx="32">
                  <c:v>81.730722727508976</c:v>
                </c:pt>
                <c:pt idx="33">
                  <c:v>80.639365002201686</c:v>
                </c:pt>
                <c:pt idx="34">
                  <c:v>78.747944835604287</c:v>
                </c:pt>
                <c:pt idx="35">
                  <c:v>77.254520861704719</c:v>
                </c:pt>
                <c:pt idx="36">
                  <c:v>84.52783246908534</c:v>
                </c:pt>
                <c:pt idx="37">
                  <c:v>92.772423841946718</c:v>
                </c:pt>
                <c:pt idx="38">
                  <c:v>102.70556745240981</c:v>
                </c:pt>
                <c:pt idx="39">
                  <c:v>105.17925435578191</c:v>
                </c:pt>
                <c:pt idx="40">
                  <c:v>98.358937422853671</c:v>
                </c:pt>
                <c:pt idx="41">
                  <c:v>88.467100172660494</c:v>
                </c:pt>
                <c:pt idx="42">
                  <c:v>89.590323498960387</c:v>
                </c:pt>
                <c:pt idx="43">
                  <c:v>91.047511866032494</c:v>
                </c:pt>
                <c:pt idx="44">
                  <c:v>97.791825018090464</c:v>
                </c:pt>
                <c:pt idx="45">
                  <c:v>96.880235392368959</c:v>
                </c:pt>
                <c:pt idx="46">
                  <c:v>92.072196259792676</c:v>
                </c:pt>
                <c:pt idx="47">
                  <c:v>90.332306200090798</c:v>
                </c:pt>
                <c:pt idx="48">
                  <c:v>90.357946470417815</c:v>
                </c:pt>
                <c:pt idx="49">
                  <c:v>100.27080798332376</c:v>
                </c:pt>
                <c:pt idx="50">
                  <c:v>112.56420199234603</c:v>
                </c:pt>
                <c:pt idx="51">
                  <c:v>115.13899965799301</c:v>
                </c:pt>
                <c:pt idx="52">
                  <c:v>107.69893339313182</c:v>
                </c:pt>
                <c:pt idx="53">
                  <c:v>95.067775816393791</c:v>
                </c:pt>
                <c:pt idx="54">
                  <c:v>96.187586818031377</c:v>
                </c:pt>
                <c:pt idx="55">
                  <c:v>97.637565218018381</c:v>
                </c:pt>
                <c:pt idx="56">
                  <c:v>109.43434292859064</c:v>
                </c:pt>
                <c:pt idx="57">
                  <c:v>108.64900649809718</c:v>
                </c:pt>
                <c:pt idx="58">
                  <c:v>100.72607826722128</c:v>
                </c:pt>
                <c:pt idx="59">
                  <c:v>98.279425347180378</c:v>
                </c:pt>
                <c:pt idx="60">
                  <c:v>93.298851605712869</c:v>
                </c:pt>
                <c:pt idx="61">
                  <c:v>102.44921407427196</c:v>
                </c:pt>
                <c:pt idx="62">
                  <c:v>115.05769618499087</c:v>
                </c:pt>
                <c:pt idx="63">
                  <c:v>116.76798679921312</c:v>
                </c:pt>
                <c:pt idx="64">
                  <c:v>109.86033021031002</c:v>
                </c:pt>
                <c:pt idx="65">
                  <c:v>97.911698800723997</c:v>
                </c:pt>
                <c:pt idx="66">
                  <c:v>94.855697477145824</c:v>
                </c:pt>
                <c:pt idx="67">
                  <c:v>95.774024836729865</c:v>
                </c:pt>
                <c:pt idx="68">
                  <c:v>103.45282699699447</c:v>
                </c:pt>
                <c:pt idx="69">
                  <c:v>104.6451314992393</c:v>
                </c:pt>
                <c:pt idx="70">
                  <c:v>99.96924390744941</c:v>
                </c:pt>
                <c:pt idx="71">
                  <c:v>96.448116282243348</c:v>
                </c:pt>
                <c:pt idx="72">
                  <c:v>95.6831248909712</c:v>
                </c:pt>
                <c:pt idx="73">
                  <c:v>105.00024348924771</c:v>
                </c:pt>
                <c:pt idx="74">
                  <c:v>117.80975449115553</c:v>
                </c:pt>
                <c:pt idx="75">
                  <c:v>119.01354443981954</c:v>
                </c:pt>
                <c:pt idx="76">
                  <c:v>112.42670787660148</c:v>
                </c:pt>
                <c:pt idx="77">
                  <c:v>100.10750567513361</c:v>
                </c:pt>
                <c:pt idx="78">
                  <c:v>92.06094747023694</c:v>
                </c:pt>
                <c:pt idx="79">
                  <c:v>93.349831537924459</c:v>
                </c:pt>
                <c:pt idx="80">
                  <c:v>102.05543140434918</c:v>
                </c:pt>
                <c:pt idx="81">
                  <c:v>103.61406100040949</c:v>
                </c:pt>
                <c:pt idx="82">
                  <c:v>98.516425974355215</c:v>
                </c:pt>
                <c:pt idx="83">
                  <c:v>95.033857506100631</c:v>
                </c:pt>
                <c:pt idx="84">
                  <c:v>97.616680951583632</c:v>
                </c:pt>
                <c:pt idx="85">
                  <c:v>106.81655663860914</c:v>
                </c:pt>
                <c:pt idx="86">
                  <c:v>120.5729905116721</c:v>
                </c:pt>
                <c:pt idx="87">
                  <c:v>122.70520047789313</c:v>
                </c:pt>
                <c:pt idx="88">
                  <c:v>115.26143686830719</c:v>
                </c:pt>
                <c:pt idx="89">
                  <c:v>102.22985883497951</c:v>
                </c:pt>
                <c:pt idx="90">
                  <c:v>96.017079748261636</c:v>
                </c:pt>
                <c:pt idx="91">
                  <c:v>97.661567836650576</c:v>
                </c:pt>
                <c:pt idx="92">
                  <c:v>107.5757860947044</c:v>
                </c:pt>
                <c:pt idx="93">
                  <c:v>109.63965742181234</c:v>
                </c:pt>
                <c:pt idx="94">
                  <c:v>104.24238733612097</c:v>
                </c:pt>
                <c:pt idx="95">
                  <c:v>100.00364026960465</c:v>
                </c:pt>
                <c:pt idx="96">
                  <c:v>98.896490248405655</c:v>
                </c:pt>
                <c:pt idx="97">
                  <c:v>108.28346563819933</c:v>
                </c:pt>
                <c:pt idx="98">
                  <c:v>120.82197551905229</c:v>
                </c:pt>
                <c:pt idx="99">
                  <c:v>122.89607608811363</c:v>
                </c:pt>
                <c:pt idx="100">
                  <c:v>115.3147187448763</c:v>
                </c:pt>
                <c:pt idx="101">
                  <c:v>102.3869908744764</c:v>
                </c:pt>
                <c:pt idx="102">
                  <c:v>104.02282430014692</c:v>
                </c:pt>
                <c:pt idx="103">
                  <c:v>104.90870605302405</c:v>
                </c:pt>
                <c:pt idx="104">
                  <c:v>118.56778835933531</c:v>
                </c:pt>
                <c:pt idx="105">
                  <c:v>119.08812379794345</c:v>
                </c:pt>
                <c:pt idx="106">
                  <c:v>110.89175823748391</c:v>
                </c:pt>
                <c:pt idx="107">
                  <c:v>108.02232204592033</c:v>
                </c:pt>
                <c:pt idx="108">
                  <c:v>92.360683253541779</c:v>
                </c:pt>
                <c:pt idx="109">
                  <c:v>102.22606295992556</c:v>
                </c:pt>
                <c:pt idx="110">
                  <c:v>113.5504213834616</c:v>
                </c:pt>
                <c:pt idx="111">
                  <c:v>115.61566969477852</c:v>
                </c:pt>
                <c:pt idx="112">
                  <c:v>108.14632537923087</c:v>
                </c:pt>
                <c:pt idx="113">
                  <c:v>96.223652838268364</c:v>
                </c:pt>
                <c:pt idx="114">
                  <c:v>98.660773840989293</c:v>
                </c:pt>
                <c:pt idx="115">
                  <c:v>100.17225275477729</c:v>
                </c:pt>
                <c:pt idx="116">
                  <c:v>111.74092925725714</c:v>
                </c:pt>
                <c:pt idx="117">
                  <c:v>111.88014638878357</c:v>
                </c:pt>
                <c:pt idx="118">
                  <c:v>104.01161122029507</c:v>
                </c:pt>
                <c:pt idx="119">
                  <c:v>100.83932086174427</c:v>
                </c:pt>
                <c:pt idx="120">
                  <c:v>90.862708309875444</c:v>
                </c:pt>
                <c:pt idx="121">
                  <c:v>99.923057558702027</c:v>
                </c:pt>
                <c:pt idx="122">
                  <c:v>108.36246415452365</c:v>
                </c:pt>
                <c:pt idx="123">
                  <c:v>109.78208228781335</c:v>
                </c:pt>
                <c:pt idx="124">
                  <c:v>103.70952336275026</c:v>
                </c:pt>
                <c:pt idx="125">
                  <c:v>94.370565085360099</c:v>
                </c:pt>
                <c:pt idx="126">
                  <c:v>94.18938704297247</c:v>
                </c:pt>
                <c:pt idx="127">
                  <c:v>95.605097778585659</c:v>
                </c:pt>
                <c:pt idx="128">
                  <c:v>101.65191233794725</c:v>
                </c:pt>
                <c:pt idx="129">
                  <c:v>102.58664147585526</c:v>
                </c:pt>
                <c:pt idx="130">
                  <c:v>98.404404121210547</c:v>
                </c:pt>
                <c:pt idx="131">
                  <c:v>95.569336068894955</c:v>
                </c:pt>
                <c:pt idx="132">
                  <c:v>87.861361941689324</c:v>
                </c:pt>
                <c:pt idx="133">
                  <c:v>97.941775020800605</c:v>
                </c:pt>
                <c:pt idx="134">
                  <c:v>106.27455255397895</c:v>
                </c:pt>
                <c:pt idx="135">
                  <c:v>106.65410094988262</c:v>
                </c:pt>
                <c:pt idx="136">
                  <c:v>100.56831673405676</c:v>
                </c:pt>
                <c:pt idx="137">
                  <c:v>91.703780521868282</c:v>
                </c:pt>
                <c:pt idx="138">
                  <c:v>92.20541517777967</c:v>
                </c:pt>
                <c:pt idx="139">
                  <c:v>94.256723419671943</c:v>
                </c:pt>
                <c:pt idx="140">
                  <c:v>100.34707205772997</c:v>
                </c:pt>
                <c:pt idx="141">
                  <c:v>99.378377288864726</c:v>
                </c:pt>
                <c:pt idx="142">
                  <c:v>95.901720522375683</c:v>
                </c:pt>
                <c:pt idx="143">
                  <c:v>94.063692294587625</c:v>
                </c:pt>
              </c:numCache>
            </c:numRef>
          </c:val>
          <c:smooth val="0"/>
        </c:ser>
        <c:ser>
          <c:idx val="4"/>
          <c:order val="4"/>
          <c:spPr>
            <a:ln w="12700">
              <a:solidFill>
                <a:srgbClr val="800080"/>
              </a:solidFill>
              <a:prstDash val="solid"/>
            </a:ln>
          </c:spPr>
          <c:marker>
            <c:symbol val="none"/>
          </c:marker>
          <c:cat>
            <c:strRef>
              <c:f>'NY East'!$C$3:$EP$3</c:f>
              <c:strCache>
                <c:ptCount val="144"/>
                <c:pt idx="0">
                  <c:v>WD1</c:v>
                </c:pt>
                <c:pt idx="1">
                  <c:v>WD2</c:v>
                </c:pt>
                <c:pt idx="2">
                  <c:v>WD3</c:v>
                </c:pt>
                <c:pt idx="3">
                  <c:v>WD4</c:v>
                </c:pt>
                <c:pt idx="4">
                  <c:v>WD5</c:v>
                </c:pt>
                <c:pt idx="5">
                  <c:v>WD6</c:v>
                </c:pt>
                <c:pt idx="6">
                  <c:v>WE1</c:v>
                </c:pt>
                <c:pt idx="7">
                  <c:v>WE2</c:v>
                </c:pt>
                <c:pt idx="8">
                  <c:v>WE3</c:v>
                </c:pt>
                <c:pt idx="9">
                  <c:v>WE4</c:v>
                </c:pt>
                <c:pt idx="10">
                  <c:v>WE5</c:v>
                </c:pt>
                <c:pt idx="11">
                  <c:v>WE6</c:v>
                </c:pt>
                <c:pt idx="12">
                  <c:v>WD1</c:v>
                </c:pt>
                <c:pt idx="13">
                  <c:v>WD2</c:v>
                </c:pt>
                <c:pt idx="14">
                  <c:v>WD3</c:v>
                </c:pt>
                <c:pt idx="15">
                  <c:v>WD4</c:v>
                </c:pt>
                <c:pt idx="16">
                  <c:v>WD5</c:v>
                </c:pt>
                <c:pt idx="17">
                  <c:v>WD6</c:v>
                </c:pt>
                <c:pt idx="18">
                  <c:v>WE1</c:v>
                </c:pt>
                <c:pt idx="19">
                  <c:v>WE2</c:v>
                </c:pt>
                <c:pt idx="20">
                  <c:v>WE3</c:v>
                </c:pt>
                <c:pt idx="21">
                  <c:v>WE4</c:v>
                </c:pt>
                <c:pt idx="22">
                  <c:v>WE5</c:v>
                </c:pt>
                <c:pt idx="23">
                  <c:v>WE6</c:v>
                </c:pt>
                <c:pt idx="24">
                  <c:v>WD1</c:v>
                </c:pt>
                <c:pt idx="25">
                  <c:v>WD2</c:v>
                </c:pt>
                <c:pt idx="26">
                  <c:v>WD3</c:v>
                </c:pt>
                <c:pt idx="27">
                  <c:v>WD4</c:v>
                </c:pt>
                <c:pt idx="28">
                  <c:v>WD5</c:v>
                </c:pt>
                <c:pt idx="29">
                  <c:v>WD6</c:v>
                </c:pt>
                <c:pt idx="30">
                  <c:v>WE1</c:v>
                </c:pt>
                <c:pt idx="31">
                  <c:v>WE2</c:v>
                </c:pt>
                <c:pt idx="32">
                  <c:v>WE3</c:v>
                </c:pt>
                <c:pt idx="33">
                  <c:v>WE4</c:v>
                </c:pt>
                <c:pt idx="34">
                  <c:v>WE5</c:v>
                </c:pt>
                <c:pt idx="35">
                  <c:v>WE6</c:v>
                </c:pt>
                <c:pt idx="36">
                  <c:v>WD1</c:v>
                </c:pt>
                <c:pt idx="37">
                  <c:v>WD2</c:v>
                </c:pt>
                <c:pt idx="38">
                  <c:v>WD3</c:v>
                </c:pt>
                <c:pt idx="39">
                  <c:v>WD4</c:v>
                </c:pt>
                <c:pt idx="40">
                  <c:v>WD5</c:v>
                </c:pt>
                <c:pt idx="41">
                  <c:v>WD6</c:v>
                </c:pt>
                <c:pt idx="42">
                  <c:v>WE1</c:v>
                </c:pt>
                <c:pt idx="43">
                  <c:v>WE2</c:v>
                </c:pt>
                <c:pt idx="44">
                  <c:v>WE3</c:v>
                </c:pt>
                <c:pt idx="45">
                  <c:v>WE4</c:v>
                </c:pt>
                <c:pt idx="46">
                  <c:v>WE5</c:v>
                </c:pt>
                <c:pt idx="47">
                  <c:v>WE6</c:v>
                </c:pt>
                <c:pt idx="48">
                  <c:v>WD1</c:v>
                </c:pt>
                <c:pt idx="49">
                  <c:v>WD2</c:v>
                </c:pt>
                <c:pt idx="50">
                  <c:v>WD3</c:v>
                </c:pt>
                <c:pt idx="51">
                  <c:v>WD4</c:v>
                </c:pt>
                <c:pt idx="52">
                  <c:v>WD5</c:v>
                </c:pt>
                <c:pt idx="53">
                  <c:v>WD6</c:v>
                </c:pt>
                <c:pt idx="54">
                  <c:v>WE1</c:v>
                </c:pt>
                <c:pt idx="55">
                  <c:v>WE2</c:v>
                </c:pt>
                <c:pt idx="56">
                  <c:v>WE3</c:v>
                </c:pt>
                <c:pt idx="57">
                  <c:v>WE4</c:v>
                </c:pt>
                <c:pt idx="58">
                  <c:v>WE5</c:v>
                </c:pt>
                <c:pt idx="59">
                  <c:v>WE6</c:v>
                </c:pt>
                <c:pt idx="60">
                  <c:v>WD1</c:v>
                </c:pt>
                <c:pt idx="61">
                  <c:v>WD2</c:v>
                </c:pt>
                <c:pt idx="62">
                  <c:v>WD3</c:v>
                </c:pt>
                <c:pt idx="63">
                  <c:v>WD4</c:v>
                </c:pt>
                <c:pt idx="64">
                  <c:v>WD5</c:v>
                </c:pt>
                <c:pt idx="65">
                  <c:v>WD6</c:v>
                </c:pt>
                <c:pt idx="66">
                  <c:v>WE1</c:v>
                </c:pt>
                <c:pt idx="67">
                  <c:v>WE2</c:v>
                </c:pt>
                <c:pt idx="68">
                  <c:v>WE3</c:v>
                </c:pt>
                <c:pt idx="69">
                  <c:v>WE4</c:v>
                </c:pt>
                <c:pt idx="70">
                  <c:v>WE5</c:v>
                </c:pt>
                <c:pt idx="71">
                  <c:v>WE6</c:v>
                </c:pt>
                <c:pt idx="72">
                  <c:v>WD1</c:v>
                </c:pt>
                <c:pt idx="73">
                  <c:v>WD2</c:v>
                </c:pt>
                <c:pt idx="74">
                  <c:v>WD3</c:v>
                </c:pt>
                <c:pt idx="75">
                  <c:v>WD4</c:v>
                </c:pt>
                <c:pt idx="76">
                  <c:v>WD5</c:v>
                </c:pt>
                <c:pt idx="77">
                  <c:v>WD6</c:v>
                </c:pt>
                <c:pt idx="78">
                  <c:v>WE1</c:v>
                </c:pt>
                <c:pt idx="79">
                  <c:v>WE2</c:v>
                </c:pt>
                <c:pt idx="80">
                  <c:v>WE3</c:v>
                </c:pt>
                <c:pt idx="81">
                  <c:v>WE4</c:v>
                </c:pt>
                <c:pt idx="82">
                  <c:v>WE5</c:v>
                </c:pt>
                <c:pt idx="83">
                  <c:v>WE6</c:v>
                </c:pt>
                <c:pt idx="84">
                  <c:v>WD1</c:v>
                </c:pt>
                <c:pt idx="85">
                  <c:v>WD2</c:v>
                </c:pt>
                <c:pt idx="86">
                  <c:v>WD3</c:v>
                </c:pt>
                <c:pt idx="87">
                  <c:v>WD4</c:v>
                </c:pt>
                <c:pt idx="88">
                  <c:v>WD5</c:v>
                </c:pt>
                <c:pt idx="89">
                  <c:v>WD6</c:v>
                </c:pt>
                <c:pt idx="90">
                  <c:v>WE1</c:v>
                </c:pt>
                <c:pt idx="91">
                  <c:v>WE2</c:v>
                </c:pt>
                <c:pt idx="92">
                  <c:v>WE3</c:v>
                </c:pt>
                <c:pt idx="93">
                  <c:v>WE4</c:v>
                </c:pt>
                <c:pt idx="94">
                  <c:v>WE5</c:v>
                </c:pt>
                <c:pt idx="95">
                  <c:v>WE6</c:v>
                </c:pt>
                <c:pt idx="96">
                  <c:v>WD1</c:v>
                </c:pt>
                <c:pt idx="97">
                  <c:v>WD2</c:v>
                </c:pt>
                <c:pt idx="98">
                  <c:v>WD3</c:v>
                </c:pt>
                <c:pt idx="99">
                  <c:v>WD4</c:v>
                </c:pt>
                <c:pt idx="100">
                  <c:v>WD5</c:v>
                </c:pt>
                <c:pt idx="101">
                  <c:v>WD6</c:v>
                </c:pt>
                <c:pt idx="102">
                  <c:v>WE1</c:v>
                </c:pt>
                <c:pt idx="103">
                  <c:v>WE2</c:v>
                </c:pt>
                <c:pt idx="104">
                  <c:v>WE3</c:v>
                </c:pt>
                <c:pt idx="105">
                  <c:v>WE4</c:v>
                </c:pt>
                <c:pt idx="106">
                  <c:v>WE5</c:v>
                </c:pt>
                <c:pt idx="107">
                  <c:v>WE6</c:v>
                </c:pt>
                <c:pt idx="108">
                  <c:v>WD1</c:v>
                </c:pt>
                <c:pt idx="109">
                  <c:v>WD2</c:v>
                </c:pt>
                <c:pt idx="110">
                  <c:v>WD3</c:v>
                </c:pt>
                <c:pt idx="111">
                  <c:v>WD4</c:v>
                </c:pt>
                <c:pt idx="112">
                  <c:v>WD5</c:v>
                </c:pt>
                <c:pt idx="113">
                  <c:v>WD6</c:v>
                </c:pt>
                <c:pt idx="114">
                  <c:v>WE1</c:v>
                </c:pt>
                <c:pt idx="115">
                  <c:v>WE2</c:v>
                </c:pt>
                <c:pt idx="116">
                  <c:v>WE3</c:v>
                </c:pt>
                <c:pt idx="117">
                  <c:v>WE4</c:v>
                </c:pt>
                <c:pt idx="118">
                  <c:v>WE5</c:v>
                </c:pt>
                <c:pt idx="119">
                  <c:v>WE6</c:v>
                </c:pt>
                <c:pt idx="120">
                  <c:v>WD1</c:v>
                </c:pt>
                <c:pt idx="121">
                  <c:v>WD2</c:v>
                </c:pt>
                <c:pt idx="122">
                  <c:v>WD3</c:v>
                </c:pt>
                <c:pt idx="123">
                  <c:v>WD4</c:v>
                </c:pt>
                <c:pt idx="124">
                  <c:v>WD5</c:v>
                </c:pt>
                <c:pt idx="125">
                  <c:v>WD6</c:v>
                </c:pt>
                <c:pt idx="126">
                  <c:v>WE1</c:v>
                </c:pt>
                <c:pt idx="127">
                  <c:v>WE2</c:v>
                </c:pt>
                <c:pt idx="128">
                  <c:v>WE3</c:v>
                </c:pt>
                <c:pt idx="129">
                  <c:v>WE4</c:v>
                </c:pt>
                <c:pt idx="130">
                  <c:v>WE5</c:v>
                </c:pt>
                <c:pt idx="131">
                  <c:v>WE6</c:v>
                </c:pt>
                <c:pt idx="132">
                  <c:v>WD1</c:v>
                </c:pt>
                <c:pt idx="133">
                  <c:v>WD2</c:v>
                </c:pt>
                <c:pt idx="134">
                  <c:v>WD3</c:v>
                </c:pt>
                <c:pt idx="135">
                  <c:v>WD4</c:v>
                </c:pt>
                <c:pt idx="136">
                  <c:v>WD5</c:v>
                </c:pt>
                <c:pt idx="137">
                  <c:v>WD6</c:v>
                </c:pt>
                <c:pt idx="138">
                  <c:v>WE1</c:v>
                </c:pt>
                <c:pt idx="139">
                  <c:v>WE2</c:v>
                </c:pt>
                <c:pt idx="140">
                  <c:v>WE3</c:v>
                </c:pt>
                <c:pt idx="141">
                  <c:v>WE4</c:v>
                </c:pt>
                <c:pt idx="142">
                  <c:v>WE5</c:v>
                </c:pt>
                <c:pt idx="143">
                  <c:v>WE6</c:v>
                </c:pt>
              </c:strCache>
            </c:strRef>
          </c:cat>
          <c:val>
            <c:numRef>
              <c:f>'NY East'!$C$22:$EP$22</c:f>
              <c:numCache>
                <c:formatCode>0.00</c:formatCode>
                <c:ptCount val="144"/>
                <c:pt idx="0">
                  <c:v>83.953041137026702</c:v>
                </c:pt>
                <c:pt idx="1">
                  <c:v>94.243889339258246</c:v>
                </c:pt>
                <c:pt idx="2">
                  <c:v>103.01989774248204</c:v>
                </c:pt>
                <c:pt idx="3">
                  <c:v>104.70843109566528</c:v>
                </c:pt>
                <c:pt idx="4">
                  <c:v>98.473946030602491</c:v>
                </c:pt>
                <c:pt idx="5">
                  <c:v>88.394283517957334</c:v>
                </c:pt>
                <c:pt idx="6">
                  <c:v>88.163219835333948</c:v>
                </c:pt>
                <c:pt idx="7">
                  <c:v>90.456003836632107</c:v>
                </c:pt>
                <c:pt idx="8">
                  <c:v>97.399131667189167</c:v>
                </c:pt>
                <c:pt idx="9">
                  <c:v>97.829423604853901</c:v>
                </c:pt>
                <c:pt idx="10">
                  <c:v>92.781765707777083</c:v>
                </c:pt>
                <c:pt idx="11">
                  <c:v>89.230284394098035</c:v>
                </c:pt>
                <c:pt idx="12">
                  <c:v>82.578749804541658</c:v>
                </c:pt>
                <c:pt idx="13">
                  <c:v>92.418145100594884</c:v>
                </c:pt>
                <c:pt idx="14">
                  <c:v>101.03779002141002</c:v>
                </c:pt>
                <c:pt idx="15">
                  <c:v>102.41631810145935</c:v>
                </c:pt>
                <c:pt idx="16">
                  <c:v>96.299933027086595</c:v>
                </c:pt>
                <c:pt idx="17">
                  <c:v>86.323437523802582</c:v>
                </c:pt>
                <c:pt idx="18">
                  <c:v>87.122477705110072</c:v>
                </c:pt>
                <c:pt idx="19">
                  <c:v>88.746595663868803</c:v>
                </c:pt>
                <c:pt idx="20">
                  <c:v>95.201454729974785</c:v>
                </c:pt>
                <c:pt idx="21">
                  <c:v>95.388733924872696</c:v>
                </c:pt>
                <c:pt idx="22">
                  <c:v>91.055354786896871</c:v>
                </c:pt>
                <c:pt idx="23">
                  <c:v>88.088517006134623</c:v>
                </c:pt>
                <c:pt idx="24">
                  <c:v>78.222781450091546</c:v>
                </c:pt>
                <c:pt idx="25">
                  <c:v>86.557468011939548</c:v>
                </c:pt>
                <c:pt idx="26">
                  <c:v>96.546444853626497</c:v>
                </c:pt>
                <c:pt idx="27">
                  <c:v>99.693330235825414</c:v>
                </c:pt>
                <c:pt idx="28">
                  <c:v>94.043060623906683</c:v>
                </c:pt>
                <c:pt idx="29">
                  <c:v>84.052528510166454</c:v>
                </c:pt>
                <c:pt idx="30">
                  <c:v>87.496066575454677</c:v>
                </c:pt>
                <c:pt idx="31">
                  <c:v>88.565636823179489</c:v>
                </c:pt>
                <c:pt idx="32">
                  <c:v>94.931420580699836</c:v>
                </c:pt>
                <c:pt idx="33">
                  <c:v>95.426184042443865</c:v>
                </c:pt>
                <c:pt idx="34">
                  <c:v>91.362620721365204</c:v>
                </c:pt>
                <c:pt idx="35">
                  <c:v>88.257693263072355</c:v>
                </c:pt>
                <c:pt idx="36">
                  <c:v>85.263212812903092</c:v>
                </c:pt>
                <c:pt idx="37">
                  <c:v>93.302929787316756</c:v>
                </c:pt>
                <c:pt idx="38">
                  <c:v>103.94139757356432</c:v>
                </c:pt>
                <c:pt idx="39">
                  <c:v>107.82799741638837</c:v>
                </c:pt>
                <c:pt idx="40">
                  <c:v>101.13332280159726</c:v>
                </c:pt>
                <c:pt idx="41">
                  <c:v>89.949376822831169</c:v>
                </c:pt>
                <c:pt idx="42">
                  <c:v>89.756438089760536</c:v>
                </c:pt>
                <c:pt idx="43">
                  <c:v>91.252356920976908</c:v>
                </c:pt>
                <c:pt idx="44">
                  <c:v>98.161211383987052</c:v>
                </c:pt>
                <c:pt idx="45">
                  <c:v>99.170717908364054</c:v>
                </c:pt>
                <c:pt idx="46">
                  <c:v>93.881234550834634</c:v>
                </c:pt>
                <c:pt idx="47">
                  <c:v>90.47858939511076</c:v>
                </c:pt>
                <c:pt idx="48">
                  <c:v>91.199834197850137</c:v>
                </c:pt>
                <c:pt idx="49">
                  <c:v>100.66881710350175</c:v>
                </c:pt>
                <c:pt idx="50">
                  <c:v>113.62836301378846</c:v>
                </c:pt>
                <c:pt idx="51">
                  <c:v>117.70719969676739</c:v>
                </c:pt>
                <c:pt idx="52">
                  <c:v>110.44220970570674</c:v>
                </c:pt>
                <c:pt idx="53">
                  <c:v>96.714553281585012</c:v>
                </c:pt>
                <c:pt idx="54">
                  <c:v>95.598974192114241</c:v>
                </c:pt>
                <c:pt idx="55">
                  <c:v>97.043994208248705</c:v>
                </c:pt>
                <c:pt idx="56">
                  <c:v>108.09798294746656</c:v>
                </c:pt>
                <c:pt idx="57">
                  <c:v>109.71487511300714</c:v>
                </c:pt>
                <c:pt idx="58">
                  <c:v>102.19035277663617</c:v>
                </c:pt>
                <c:pt idx="59">
                  <c:v>97.849190340137639</c:v>
                </c:pt>
                <c:pt idx="60">
                  <c:v>94.861299955953257</c:v>
                </c:pt>
                <c:pt idx="61">
                  <c:v>104.00960193478831</c:v>
                </c:pt>
                <c:pt idx="62">
                  <c:v>117.48490987193321</c:v>
                </c:pt>
                <c:pt idx="63">
                  <c:v>120.49014106422869</c:v>
                </c:pt>
                <c:pt idx="64">
                  <c:v>113.67016624198838</c:v>
                </c:pt>
                <c:pt idx="65">
                  <c:v>100.38489838617085</c:v>
                </c:pt>
                <c:pt idx="66">
                  <c:v>96.569921955103567</c:v>
                </c:pt>
                <c:pt idx="67">
                  <c:v>97.463478839022599</c:v>
                </c:pt>
                <c:pt idx="68">
                  <c:v>105.96091855439404</c:v>
                </c:pt>
                <c:pt idx="69">
                  <c:v>108.78803908450615</c:v>
                </c:pt>
                <c:pt idx="70">
                  <c:v>103.64474311821327</c:v>
                </c:pt>
                <c:pt idx="71">
                  <c:v>98.588073864145954</c:v>
                </c:pt>
                <c:pt idx="72">
                  <c:v>97.664055013246568</c:v>
                </c:pt>
                <c:pt idx="73">
                  <c:v>107.00186543627007</c:v>
                </c:pt>
                <c:pt idx="74">
                  <c:v>120.66508304293667</c:v>
                </c:pt>
                <c:pt idx="75">
                  <c:v>122.98268955090126</c:v>
                </c:pt>
                <c:pt idx="76">
                  <c:v>116.53196757441685</c:v>
                </c:pt>
                <c:pt idx="77">
                  <c:v>102.9836861912712</c:v>
                </c:pt>
                <c:pt idx="78">
                  <c:v>93.72260441127132</c:v>
                </c:pt>
                <c:pt idx="79">
                  <c:v>95.006260865800584</c:v>
                </c:pt>
                <c:pt idx="80">
                  <c:v>104.30624608720944</c:v>
                </c:pt>
                <c:pt idx="81">
                  <c:v>107.41765160346064</c:v>
                </c:pt>
                <c:pt idx="82">
                  <c:v>101.94887631212501</c:v>
                </c:pt>
                <c:pt idx="83">
                  <c:v>96.885119179071481</c:v>
                </c:pt>
                <c:pt idx="84">
                  <c:v>99.447369382527341</c:v>
                </c:pt>
                <c:pt idx="85">
                  <c:v>108.62679501696969</c:v>
                </c:pt>
                <c:pt idx="86">
                  <c:v>123.33442410038241</c:v>
                </c:pt>
                <c:pt idx="87">
                  <c:v>126.65337081204122</c:v>
                </c:pt>
                <c:pt idx="88">
                  <c:v>119.30568878849948</c:v>
                </c:pt>
                <c:pt idx="89">
                  <c:v>104.9651924035776</c:v>
                </c:pt>
                <c:pt idx="90">
                  <c:v>97.832379026848542</c:v>
                </c:pt>
                <c:pt idx="91">
                  <c:v>99.384916593488768</c:v>
                </c:pt>
                <c:pt idx="92">
                  <c:v>109.99399731624439</c:v>
                </c:pt>
                <c:pt idx="93">
                  <c:v>113.584068546483</c:v>
                </c:pt>
                <c:pt idx="94">
                  <c:v>107.67782847467524</c:v>
                </c:pt>
                <c:pt idx="95">
                  <c:v>102.06551798884239</c:v>
                </c:pt>
                <c:pt idx="96">
                  <c:v>100.10984215701042</c:v>
                </c:pt>
                <c:pt idx="97">
                  <c:v>109.14612233646463</c:v>
                </c:pt>
                <c:pt idx="98">
                  <c:v>122.39360648984021</c:v>
                </c:pt>
                <c:pt idx="99">
                  <c:v>125.99298294811445</c:v>
                </c:pt>
                <c:pt idx="100">
                  <c:v>118.52526771562754</c:v>
                </c:pt>
                <c:pt idx="101">
                  <c:v>104.48671579029725</c:v>
                </c:pt>
                <c:pt idx="102">
                  <c:v>104.68949661729739</c:v>
                </c:pt>
                <c:pt idx="103">
                  <c:v>105.4522387998655</c:v>
                </c:pt>
                <c:pt idx="104">
                  <c:v>118.99002321874494</c:v>
                </c:pt>
                <c:pt idx="105">
                  <c:v>121.62312278988969</c:v>
                </c:pt>
                <c:pt idx="106">
                  <c:v>113.25932054034705</c:v>
                </c:pt>
                <c:pt idx="107">
                  <c:v>108.76651245688238</c:v>
                </c:pt>
                <c:pt idx="108">
                  <c:v>93.335741610286235</c:v>
                </c:pt>
                <c:pt idx="109">
                  <c:v>103.26077698706638</c:v>
                </c:pt>
                <c:pt idx="110">
                  <c:v>115.38961463439747</c:v>
                </c:pt>
                <c:pt idx="111">
                  <c:v>118.98837356653632</c:v>
                </c:pt>
                <c:pt idx="112">
                  <c:v>111.49575519036368</c:v>
                </c:pt>
                <c:pt idx="113">
                  <c:v>98.126141540505202</c:v>
                </c:pt>
                <c:pt idx="114">
                  <c:v>97.44736098452961</c:v>
                </c:pt>
                <c:pt idx="115">
                  <c:v>98.809214633611603</c:v>
                </c:pt>
                <c:pt idx="116">
                  <c:v>109.46825271887306</c:v>
                </c:pt>
                <c:pt idx="117">
                  <c:v>112.18777497974308</c:v>
                </c:pt>
                <c:pt idx="118">
                  <c:v>104.6731341673261</c:v>
                </c:pt>
                <c:pt idx="119">
                  <c:v>99.751202960743115</c:v>
                </c:pt>
                <c:pt idx="120">
                  <c:v>91.432113215512075</c:v>
                </c:pt>
                <c:pt idx="121">
                  <c:v>100.09430783581499</c:v>
                </c:pt>
                <c:pt idx="122">
                  <c:v>109.26798360793055</c:v>
                </c:pt>
                <c:pt idx="123">
                  <c:v>112.09668113463556</c:v>
                </c:pt>
                <c:pt idx="124">
                  <c:v>106.24196523568463</c:v>
                </c:pt>
                <c:pt idx="125">
                  <c:v>95.703698685247659</c:v>
                </c:pt>
                <c:pt idx="126">
                  <c:v>96.305980879629985</c:v>
                </c:pt>
                <c:pt idx="127">
                  <c:v>97.722415537176573</c:v>
                </c:pt>
                <c:pt idx="128">
                  <c:v>104.26627058195537</c:v>
                </c:pt>
                <c:pt idx="129">
                  <c:v>106.75746441901158</c:v>
                </c:pt>
                <c:pt idx="130">
                  <c:v>101.96046668303148</c:v>
                </c:pt>
                <c:pt idx="131">
                  <c:v>97.711189425804733</c:v>
                </c:pt>
                <c:pt idx="132">
                  <c:v>88.541618222603006</c:v>
                </c:pt>
                <c:pt idx="133">
                  <c:v>98.380957319978023</c:v>
                </c:pt>
                <c:pt idx="134">
                  <c:v>107.46897606632459</c:v>
                </c:pt>
                <c:pt idx="135">
                  <c:v>109.05020199253882</c:v>
                </c:pt>
                <c:pt idx="136">
                  <c:v>103.14570226891911</c:v>
                </c:pt>
                <c:pt idx="137">
                  <c:v>93.17646861421737</c:v>
                </c:pt>
                <c:pt idx="138">
                  <c:v>93.61116957174572</c:v>
                </c:pt>
                <c:pt idx="139">
                  <c:v>95.684261394336957</c:v>
                </c:pt>
                <c:pt idx="140">
                  <c:v>102.17594129352966</c:v>
                </c:pt>
                <c:pt idx="141">
                  <c:v>102.76696502441858</c:v>
                </c:pt>
                <c:pt idx="142">
                  <c:v>98.637027325823539</c:v>
                </c:pt>
                <c:pt idx="143">
                  <c:v>95.485809482724804</c:v>
                </c:pt>
              </c:numCache>
            </c:numRef>
          </c:val>
          <c:smooth val="0"/>
        </c:ser>
        <c:ser>
          <c:idx val="5"/>
          <c:order val="5"/>
          <c:spPr>
            <a:ln w="12700">
              <a:solidFill>
                <a:srgbClr val="800000"/>
              </a:solidFill>
              <a:prstDash val="solid"/>
            </a:ln>
          </c:spPr>
          <c:marker>
            <c:symbol val="none"/>
          </c:marker>
          <c:cat>
            <c:strRef>
              <c:f>'NY East'!$C$3:$EP$3</c:f>
              <c:strCache>
                <c:ptCount val="144"/>
                <c:pt idx="0">
                  <c:v>WD1</c:v>
                </c:pt>
                <c:pt idx="1">
                  <c:v>WD2</c:v>
                </c:pt>
                <c:pt idx="2">
                  <c:v>WD3</c:v>
                </c:pt>
                <c:pt idx="3">
                  <c:v>WD4</c:v>
                </c:pt>
                <c:pt idx="4">
                  <c:v>WD5</c:v>
                </c:pt>
                <c:pt idx="5">
                  <c:v>WD6</c:v>
                </c:pt>
                <c:pt idx="6">
                  <c:v>WE1</c:v>
                </c:pt>
                <c:pt idx="7">
                  <c:v>WE2</c:v>
                </c:pt>
                <c:pt idx="8">
                  <c:v>WE3</c:v>
                </c:pt>
                <c:pt idx="9">
                  <c:v>WE4</c:v>
                </c:pt>
                <c:pt idx="10">
                  <c:v>WE5</c:v>
                </c:pt>
                <c:pt idx="11">
                  <c:v>WE6</c:v>
                </c:pt>
                <c:pt idx="12">
                  <c:v>WD1</c:v>
                </c:pt>
                <c:pt idx="13">
                  <c:v>WD2</c:v>
                </c:pt>
                <c:pt idx="14">
                  <c:v>WD3</c:v>
                </c:pt>
                <c:pt idx="15">
                  <c:v>WD4</c:v>
                </c:pt>
                <c:pt idx="16">
                  <c:v>WD5</c:v>
                </c:pt>
                <c:pt idx="17">
                  <c:v>WD6</c:v>
                </c:pt>
                <c:pt idx="18">
                  <c:v>WE1</c:v>
                </c:pt>
                <c:pt idx="19">
                  <c:v>WE2</c:v>
                </c:pt>
                <c:pt idx="20">
                  <c:v>WE3</c:v>
                </c:pt>
                <c:pt idx="21">
                  <c:v>WE4</c:v>
                </c:pt>
                <c:pt idx="22">
                  <c:v>WE5</c:v>
                </c:pt>
                <c:pt idx="23">
                  <c:v>WE6</c:v>
                </c:pt>
                <c:pt idx="24">
                  <c:v>WD1</c:v>
                </c:pt>
                <c:pt idx="25">
                  <c:v>WD2</c:v>
                </c:pt>
                <c:pt idx="26">
                  <c:v>WD3</c:v>
                </c:pt>
                <c:pt idx="27">
                  <c:v>WD4</c:v>
                </c:pt>
                <c:pt idx="28">
                  <c:v>WD5</c:v>
                </c:pt>
                <c:pt idx="29">
                  <c:v>WD6</c:v>
                </c:pt>
                <c:pt idx="30">
                  <c:v>WE1</c:v>
                </c:pt>
                <c:pt idx="31">
                  <c:v>WE2</c:v>
                </c:pt>
                <c:pt idx="32">
                  <c:v>WE3</c:v>
                </c:pt>
                <c:pt idx="33">
                  <c:v>WE4</c:v>
                </c:pt>
                <c:pt idx="34">
                  <c:v>WE5</c:v>
                </c:pt>
                <c:pt idx="35">
                  <c:v>WE6</c:v>
                </c:pt>
                <c:pt idx="36">
                  <c:v>WD1</c:v>
                </c:pt>
                <c:pt idx="37">
                  <c:v>WD2</c:v>
                </c:pt>
                <c:pt idx="38">
                  <c:v>WD3</c:v>
                </c:pt>
                <c:pt idx="39">
                  <c:v>WD4</c:v>
                </c:pt>
                <c:pt idx="40">
                  <c:v>WD5</c:v>
                </c:pt>
                <c:pt idx="41">
                  <c:v>WD6</c:v>
                </c:pt>
                <c:pt idx="42">
                  <c:v>WE1</c:v>
                </c:pt>
                <c:pt idx="43">
                  <c:v>WE2</c:v>
                </c:pt>
                <c:pt idx="44">
                  <c:v>WE3</c:v>
                </c:pt>
                <c:pt idx="45">
                  <c:v>WE4</c:v>
                </c:pt>
                <c:pt idx="46">
                  <c:v>WE5</c:v>
                </c:pt>
                <c:pt idx="47">
                  <c:v>WE6</c:v>
                </c:pt>
                <c:pt idx="48">
                  <c:v>WD1</c:v>
                </c:pt>
                <c:pt idx="49">
                  <c:v>WD2</c:v>
                </c:pt>
                <c:pt idx="50">
                  <c:v>WD3</c:v>
                </c:pt>
                <c:pt idx="51">
                  <c:v>WD4</c:v>
                </c:pt>
                <c:pt idx="52">
                  <c:v>WD5</c:v>
                </c:pt>
                <c:pt idx="53">
                  <c:v>WD6</c:v>
                </c:pt>
                <c:pt idx="54">
                  <c:v>WE1</c:v>
                </c:pt>
                <c:pt idx="55">
                  <c:v>WE2</c:v>
                </c:pt>
                <c:pt idx="56">
                  <c:v>WE3</c:v>
                </c:pt>
                <c:pt idx="57">
                  <c:v>WE4</c:v>
                </c:pt>
                <c:pt idx="58">
                  <c:v>WE5</c:v>
                </c:pt>
                <c:pt idx="59">
                  <c:v>WE6</c:v>
                </c:pt>
                <c:pt idx="60">
                  <c:v>WD1</c:v>
                </c:pt>
                <c:pt idx="61">
                  <c:v>WD2</c:v>
                </c:pt>
                <c:pt idx="62">
                  <c:v>WD3</c:v>
                </c:pt>
                <c:pt idx="63">
                  <c:v>WD4</c:v>
                </c:pt>
                <c:pt idx="64">
                  <c:v>WD5</c:v>
                </c:pt>
                <c:pt idx="65">
                  <c:v>WD6</c:v>
                </c:pt>
                <c:pt idx="66">
                  <c:v>WE1</c:v>
                </c:pt>
                <c:pt idx="67">
                  <c:v>WE2</c:v>
                </c:pt>
                <c:pt idx="68">
                  <c:v>WE3</c:v>
                </c:pt>
                <c:pt idx="69">
                  <c:v>WE4</c:v>
                </c:pt>
                <c:pt idx="70">
                  <c:v>WE5</c:v>
                </c:pt>
                <c:pt idx="71">
                  <c:v>WE6</c:v>
                </c:pt>
                <c:pt idx="72">
                  <c:v>WD1</c:v>
                </c:pt>
                <c:pt idx="73">
                  <c:v>WD2</c:v>
                </c:pt>
                <c:pt idx="74">
                  <c:v>WD3</c:v>
                </c:pt>
                <c:pt idx="75">
                  <c:v>WD4</c:v>
                </c:pt>
                <c:pt idx="76">
                  <c:v>WD5</c:v>
                </c:pt>
                <c:pt idx="77">
                  <c:v>WD6</c:v>
                </c:pt>
                <c:pt idx="78">
                  <c:v>WE1</c:v>
                </c:pt>
                <c:pt idx="79">
                  <c:v>WE2</c:v>
                </c:pt>
                <c:pt idx="80">
                  <c:v>WE3</c:v>
                </c:pt>
                <c:pt idx="81">
                  <c:v>WE4</c:v>
                </c:pt>
                <c:pt idx="82">
                  <c:v>WE5</c:v>
                </c:pt>
                <c:pt idx="83">
                  <c:v>WE6</c:v>
                </c:pt>
                <c:pt idx="84">
                  <c:v>WD1</c:v>
                </c:pt>
                <c:pt idx="85">
                  <c:v>WD2</c:v>
                </c:pt>
                <c:pt idx="86">
                  <c:v>WD3</c:v>
                </c:pt>
                <c:pt idx="87">
                  <c:v>WD4</c:v>
                </c:pt>
                <c:pt idx="88">
                  <c:v>WD5</c:v>
                </c:pt>
                <c:pt idx="89">
                  <c:v>WD6</c:v>
                </c:pt>
                <c:pt idx="90">
                  <c:v>WE1</c:v>
                </c:pt>
                <c:pt idx="91">
                  <c:v>WE2</c:v>
                </c:pt>
                <c:pt idx="92">
                  <c:v>WE3</c:v>
                </c:pt>
                <c:pt idx="93">
                  <c:v>WE4</c:v>
                </c:pt>
                <c:pt idx="94">
                  <c:v>WE5</c:v>
                </c:pt>
                <c:pt idx="95">
                  <c:v>WE6</c:v>
                </c:pt>
                <c:pt idx="96">
                  <c:v>WD1</c:v>
                </c:pt>
                <c:pt idx="97">
                  <c:v>WD2</c:v>
                </c:pt>
                <c:pt idx="98">
                  <c:v>WD3</c:v>
                </c:pt>
                <c:pt idx="99">
                  <c:v>WD4</c:v>
                </c:pt>
                <c:pt idx="100">
                  <c:v>WD5</c:v>
                </c:pt>
                <c:pt idx="101">
                  <c:v>WD6</c:v>
                </c:pt>
                <c:pt idx="102">
                  <c:v>WE1</c:v>
                </c:pt>
                <c:pt idx="103">
                  <c:v>WE2</c:v>
                </c:pt>
                <c:pt idx="104">
                  <c:v>WE3</c:v>
                </c:pt>
                <c:pt idx="105">
                  <c:v>WE4</c:v>
                </c:pt>
                <c:pt idx="106">
                  <c:v>WE5</c:v>
                </c:pt>
                <c:pt idx="107">
                  <c:v>WE6</c:v>
                </c:pt>
                <c:pt idx="108">
                  <c:v>WD1</c:v>
                </c:pt>
                <c:pt idx="109">
                  <c:v>WD2</c:v>
                </c:pt>
                <c:pt idx="110">
                  <c:v>WD3</c:v>
                </c:pt>
                <c:pt idx="111">
                  <c:v>WD4</c:v>
                </c:pt>
                <c:pt idx="112">
                  <c:v>WD5</c:v>
                </c:pt>
                <c:pt idx="113">
                  <c:v>WD6</c:v>
                </c:pt>
                <c:pt idx="114">
                  <c:v>WE1</c:v>
                </c:pt>
                <c:pt idx="115">
                  <c:v>WE2</c:v>
                </c:pt>
                <c:pt idx="116">
                  <c:v>WE3</c:v>
                </c:pt>
                <c:pt idx="117">
                  <c:v>WE4</c:v>
                </c:pt>
                <c:pt idx="118">
                  <c:v>WE5</c:v>
                </c:pt>
                <c:pt idx="119">
                  <c:v>WE6</c:v>
                </c:pt>
                <c:pt idx="120">
                  <c:v>WD1</c:v>
                </c:pt>
                <c:pt idx="121">
                  <c:v>WD2</c:v>
                </c:pt>
                <c:pt idx="122">
                  <c:v>WD3</c:v>
                </c:pt>
                <c:pt idx="123">
                  <c:v>WD4</c:v>
                </c:pt>
                <c:pt idx="124">
                  <c:v>WD5</c:v>
                </c:pt>
                <c:pt idx="125">
                  <c:v>WD6</c:v>
                </c:pt>
                <c:pt idx="126">
                  <c:v>WE1</c:v>
                </c:pt>
                <c:pt idx="127">
                  <c:v>WE2</c:v>
                </c:pt>
                <c:pt idx="128">
                  <c:v>WE3</c:v>
                </c:pt>
                <c:pt idx="129">
                  <c:v>WE4</c:v>
                </c:pt>
                <c:pt idx="130">
                  <c:v>WE5</c:v>
                </c:pt>
                <c:pt idx="131">
                  <c:v>WE6</c:v>
                </c:pt>
                <c:pt idx="132">
                  <c:v>WD1</c:v>
                </c:pt>
                <c:pt idx="133">
                  <c:v>WD2</c:v>
                </c:pt>
                <c:pt idx="134">
                  <c:v>WD3</c:v>
                </c:pt>
                <c:pt idx="135">
                  <c:v>WD4</c:v>
                </c:pt>
                <c:pt idx="136">
                  <c:v>WD5</c:v>
                </c:pt>
                <c:pt idx="137">
                  <c:v>WD6</c:v>
                </c:pt>
                <c:pt idx="138">
                  <c:v>WE1</c:v>
                </c:pt>
                <c:pt idx="139">
                  <c:v>WE2</c:v>
                </c:pt>
                <c:pt idx="140">
                  <c:v>WE3</c:v>
                </c:pt>
                <c:pt idx="141">
                  <c:v>WE4</c:v>
                </c:pt>
                <c:pt idx="142">
                  <c:v>WE5</c:v>
                </c:pt>
                <c:pt idx="143">
                  <c:v>WE6</c:v>
                </c:pt>
              </c:strCache>
            </c:strRef>
          </c:cat>
          <c:val>
            <c:numRef>
              <c:f>'NY East'!$C$23:$EP$23</c:f>
              <c:numCache>
                <c:formatCode>0.00</c:formatCode>
                <c:ptCount val="144"/>
                <c:pt idx="0">
                  <c:v>83.940611378758362</c:v>
                </c:pt>
                <c:pt idx="1">
                  <c:v>94.218331668976077</c:v>
                </c:pt>
                <c:pt idx="2">
                  <c:v>102.99472306675952</c:v>
                </c:pt>
                <c:pt idx="3">
                  <c:v>104.683914348816</c:v>
                </c:pt>
                <c:pt idx="4">
                  <c:v>98.453686999994432</c:v>
                </c:pt>
                <c:pt idx="5">
                  <c:v>88.380394585651956</c:v>
                </c:pt>
                <c:pt idx="6">
                  <c:v>88.129716958435637</c:v>
                </c:pt>
                <c:pt idx="7">
                  <c:v>90.421173099959759</c:v>
                </c:pt>
                <c:pt idx="8">
                  <c:v>97.357072482820186</c:v>
                </c:pt>
                <c:pt idx="9">
                  <c:v>97.79455913727277</c:v>
                </c:pt>
                <c:pt idx="10">
                  <c:v>92.749473724576063</c:v>
                </c:pt>
                <c:pt idx="11">
                  <c:v>89.196563336887493</c:v>
                </c:pt>
                <c:pt idx="12">
                  <c:v>82.335987968054184</c:v>
                </c:pt>
                <c:pt idx="13">
                  <c:v>91.940322354876713</c:v>
                </c:pt>
                <c:pt idx="14">
                  <c:v>100.56122153553346</c:v>
                </c:pt>
                <c:pt idx="15">
                  <c:v>101.94964351091349</c:v>
                </c:pt>
                <c:pt idx="16">
                  <c:v>95.920958557726749</c:v>
                </c:pt>
                <c:pt idx="17">
                  <c:v>86.053452614622842</c:v>
                </c:pt>
                <c:pt idx="18">
                  <c:v>87.506406757564889</c:v>
                </c:pt>
                <c:pt idx="19">
                  <c:v>89.135810563899966</c:v>
                </c:pt>
                <c:pt idx="20">
                  <c:v>95.675369347104706</c:v>
                </c:pt>
                <c:pt idx="21">
                  <c:v>95.781781141957154</c:v>
                </c:pt>
                <c:pt idx="22">
                  <c:v>91.413348552018306</c:v>
                </c:pt>
                <c:pt idx="23">
                  <c:v>88.475126186375846</c:v>
                </c:pt>
                <c:pt idx="24">
                  <c:v>78.243296046511162</c:v>
                </c:pt>
                <c:pt idx="25">
                  <c:v>86.599564294509236</c:v>
                </c:pt>
                <c:pt idx="26">
                  <c:v>96.589140919734518</c:v>
                </c:pt>
                <c:pt idx="27">
                  <c:v>99.735161177198819</c:v>
                </c:pt>
                <c:pt idx="28">
                  <c:v>94.076679266026844</c:v>
                </c:pt>
                <c:pt idx="29">
                  <c:v>84.075670387022157</c:v>
                </c:pt>
                <c:pt idx="30">
                  <c:v>87.575942625797722</c:v>
                </c:pt>
                <c:pt idx="31">
                  <c:v>88.643536316760503</c:v>
                </c:pt>
                <c:pt idx="32">
                  <c:v>95.024735511030372</c:v>
                </c:pt>
                <c:pt idx="33">
                  <c:v>95.504852241463624</c:v>
                </c:pt>
                <c:pt idx="34">
                  <c:v>91.437026039455603</c:v>
                </c:pt>
                <c:pt idx="35">
                  <c:v>88.337653852241459</c:v>
                </c:pt>
                <c:pt idx="36">
                  <c:v>85.212937075471928</c:v>
                </c:pt>
                <c:pt idx="37">
                  <c:v>93.198130602115839</c:v>
                </c:pt>
                <c:pt idx="38">
                  <c:v>103.82663877965304</c:v>
                </c:pt>
                <c:pt idx="39">
                  <c:v>107.7104016181564</c:v>
                </c:pt>
                <c:pt idx="40">
                  <c:v>101.04382760010235</c:v>
                </c:pt>
                <c:pt idx="41">
                  <c:v>89.892114579316427</c:v>
                </c:pt>
                <c:pt idx="42">
                  <c:v>88.228835872097108</c:v>
                </c:pt>
                <c:pt idx="43">
                  <c:v>89.74283761785631</c:v>
                </c:pt>
                <c:pt idx="44">
                  <c:v>96.246825977825367</c:v>
                </c:pt>
                <c:pt idx="45">
                  <c:v>97.550712829686915</c:v>
                </c:pt>
                <c:pt idx="46">
                  <c:v>92.548043714581254</c:v>
                </c:pt>
                <c:pt idx="47">
                  <c:v>88.95650453532042</c:v>
                </c:pt>
                <c:pt idx="48">
                  <c:v>90.97537939799652</c:v>
                </c:pt>
                <c:pt idx="49">
                  <c:v>100.05010035211507</c:v>
                </c:pt>
                <c:pt idx="50">
                  <c:v>112.85793747746112</c:v>
                </c:pt>
                <c:pt idx="51">
                  <c:v>116.9204556673578</c:v>
                </c:pt>
                <c:pt idx="52">
                  <c:v>109.81578465465785</c:v>
                </c:pt>
                <c:pt idx="53">
                  <c:v>96.434951721463435</c:v>
                </c:pt>
                <c:pt idx="54">
                  <c:v>95.648600564414835</c:v>
                </c:pt>
                <c:pt idx="55">
                  <c:v>97.092715215576376</c:v>
                </c:pt>
                <c:pt idx="56">
                  <c:v>108.18188629880223</c:v>
                </c:pt>
                <c:pt idx="57">
                  <c:v>109.7813975843264</c:v>
                </c:pt>
                <c:pt idx="58">
                  <c:v>102.23162926616654</c:v>
                </c:pt>
                <c:pt idx="59">
                  <c:v>97.898539557139827</c:v>
                </c:pt>
                <c:pt idx="60">
                  <c:v>94.848929940128329</c:v>
                </c:pt>
                <c:pt idx="61">
                  <c:v>103.96805641654115</c:v>
                </c:pt>
                <c:pt idx="62">
                  <c:v>117.43028286709936</c:v>
                </c:pt>
                <c:pt idx="63">
                  <c:v>120.43286807981571</c:v>
                </c:pt>
                <c:pt idx="64">
                  <c:v>113.62368162544108</c:v>
                </c:pt>
                <c:pt idx="65">
                  <c:v>100.36885186711969</c:v>
                </c:pt>
                <c:pt idx="66">
                  <c:v>96.492226261502935</c:v>
                </c:pt>
                <c:pt idx="67">
                  <c:v>97.390230198027595</c:v>
                </c:pt>
                <c:pt idx="68">
                  <c:v>105.83511282407255</c:v>
                </c:pt>
                <c:pt idx="69">
                  <c:v>108.68528446793802</c:v>
                </c:pt>
                <c:pt idx="70">
                  <c:v>103.58049505459883</c:v>
                </c:pt>
                <c:pt idx="71">
                  <c:v>98.513289860210733</c:v>
                </c:pt>
                <c:pt idx="72">
                  <c:v>97.630424987876239</c:v>
                </c:pt>
                <c:pt idx="73">
                  <c:v>106.89029836401077</c:v>
                </c:pt>
                <c:pt idx="74">
                  <c:v>120.51904847169594</c:v>
                </c:pt>
                <c:pt idx="75">
                  <c:v>122.8314960769377</c:v>
                </c:pt>
                <c:pt idx="76">
                  <c:v>116.40769095279543</c:v>
                </c:pt>
                <c:pt idx="77">
                  <c:v>102.93946536170894</c:v>
                </c:pt>
                <c:pt idx="78">
                  <c:v>93.530513797411757</c:v>
                </c:pt>
                <c:pt idx="79">
                  <c:v>94.817700392407843</c:v>
                </c:pt>
                <c:pt idx="80">
                  <c:v>103.88201272340194</c:v>
                </c:pt>
                <c:pt idx="81">
                  <c:v>107.09357721947981</c:v>
                </c:pt>
                <c:pt idx="82">
                  <c:v>101.78910756522913</c:v>
                </c:pt>
                <c:pt idx="83">
                  <c:v>96.694094497097112</c:v>
                </c:pt>
                <c:pt idx="84">
                  <c:v>99.404330490685567</c:v>
                </c:pt>
                <c:pt idx="85">
                  <c:v>108.48092761232799</c:v>
                </c:pt>
                <c:pt idx="86">
                  <c:v>123.14069385640997</c:v>
                </c:pt>
                <c:pt idx="87">
                  <c:v>126.45230284592049</c:v>
                </c:pt>
                <c:pt idx="88">
                  <c:v>119.14305059031999</c:v>
                </c:pt>
                <c:pt idx="89">
                  <c:v>104.90804483342968</c:v>
                </c:pt>
                <c:pt idx="90">
                  <c:v>97.690781180814085</c:v>
                </c:pt>
                <c:pt idx="91">
                  <c:v>99.245916473631596</c:v>
                </c:pt>
                <c:pt idx="92">
                  <c:v>109.72139738503824</c:v>
                </c:pt>
                <c:pt idx="93">
                  <c:v>113.36412585622742</c:v>
                </c:pt>
                <c:pt idx="94">
                  <c:v>107.56005531244578</c:v>
                </c:pt>
                <c:pt idx="95">
                  <c:v>101.92470311650168</c:v>
                </c:pt>
                <c:pt idx="96">
                  <c:v>100.03435834639592</c:v>
                </c:pt>
                <c:pt idx="97">
                  <c:v>108.91974171530558</c:v>
                </c:pt>
                <c:pt idx="98">
                  <c:v>122.11981336717335</c:v>
                </c:pt>
                <c:pt idx="99">
                  <c:v>125.70931848914208</c:v>
                </c:pt>
                <c:pt idx="100">
                  <c:v>118.2916921457842</c:v>
                </c:pt>
                <c:pt idx="101">
                  <c:v>104.39027788279394</c:v>
                </c:pt>
                <c:pt idx="102">
                  <c:v>104.36969318281371</c:v>
                </c:pt>
                <c:pt idx="103">
                  <c:v>105.12716898193065</c:v>
                </c:pt>
                <c:pt idx="104">
                  <c:v>118.40243671923521</c:v>
                </c:pt>
                <c:pt idx="105">
                  <c:v>121.16052931878403</c:v>
                </c:pt>
                <c:pt idx="106">
                  <c:v>112.98216330731456</c:v>
                </c:pt>
                <c:pt idx="107">
                  <c:v>108.44697973525248</c:v>
                </c:pt>
                <c:pt idx="108">
                  <c:v>93.251140073491328</c:v>
                </c:pt>
                <c:pt idx="109">
                  <c:v>103.03544628832894</c:v>
                </c:pt>
                <c:pt idx="110">
                  <c:v>115.13605786666325</c:v>
                </c:pt>
                <c:pt idx="111">
                  <c:v>118.73015676056991</c:v>
                </c:pt>
                <c:pt idx="112">
                  <c:v>111.28914717758336</c:v>
                </c:pt>
                <c:pt idx="113">
                  <c:v>98.022456116557152</c:v>
                </c:pt>
                <c:pt idx="114">
                  <c:v>97.164549739990704</c:v>
                </c:pt>
                <c:pt idx="115">
                  <c:v>98.511195538813112</c:v>
                </c:pt>
                <c:pt idx="116">
                  <c:v>109.00194173515138</c:v>
                </c:pt>
                <c:pt idx="117">
                  <c:v>111.81143359282127</c:v>
                </c:pt>
                <c:pt idx="118">
                  <c:v>104.41732994150314</c:v>
                </c:pt>
                <c:pt idx="119">
                  <c:v>99.467327176536685</c:v>
                </c:pt>
                <c:pt idx="120">
                  <c:v>91.274093064096419</c:v>
                </c:pt>
                <c:pt idx="121">
                  <c:v>99.78262634000825</c:v>
                </c:pt>
                <c:pt idx="122">
                  <c:v>108.95588528914374</c:v>
                </c:pt>
                <c:pt idx="123">
                  <c:v>111.79386679400882</c:v>
                </c:pt>
                <c:pt idx="124">
                  <c:v>105.99051269823023</c:v>
                </c:pt>
                <c:pt idx="125">
                  <c:v>95.52687732468371</c:v>
                </c:pt>
                <c:pt idx="126">
                  <c:v>95.830686564623505</c:v>
                </c:pt>
                <c:pt idx="127">
                  <c:v>97.245190600882225</c:v>
                </c:pt>
                <c:pt idx="128">
                  <c:v>103.71215913534377</c:v>
                </c:pt>
                <c:pt idx="129">
                  <c:v>106.28371983267593</c:v>
                </c:pt>
                <c:pt idx="130">
                  <c:v>101.50231393756681</c:v>
                </c:pt>
                <c:pt idx="131">
                  <c:v>97.234524486984398</c:v>
                </c:pt>
                <c:pt idx="132">
                  <c:v>88.466393969541272</c:v>
                </c:pt>
                <c:pt idx="133">
                  <c:v>98.229426278937851</c:v>
                </c:pt>
                <c:pt idx="134">
                  <c:v>107.31925742354723</c:v>
                </c:pt>
                <c:pt idx="135">
                  <c:v>108.90492275243787</c:v>
                </c:pt>
                <c:pt idx="136">
                  <c:v>103.02383025139952</c:v>
                </c:pt>
                <c:pt idx="137">
                  <c:v>93.092335114476242</c:v>
                </c:pt>
                <c:pt idx="138">
                  <c:v>91.149773598057024</c:v>
                </c:pt>
                <c:pt idx="139">
                  <c:v>93.155683143108263</c:v>
                </c:pt>
                <c:pt idx="140">
                  <c:v>99.168003387154897</c:v>
                </c:pt>
                <c:pt idx="141">
                  <c:v>100.2431184928196</c:v>
                </c:pt>
                <c:pt idx="142">
                  <c:v>96.276440579676418</c:v>
                </c:pt>
                <c:pt idx="143">
                  <c:v>93.02503556098651</c:v>
                </c:pt>
              </c:numCache>
            </c:numRef>
          </c:val>
          <c:smooth val="0"/>
        </c:ser>
        <c:ser>
          <c:idx val="6"/>
          <c:order val="6"/>
          <c:spPr>
            <a:ln w="127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'NY East'!$C$3:$EP$3</c:f>
              <c:strCache>
                <c:ptCount val="144"/>
                <c:pt idx="0">
                  <c:v>WD1</c:v>
                </c:pt>
                <c:pt idx="1">
                  <c:v>WD2</c:v>
                </c:pt>
                <c:pt idx="2">
                  <c:v>WD3</c:v>
                </c:pt>
                <c:pt idx="3">
                  <c:v>WD4</c:v>
                </c:pt>
                <c:pt idx="4">
                  <c:v>WD5</c:v>
                </c:pt>
                <c:pt idx="5">
                  <c:v>WD6</c:v>
                </c:pt>
                <c:pt idx="6">
                  <c:v>WE1</c:v>
                </c:pt>
                <c:pt idx="7">
                  <c:v>WE2</c:v>
                </c:pt>
                <c:pt idx="8">
                  <c:v>WE3</c:v>
                </c:pt>
                <c:pt idx="9">
                  <c:v>WE4</c:v>
                </c:pt>
                <c:pt idx="10">
                  <c:v>WE5</c:v>
                </c:pt>
                <c:pt idx="11">
                  <c:v>WE6</c:v>
                </c:pt>
                <c:pt idx="12">
                  <c:v>WD1</c:v>
                </c:pt>
                <c:pt idx="13">
                  <c:v>WD2</c:v>
                </c:pt>
                <c:pt idx="14">
                  <c:v>WD3</c:v>
                </c:pt>
                <c:pt idx="15">
                  <c:v>WD4</c:v>
                </c:pt>
                <c:pt idx="16">
                  <c:v>WD5</c:v>
                </c:pt>
                <c:pt idx="17">
                  <c:v>WD6</c:v>
                </c:pt>
                <c:pt idx="18">
                  <c:v>WE1</c:v>
                </c:pt>
                <c:pt idx="19">
                  <c:v>WE2</c:v>
                </c:pt>
                <c:pt idx="20">
                  <c:v>WE3</c:v>
                </c:pt>
                <c:pt idx="21">
                  <c:v>WE4</c:v>
                </c:pt>
                <c:pt idx="22">
                  <c:v>WE5</c:v>
                </c:pt>
                <c:pt idx="23">
                  <c:v>WE6</c:v>
                </c:pt>
                <c:pt idx="24">
                  <c:v>WD1</c:v>
                </c:pt>
                <c:pt idx="25">
                  <c:v>WD2</c:v>
                </c:pt>
                <c:pt idx="26">
                  <c:v>WD3</c:v>
                </c:pt>
                <c:pt idx="27">
                  <c:v>WD4</c:v>
                </c:pt>
                <c:pt idx="28">
                  <c:v>WD5</c:v>
                </c:pt>
                <c:pt idx="29">
                  <c:v>WD6</c:v>
                </c:pt>
                <c:pt idx="30">
                  <c:v>WE1</c:v>
                </c:pt>
                <c:pt idx="31">
                  <c:v>WE2</c:v>
                </c:pt>
                <c:pt idx="32">
                  <c:v>WE3</c:v>
                </c:pt>
                <c:pt idx="33">
                  <c:v>WE4</c:v>
                </c:pt>
                <c:pt idx="34">
                  <c:v>WE5</c:v>
                </c:pt>
                <c:pt idx="35">
                  <c:v>WE6</c:v>
                </c:pt>
                <c:pt idx="36">
                  <c:v>WD1</c:v>
                </c:pt>
                <c:pt idx="37">
                  <c:v>WD2</c:v>
                </c:pt>
                <c:pt idx="38">
                  <c:v>WD3</c:v>
                </c:pt>
                <c:pt idx="39">
                  <c:v>WD4</c:v>
                </c:pt>
                <c:pt idx="40">
                  <c:v>WD5</c:v>
                </c:pt>
                <c:pt idx="41">
                  <c:v>WD6</c:v>
                </c:pt>
                <c:pt idx="42">
                  <c:v>WE1</c:v>
                </c:pt>
                <c:pt idx="43">
                  <c:v>WE2</c:v>
                </c:pt>
                <c:pt idx="44">
                  <c:v>WE3</c:v>
                </c:pt>
                <c:pt idx="45">
                  <c:v>WE4</c:v>
                </c:pt>
                <c:pt idx="46">
                  <c:v>WE5</c:v>
                </c:pt>
                <c:pt idx="47">
                  <c:v>WE6</c:v>
                </c:pt>
                <c:pt idx="48">
                  <c:v>WD1</c:v>
                </c:pt>
                <c:pt idx="49">
                  <c:v>WD2</c:v>
                </c:pt>
                <c:pt idx="50">
                  <c:v>WD3</c:v>
                </c:pt>
                <c:pt idx="51">
                  <c:v>WD4</c:v>
                </c:pt>
                <c:pt idx="52">
                  <c:v>WD5</c:v>
                </c:pt>
                <c:pt idx="53">
                  <c:v>WD6</c:v>
                </c:pt>
                <c:pt idx="54">
                  <c:v>WE1</c:v>
                </c:pt>
                <c:pt idx="55">
                  <c:v>WE2</c:v>
                </c:pt>
                <c:pt idx="56">
                  <c:v>WE3</c:v>
                </c:pt>
                <c:pt idx="57">
                  <c:v>WE4</c:v>
                </c:pt>
                <c:pt idx="58">
                  <c:v>WE5</c:v>
                </c:pt>
                <c:pt idx="59">
                  <c:v>WE6</c:v>
                </c:pt>
                <c:pt idx="60">
                  <c:v>WD1</c:v>
                </c:pt>
                <c:pt idx="61">
                  <c:v>WD2</c:v>
                </c:pt>
                <c:pt idx="62">
                  <c:v>WD3</c:v>
                </c:pt>
                <c:pt idx="63">
                  <c:v>WD4</c:v>
                </c:pt>
                <c:pt idx="64">
                  <c:v>WD5</c:v>
                </c:pt>
                <c:pt idx="65">
                  <c:v>WD6</c:v>
                </c:pt>
                <c:pt idx="66">
                  <c:v>WE1</c:v>
                </c:pt>
                <c:pt idx="67">
                  <c:v>WE2</c:v>
                </c:pt>
                <c:pt idx="68">
                  <c:v>WE3</c:v>
                </c:pt>
                <c:pt idx="69">
                  <c:v>WE4</c:v>
                </c:pt>
                <c:pt idx="70">
                  <c:v>WE5</c:v>
                </c:pt>
                <c:pt idx="71">
                  <c:v>WE6</c:v>
                </c:pt>
                <c:pt idx="72">
                  <c:v>WD1</c:v>
                </c:pt>
                <c:pt idx="73">
                  <c:v>WD2</c:v>
                </c:pt>
                <c:pt idx="74">
                  <c:v>WD3</c:v>
                </c:pt>
                <c:pt idx="75">
                  <c:v>WD4</c:v>
                </c:pt>
                <c:pt idx="76">
                  <c:v>WD5</c:v>
                </c:pt>
                <c:pt idx="77">
                  <c:v>WD6</c:v>
                </c:pt>
                <c:pt idx="78">
                  <c:v>WE1</c:v>
                </c:pt>
                <c:pt idx="79">
                  <c:v>WE2</c:v>
                </c:pt>
                <c:pt idx="80">
                  <c:v>WE3</c:v>
                </c:pt>
                <c:pt idx="81">
                  <c:v>WE4</c:v>
                </c:pt>
                <c:pt idx="82">
                  <c:v>WE5</c:v>
                </c:pt>
                <c:pt idx="83">
                  <c:v>WE6</c:v>
                </c:pt>
                <c:pt idx="84">
                  <c:v>WD1</c:v>
                </c:pt>
                <c:pt idx="85">
                  <c:v>WD2</c:v>
                </c:pt>
                <c:pt idx="86">
                  <c:v>WD3</c:v>
                </c:pt>
                <c:pt idx="87">
                  <c:v>WD4</c:v>
                </c:pt>
                <c:pt idx="88">
                  <c:v>WD5</c:v>
                </c:pt>
                <c:pt idx="89">
                  <c:v>WD6</c:v>
                </c:pt>
                <c:pt idx="90">
                  <c:v>WE1</c:v>
                </c:pt>
                <c:pt idx="91">
                  <c:v>WE2</c:v>
                </c:pt>
                <c:pt idx="92">
                  <c:v>WE3</c:v>
                </c:pt>
                <c:pt idx="93">
                  <c:v>WE4</c:v>
                </c:pt>
                <c:pt idx="94">
                  <c:v>WE5</c:v>
                </c:pt>
                <c:pt idx="95">
                  <c:v>WE6</c:v>
                </c:pt>
                <c:pt idx="96">
                  <c:v>WD1</c:v>
                </c:pt>
                <c:pt idx="97">
                  <c:v>WD2</c:v>
                </c:pt>
                <c:pt idx="98">
                  <c:v>WD3</c:v>
                </c:pt>
                <c:pt idx="99">
                  <c:v>WD4</c:v>
                </c:pt>
                <c:pt idx="100">
                  <c:v>WD5</c:v>
                </c:pt>
                <c:pt idx="101">
                  <c:v>WD6</c:v>
                </c:pt>
                <c:pt idx="102">
                  <c:v>WE1</c:v>
                </c:pt>
                <c:pt idx="103">
                  <c:v>WE2</c:v>
                </c:pt>
                <c:pt idx="104">
                  <c:v>WE3</c:v>
                </c:pt>
                <c:pt idx="105">
                  <c:v>WE4</c:v>
                </c:pt>
                <c:pt idx="106">
                  <c:v>WE5</c:v>
                </c:pt>
                <c:pt idx="107">
                  <c:v>WE6</c:v>
                </c:pt>
                <c:pt idx="108">
                  <c:v>WD1</c:v>
                </c:pt>
                <c:pt idx="109">
                  <c:v>WD2</c:v>
                </c:pt>
                <c:pt idx="110">
                  <c:v>WD3</c:v>
                </c:pt>
                <c:pt idx="111">
                  <c:v>WD4</c:v>
                </c:pt>
                <c:pt idx="112">
                  <c:v>WD5</c:v>
                </c:pt>
                <c:pt idx="113">
                  <c:v>WD6</c:v>
                </c:pt>
                <c:pt idx="114">
                  <c:v>WE1</c:v>
                </c:pt>
                <c:pt idx="115">
                  <c:v>WE2</c:v>
                </c:pt>
                <c:pt idx="116">
                  <c:v>WE3</c:v>
                </c:pt>
                <c:pt idx="117">
                  <c:v>WE4</c:v>
                </c:pt>
                <c:pt idx="118">
                  <c:v>WE5</c:v>
                </c:pt>
                <c:pt idx="119">
                  <c:v>WE6</c:v>
                </c:pt>
                <c:pt idx="120">
                  <c:v>WD1</c:v>
                </c:pt>
                <c:pt idx="121">
                  <c:v>WD2</c:v>
                </c:pt>
                <c:pt idx="122">
                  <c:v>WD3</c:v>
                </c:pt>
                <c:pt idx="123">
                  <c:v>WD4</c:v>
                </c:pt>
                <c:pt idx="124">
                  <c:v>WD5</c:v>
                </c:pt>
                <c:pt idx="125">
                  <c:v>WD6</c:v>
                </c:pt>
                <c:pt idx="126">
                  <c:v>WE1</c:v>
                </c:pt>
                <c:pt idx="127">
                  <c:v>WE2</c:v>
                </c:pt>
                <c:pt idx="128">
                  <c:v>WE3</c:v>
                </c:pt>
                <c:pt idx="129">
                  <c:v>WE4</c:v>
                </c:pt>
                <c:pt idx="130">
                  <c:v>WE5</c:v>
                </c:pt>
                <c:pt idx="131">
                  <c:v>WE6</c:v>
                </c:pt>
                <c:pt idx="132">
                  <c:v>WD1</c:v>
                </c:pt>
                <c:pt idx="133">
                  <c:v>WD2</c:v>
                </c:pt>
                <c:pt idx="134">
                  <c:v>WD3</c:v>
                </c:pt>
                <c:pt idx="135">
                  <c:v>WD4</c:v>
                </c:pt>
                <c:pt idx="136">
                  <c:v>WD5</c:v>
                </c:pt>
                <c:pt idx="137">
                  <c:v>WD6</c:v>
                </c:pt>
                <c:pt idx="138">
                  <c:v>WE1</c:v>
                </c:pt>
                <c:pt idx="139">
                  <c:v>WE2</c:v>
                </c:pt>
                <c:pt idx="140">
                  <c:v>WE3</c:v>
                </c:pt>
                <c:pt idx="141">
                  <c:v>WE4</c:v>
                </c:pt>
                <c:pt idx="142">
                  <c:v>WE5</c:v>
                </c:pt>
                <c:pt idx="143">
                  <c:v>WE6</c:v>
                </c:pt>
              </c:strCache>
            </c:strRef>
          </c:cat>
          <c:val>
            <c:numRef>
              <c:f>'NY East'!$C$24:$EP$24</c:f>
              <c:numCache>
                <c:formatCode>0.00</c:formatCode>
                <c:ptCount val="144"/>
                <c:pt idx="0">
                  <c:v>83.877860182244945</c:v>
                </c:pt>
                <c:pt idx="1">
                  <c:v>94.089288237840307</c:v>
                </c:pt>
                <c:pt idx="2">
                  <c:v>102.86762143769639</c:v>
                </c:pt>
                <c:pt idx="3">
                  <c:v>104.56009779449903</c:v>
                </c:pt>
                <c:pt idx="4">
                  <c:v>98.351380100815419</c:v>
                </c:pt>
                <c:pt idx="5">
                  <c:v>88.310260532530592</c:v>
                </c:pt>
                <c:pt idx="6">
                  <c:v>87.960525664117483</c:v>
                </c:pt>
                <c:pt idx="7">
                  <c:v>90.245299495263296</c:v>
                </c:pt>
                <c:pt idx="8">
                  <c:v>97.144674801018894</c:v>
                </c:pt>
                <c:pt idx="9">
                  <c:v>97.61851132314564</c:v>
                </c:pt>
                <c:pt idx="10">
                  <c:v>92.586449691822125</c:v>
                </c:pt>
                <c:pt idx="11">
                  <c:v>89.026288816479635</c:v>
                </c:pt>
                <c:pt idx="12">
                  <c:v>82.226417674574307</c:v>
                </c:pt>
                <c:pt idx="13">
                  <c:v>91.717881347408678</c:v>
                </c:pt>
                <c:pt idx="14">
                  <c:v>100.34022270199708</c:v>
                </c:pt>
                <c:pt idx="15">
                  <c:v>101.73357238362105</c:v>
                </c:pt>
                <c:pt idx="16">
                  <c:v>95.746754152050698</c:v>
                </c:pt>
                <c:pt idx="17">
                  <c:v>85.931057410860689</c:v>
                </c:pt>
                <c:pt idx="18">
                  <c:v>87.152319571368679</c:v>
                </c:pt>
                <c:pt idx="19">
                  <c:v>88.776771671699194</c:v>
                </c:pt>
                <c:pt idx="20">
                  <c:v>95.240465282289563</c:v>
                </c:pt>
                <c:pt idx="21">
                  <c:v>95.418190575952039</c:v>
                </c:pt>
                <c:pt idx="22">
                  <c:v>91.081446013529657</c:v>
                </c:pt>
                <c:pt idx="23">
                  <c:v>88.118499326974785</c:v>
                </c:pt>
                <c:pt idx="24">
                  <c:v>78.255558746479053</c:v>
                </c:pt>
                <c:pt idx="25">
                  <c:v>86.624734161767506</c:v>
                </c:pt>
                <c:pt idx="26">
                  <c:v>96.614661924181817</c:v>
                </c:pt>
                <c:pt idx="27">
                  <c:v>99.760177344559679</c:v>
                </c:pt>
                <c:pt idx="28">
                  <c:v>94.09677709459072</c:v>
                </c:pt>
                <c:pt idx="29">
                  <c:v>84.089502173340676</c:v>
                </c:pt>
                <c:pt idx="30">
                  <c:v>87.623688914720134</c:v>
                </c:pt>
                <c:pt idx="31">
                  <c:v>88.690098204353376</c:v>
                </c:pt>
                <c:pt idx="32">
                  <c:v>95.080517329796095</c:v>
                </c:pt>
                <c:pt idx="33">
                  <c:v>95.551881317165979</c:v>
                </c:pt>
                <c:pt idx="34">
                  <c:v>91.481505950288692</c:v>
                </c:pt>
                <c:pt idx="35">
                  <c:v>88.385449160245741</c:v>
                </c:pt>
                <c:pt idx="36">
                  <c:v>85.144614974169002</c:v>
                </c:pt>
                <c:pt idx="37">
                  <c:v>93.055685458514645</c:v>
                </c:pt>
                <c:pt idx="38">
                  <c:v>103.67067541295371</c:v>
                </c:pt>
                <c:pt idx="39">
                  <c:v>107.5505675763504</c:v>
                </c:pt>
                <c:pt idx="40">
                  <c:v>100.92218657288203</c:v>
                </c:pt>
                <c:pt idx="41">
                  <c:v>89.814289297768624</c:v>
                </c:pt>
                <c:pt idx="42">
                  <c:v>86.969706971984408</c:v>
                </c:pt>
                <c:pt idx="43">
                  <c:v>88.498613916782034</c:v>
                </c:pt>
                <c:pt idx="44">
                  <c:v>94.668884458561863</c:v>
                </c:pt>
                <c:pt idx="45">
                  <c:v>96.215420171129324</c:v>
                </c:pt>
                <c:pt idx="46">
                  <c:v>91.449154911263506</c:v>
                </c:pt>
                <c:pt idx="47">
                  <c:v>87.701925198746693</c:v>
                </c:pt>
                <c:pt idx="48">
                  <c:v>90.792003208627264</c:v>
                </c:pt>
                <c:pt idx="49">
                  <c:v>99.544620149203539</c:v>
                </c:pt>
                <c:pt idx="50">
                  <c:v>112.22851683353394</c:v>
                </c:pt>
                <c:pt idx="51">
                  <c:v>116.2777039040443</c:v>
                </c:pt>
                <c:pt idx="52">
                  <c:v>109.30400855644429</c:v>
                </c:pt>
                <c:pt idx="53">
                  <c:v>96.206520905585023</c:v>
                </c:pt>
                <c:pt idx="54">
                  <c:v>95.79914981139467</c:v>
                </c:pt>
                <c:pt idx="55">
                  <c:v>97.240494507269617</c:v>
                </c:pt>
                <c:pt idx="56">
                  <c:v>108.43642490090517</c:v>
                </c:pt>
                <c:pt idx="57">
                  <c:v>109.98320292010919</c:v>
                </c:pt>
                <c:pt idx="58">
                  <c:v>102.35684994505527</c:v>
                </c:pt>
                <c:pt idx="59">
                  <c:v>98.048258355794701</c:v>
                </c:pt>
                <c:pt idx="60">
                  <c:v>94.825946141850608</c:v>
                </c:pt>
                <c:pt idx="61">
                  <c:v>103.89083990743592</c:v>
                </c:pt>
                <c:pt idx="62">
                  <c:v>117.3287538338686</c:v>
                </c:pt>
                <c:pt idx="63">
                  <c:v>120.32642592373416</c:v>
                </c:pt>
                <c:pt idx="64">
                  <c:v>113.53729146554014</c:v>
                </c:pt>
                <c:pt idx="65">
                  <c:v>100.33903672425939</c:v>
                </c:pt>
                <c:pt idx="66">
                  <c:v>96.347818563118636</c:v>
                </c:pt>
                <c:pt idx="67">
                  <c:v>97.254094357788532</c:v>
                </c:pt>
                <c:pt idx="68">
                  <c:v>105.60129278621964</c:v>
                </c:pt>
                <c:pt idx="69">
                  <c:v>108.49430592031815</c:v>
                </c:pt>
                <c:pt idx="70">
                  <c:v>103.46108710247348</c:v>
                </c:pt>
                <c:pt idx="71">
                  <c:v>98.374294334891104</c:v>
                </c:pt>
                <c:pt idx="72">
                  <c:v>97.59350457516652</c:v>
                </c:pt>
                <c:pt idx="73">
                  <c:v>106.76777493901902</c:v>
                </c:pt>
                <c:pt idx="74">
                  <c:v>120.3586723731311</c:v>
                </c:pt>
                <c:pt idx="75">
                  <c:v>122.66546902324043</c:v>
                </c:pt>
                <c:pt idx="76">
                  <c:v>116.27121687993522</c:v>
                </c:pt>
                <c:pt idx="77">
                  <c:v>102.89090932907214</c:v>
                </c:pt>
                <c:pt idx="78">
                  <c:v>93.399746500090188</c:v>
                </c:pt>
                <c:pt idx="79">
                  <c:v>94.689340136243118</c:v>
                </c:pt>
                <c:pt idx="80">
                  <c:v>103.59320684899383</c:v>
                </c:pt>
                <c:pt idx="81">
                  <c:v>106.87296794267749</c:v>
                </c:pt>
                <c:pt idx="82">
                  <c:v>101.68035076770825</c:v>
                </c:pt>
                <c:pt idx="83">
                  <c:v>96.564054382193802</c:v>
                </c:pt>
                <c:pt idx="84">
                  <c:v>99.3705045151371</c:v>
                </c:pt>
                <c:pt idx="85">
                  <c:v>108.36629897920977</c:v>
                </c:pt>
                <c:pt idx="86">
                  <c:v>122.98845195185979</c:v>
                </c:pt>
                <c:pt idx="87">
                  <c:v>126.2942958844458</c:v>
                </c:pt>
                <c:pt idx="88">
                  <c:v>119.01523598102396</c:v>
                </c:pt>
                <c:pt idx="89">
                  <c:v>104.86314216627652</c:v>
                </c:pt>
                <c:pt idx="90">
                  <c:v>97.485024880444612</c:v>
                </c:pt>
                <c:pt idx="91">
                  <c:v>99.043938729388302</c:v>
                </c:pt>
                <c:pt idx="92">
                  <c:v>109.32527291128264</c:v>
                </c:pt>
                <c:pt idx="93">
                  <c:v>113.04452810313073</c:v>
                </c:pt>
                <c:pt idx="94">
                  <c:v>107.38892048785854</c:v>
                </c:pt>
                <c:pt idx="95">
                  <c:v>101.72009016106321</c:v>
                </c:pt>
                <c:pt idx="96">
                  <c:v>100.01368667435153</c:v>
                </c:pt>
                <c:pt idx="97">
                  <c:v>108.8577469521374</c:v>
                </c:pt>
                <c:pt idx="98">
                  <c:v>122.04483826768845</c:v>
                </c:pt>
                <c:pt idx="99">
                  <c:v>125.63164109935661</c:v>
                </c:pt>
                <c:pt idx="100">
                  <c:v>118.2277392979601</c:v>
                </c:pt>
                <c:pt idx="101">
                  <c:v>104.36386084315463</c:v>
                </c:pt>
                <c:pt idx="102">
                  <c:v>103.42017143100307</c:v>
                </c:pt>
                <c:pt idx="103">
                  <c:v>104.16201865973299</c:v>
                </c:pt>
                <c:pt idx="104">
                  <c:v>116.65787407681461</c:v>
                </c:pt>
                <c:pt idx="105">
                  <c:v>119.78705265099711</c:v>
                </c:pt>
                <c:pt idx="106">
                  <c:v>112.15927734374741</c:v>
                </c:pt>
                <c:pt idx="107">
                  <c:v>107.49828220103964</c:v>
                </c:pt>
                <c:pt idx="108">
                  <c:v>93.133903450402698</c:v>
                </c:pt>
                <c:pt idx="109">
                  <c:v>102.72320106144585</c:v>
                </c:pt>
                <c:pt idx="110">
                  <c:v>114.78469553814659</c:v>
                </c:pt>
                <c:pt idx="111">
                  <c:v>118.37233558050985</c:v>
                </c:pt>
                <c:pt idx="112">
                  <c:v>111.00285135780298</c:v>
                </c:pt>
                <c:pt idx="113">
                  <c:v>97.878781782932975</c:v>
                </c:pt>
                <c:pt idx="114">
                  <c:v>97.712631913087222</c:v>
                </c:pt>
                <c:pt idx="115">
                  <c:v>99.088741157398118</c:v>
                </c:pt>
                <c:pt idx="116">
                  <c:v>109.90562921889652</c:v>
                </c:pt>
                <c:pt idx="117">
                  <c:v>112.54076564191497</c:v>
                </c:pt>
                <c:pt idx="118">
                  <c:v>104.91307877979831</c:v>
                </c:pt>
                <c:pt idx="119">
                  <c:v>100.01747250072549</c:v>
                </c:pt>
                <c:pt idx="120">
                  <c:v>91.138016973576981</c:v>
                </c:pt>
                <c:pt idx="121">
                  <c:v>99.514232901244995</c:v>
                </c:pt>
                <c:pt idx="122">
                  <c:v>108.68714505598207</c:v>
                </c:pt>
                <c:pt idx="123">
                  <c:v>111.53309842589927</c:v>
                </c:pt>
                <c:pt idx="124">
                  <c:v>105.77396876346387</c:v>
                </c:pt>
                <c:pt idx="125">
                  <c:v>95.374609454553251</c:v>
                </c:pt>
                <c:pt idx="126">
                  <c:v>95.421405695866156</c:v>
                </c:pt>
                <c:pt idx="127">
                  <c:v>96.834243543662453</c:v>
                </c:pt>
                <c:pt idx="128">
                  <c:v>103.23500502654473</c:v>
                </c:pt>
                <c:pt idx="129">
                  <c:v>105.8757770290695</c:v>
                </c:pt>
                <c:pt idx="130">
                  <c:v>101.10780080654163</c:v>
                </c:pt>
                <c:pt idx="131">
                  <c:v>96.824058889520728</c:v>
                </c:pt>
                <c:pt idx="132">
                  <c:v>84.356956435997489</c:v>
                </c:pt>
                <c:pt idx="133">
                  <c:v>92.519532151678703</c:v>
                </c:pt>
                <c:pt idx="134">
                  <c:v>97.54762390236472</c:v>
                </c:pt>
                <c:pt idx="135">
                  <c:v>98.508155282080082</c:v>
                </c:pt>
                <c:pt idx="136">
                  <c:v>94.776631725139879</c:v>
                </c:pt>
                <c:pt idx="137">
                  <c:v>87.793884190949925</c:v>
                </c:pt>
                <c:pt idx="138">
                  <c:v>86.19353173863945</c:v>
                </c:pt>
                <c:pt idx="139">
                  <c:v>88.139358062804192</c:v>
                </c:pt>
                <c:pt idx="140">
                  <c:v>93.475666884604749</c:v>
                </c:pt>
                <c:pt idx="141">
                  <c:v>94.462721764887959</c:v>
                </c:pt>
                <c:pt idx="142">
                  <c:v>91.042715423613359</c:v>
                </c:pt>
                <c:pt idx="143">
                  <c:v>87.964022025568696</c:v>
                </c:pt>
              </c:numCache>
            </c:numRef>
          </c:val>
          <c:smooth val="0"/>
        </c:ser>
        <c:ser>
          <c:idx val="7"/>
          <c:order val="7"/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strRef>
              <c:f>'NY East'!$C$3:$EP$3</c:f>
              <c:strCache>
                <c:ptCount val="144"/>
                <c:pt idx="0">
                  <c:v>WD1</c:v>
                </c:pt>
                <c:pt idx="1">
                  <c:v>WD2</c:v>
                </c:pt>
                <c:pt idx="2">
                  <c:v>WD3</c:v>
                </c:pt>
                <c:pt idx="3">
                  <c:v>WD4</c:v>
                </c:pt>
                <c:pt idx="4">
                  <c:v>WD5</c:v>
                </c:pt>
                <c:pt idx="5">
                  <c:v>WD6</c:v>
                </c:pt>
                <c:pt idx="6">
                  <c:v>WE1</c:v>
                </c:pt>
                <c:pt idx="7">
                  <c:v>WE2</c:v>
                </c:pt>
                <c:pt idx="8">
                  <c:v>WE3</c:v>
                </c:pt>
                <c:pt idx="9">
                  <c:v>WE4</c:v>
                </c:pt>
                <c:pt idx="10">
                  <c:v>WE5</c:v>
                </c:pt>
                <c:pt idx="11">
                  <c:v>WE6</c:v>
                </c:pt>
                <c:pt idx="12">
                  <c:v>WD1</c:v>
                </c:pt>
                <c:pt idx="13">
                  <c:v>WD2</c:v>
                </c:pt>
                <c:pt idx="14">
                  <c:v>WD3</c:v>
                </c:pt>
                <c:pt idx="15">
                  <c:v>WD4</c:v>
                </c:pt>
                <c:pt idx="16">
                  <c:v>WD5</c:v>
                </c:pt>
                <c:pt idx="17">
                  <c:v>WD6</c:v>
                </c:pt>
                <c:pt idx="18">
                  <c:v>WE1</c:v>
                </c:pt>
                <c:pt idx="19">
                  <c:v>WE2</c:v>
                </c:pt>
                <c:pt idx="20">
                  <c:v>WE3</c:v>
                </c:pt>
                <c:pt idx="21">
                  <c:v>WE4</c:v>
                </c:pt>
                <c:pt idx="22">
                  <c:v>WE5</c:v>
                </c:pt>
                <c:pt idx="23">
                  <c:v>WE6</c:v>
                </c:pt>
                <c:pt idx="24">
                  <c:v>WD1</c:v>
                </c:pt>
                <c:pt idx="25">
                  <c:v>WD2</c:v>
                </c:pt>
                <c:pt idx="26">
                  <c:v>WD3</c:v>
                </c:pt>
                <c:pt idx="27">
                  <c:v>WD4</c:v>
                </c:pt>
                <c:pt idx="28">
                  <c:v>WD5</c:v>
                </c:pt>
                <c:pt idx="29">
                  <c:v>WD6</c:v>
                </c:pt>
                <c:pt idx="30">
                  <c:v>WE1</c:v>
                </c:pt>
                <c:pt idx="31">
                  <c:v>WE2</c:v>
                </c:pt>
                <c:pt idx="32">
                  <c:v>WE3</c:v>
                </c:pt>
                <c:pt idx="33">
                  <c:v>WE4</c:v>
                </c:pt>
                <c:pt idx="34">
                  <c:v>WE5</c:v>
                </c:pt>
                <c:pt idx="35">
                  <c:v>WE6</c:v>
                </c:pt>
                <c:pt idx="36">
                  <c:v>WD1</c:v>
                </c:pt>
                <c:pt idx="37">
                  <c:v>WD2</c:v>
                </c:pt>
                <c:pt idx="38">
                  <c:v>WD3</c:v>
                </c:pt>
                <c:pt idx="39">
                  <c:v>WD4</c:v>
                </c:pt>
                <c:pt idx="40">
                  <c:v>WD5</c:v>
                </c:pt>
                <c:pt idx="41">
                  <c:v>WD6</c:v>
                </c:pt>
                <c:pt idx="42">
                  <c:v>WE1</c:v>
                </c:pt>
                <c:pt idx="43">
                  <c:v>WE2</c:v>
                </c:pt>
                <c:pt idx="44">
                  <c:v>WE3</c:v>
                </c:pt>
                <c:pt idx="45">
                  <c:v>WE4</c:v>
                </c:pt>
                <c:pt idx="46">
                  <c:v>WE5</c:v>
                </c:pt>
                <c:pt idx="47">
                  <c:v>WE6</c:v>
                </c:pt>
                <c:pt idx="48">
                  <c:v>WD1</c:v>
                </c:pt>
                <c:pt idx="49">
                  <c:v>WD2</c:v>
                </c:pt>
                <c:pt idx="50">
                  <c:v>WD3</c:v>
                </c:pt>
                <c:pt idx="51">
                  <c:v>WD4</c:v>
                </c:pt>
                <c:pt idx="52">
                  <c:v>WD5</c:v>
                </c:pt>
                <c:pt idx="53">
                  <c:v>WD6</c:v>
                </c:pt>
                <c:pt idx="54">
                  <c:v>WE1</c:v>
                </c:pt>
                <c:pt idx="55">
                  <c:v>WE2</c:v>
                </c:pt>
                <c:pt idx="56">
                  <c:v>WE3</c:v>
                </c:pt>
                <c:pt idx="57">
                  <c:v>WE4</c:v>
                </c:pt>
                <c:pt idx="58">
                  <c:v>WE5</c:v>
                </c:pt>
                <c:pt idx="59">
                  <c:v>WE6</c:v>
                </c:pt>
                <c:pt idx="60">
                  <c:v>WD1</c:v>
                </c:pt>
                <c:pt idx="61">
                  <c:v>WD2</c:v>
                </c:pt>
                <c:pt idx="62">
                  <c:v>WD3</c:v>
                </c:pt>
                <c:pt idx="63">
                  <c:v>WD4</c:v>
                </c:pt>
                <c:pt idx="64">
                  <c:v>WD5</c:v>
                </c:pt>
                <c:pt idx="65">
                  <c:v>WD6</c:v>
                </c:pt>
                <c:pt idx="66">
                  <c:v>WE1</c:v>
                </c:pt>
                <c:pt idx="67">
                  <c:v>WE2</c:v>
                </c:pt>
                <c:pt idx="68">
                  <c:v>WE3</c:v>
                </c:pt>
                <c:pt idx="69">
                  <c:v>WE4</c:v>
                </c:pt>
                <c:pt idx="70">
                  <c:v>WE5</c:v>
                </c:pt>
                <c:pt idx="71">
                  <c:v>WE6</c:v>
                </c:pt>
                <c:pt idx="72">
                  <c:v>WD1</c:v>
                </c:pt>
                <c:pt idx="73">
                  <c:v>WD2</c:v>
                </c:pt>
                <c:pt idx="74">
                  <c:v>WD3</c:v>
                </c:pt>
                <c:pt idx="75">
                  <c:v>WD4</c:v>
                </c:pt>
                <c:pt idx="76">
                  <c:v>WD5</c:v>
                </c:pt>
                <c:pt idx="77">
                  <c:v>WD6</c:v>
                </c:pt>
                <c:pt idx="78">
                  <c:v>WE1</c:v>
                </c:pt>
                <c:pt idx="79">
                  <c:v>WE2</c:v>
                </c:pt>
                <c:pt idx="80">
                  <c:v>WE3</c:v>
                </c:pt>
                <c:pt idx="81">
                  <c:v>WE4</c:v>
                </c:pt>
                <c:pt idx="82">
                  <c:v>WE5</c:v>
                </c:pt>
                <c:pt idx="83">
                  <c:v>WE6</c:v>
                </c:pt>
                <c:pt idx="84">
                  <c:v>WD1</c:v>
                </c:pt>
                <c:pt idx="85">
                  <c:v>WD2</c:v>
                </c:pt>
                <c:pt idx="86">
                  <c:v>WD3</c:v>
                </c:pt>
                <c:pt idx="87">
                  <c:v>WD4</c:v>
                </c:pt>
                <c:pt idx="88">
                  <c:v>WD5</c:v>
                </c:pt>
                <c:pt idx="89">
                  <c:v>WD6</c:v>
                </c:pt>
                <c:pt idx="90">
                  <c:v>WE1</c:v>
                </c:pt>
                <c:pt idx="91">
                  <c:v>WE2</c:v>
                </c:pt>
                <c:pt idx="92">
                  <c:v>WE3</c:v>
                </c:pt>
                <c:pt idx="93">
                  <c:v>WE4</c:v>
                </c:pt>
                <c:pt idx="94">
                  <c:v>WE5</c:v>
                </c:pt>
                <c:pt idx="95">
                  <c:v>WE6</c:v>
                </c:pt>
                <c:pt idx="96">
                  <c:v>WD1</c:v>
                </c:pt>
                <c:pt idx="97">
                  <c:v>WD2</c:v>
                </c:pt>
                <c:pt idx="98">
                  <c:v>WD3</c:v>
                </c:pt>
                <c:pt idx="99">
                  <c:v>WD4</c:v>
                </c:pt>
                <c:pt idx="100">
                  <c:v>WD5</c:v>
                </c:pt>
                <c:pt idx="101">
                  <c:v>WD6</c:v>
                </c:pt>
                <c:pt idx="102">
                  <c:v>WE1</c:v>
                </c:pt>
                <c:pt idx="103">
                  <c:v>WE2</c:v>
                </c:pt>
                <c:pt idx="104">
                  <c:v>WE3</c:v>
                </c:pt>
                <c:pt idx="105">
                  <c:v>WE4</c:v>
                </c:pt>
                <c:pt idx="106">
                  <c:v>WE5</c:v>
                </c:pt>
                <c:pt idx="107">
                  <c:v>WE6</c:v>
                </c:pt>
                <c:pt idx="108">
                  <c:v>WD1</c:v>
                </c:pt>
                <c:pt idx="109">
                  <c:v>WD2</c:v>
                </c:pt>
                <c:pt idx="110">
                  <c:v>WD3</c:v>
                </c:pt>
                <c:pt idx="111">
                  <c:v>WD4</c:v>
                </c:pt>
                <c:pt idx="112">
                  <c:v>WD5</c:v>
                </c:pt>
                <c:pt idx="113">
                  <c:v>WD6</c:v>
                </c:pt>
                <c:pt idx="114">
                  <c:v>WE1</c:v>
                </c:pt>
                <c:pt idx="115">
                  <c:v>WE2</c:v>
                </c:pt>
                <c:pt idx="116">
                  <c:v>WE3</c:v>
                </c:pt>
                <c:pt idx="117">
                  <c:v>WE4</c:v>
                </c:pt>
                <c:pt idx="118">
                  <c:v>WE5</c:v>
                </c:pt>
                <c:pt idx="119">
                  <c:v>WE6</c:v>
                </c:pt>
                <c:pt idx="120">
                  <c:v>WD1</c:v>
                </c:pt>
                <c:pt idx="121">
                  <c:v>WD2</c:v>
                </c:pt>
                <c:pt idx="122">
                  <c:v>WD3</c:v>
                </c:pt>
                <c:pt idx="123">
                  <c:v>WD4</c:v>
                </c:pt>
                <c:pt idx="124">
                  <c:v>WD5</c:v>
                </c:pt>
                <c:pt idx="125">
                  <c:v>WD6</c:v>
                </c:pt>
                <c:pt idx="126">
                  <c:v>WE1</c:v>
                </c:pt>
                <c:pt idx="127">
                  <c:v>WE2</c:v>
                </c:pt>
                <c:pt idx="128">
                  <c:v>WE3</c:v>
                </c:pt>
                <c:pt idx="129">
                  <c:v>WE4</c:v>
                </c:pt>
                <c:pt idx="130">
                  <c:v>WE5</c:v>
                </c:pt>
                <c:pt idx="131">
                  <c:v>WE6</c:v>
                </c:pt>
                <c:pt idx="132">
                  <c:v>WD1</c:v>
                </c:pt>
                <c:pt idx="133">
                  <c:v>WD2</c:v>
                </c:pt>
                <c:pt idx="134">
                  <c:v>WD3</c:v>
                </c:pt>
                <c:pt idx="135">
                  <c:v>WD4</c:v>
                </c:pt>
                <c:pt idx="136">
                  <c:v>WD5</c:v>
                </c:pt>
                <c:pt idx="137">
                  <c:v>WD6</c:v>
                </c:pt>
                <c:pt idx="138">
                  <c:v>WE1</c:v>
                </c:pt>
                <c:pt idx="139">
                  <c:v>WE2</c:v>
                </c:pt>
                <c:pt idx="140">
                  <c:v>WE3</c:v>
                </c:pt>
                <c:pt idx="141">
                  <c:v>WE4</c:v>
                </c:pt>
                <c:pt idx="142">
                  <c:v>WE5</c:v>
                </c:pt>
                <c:pt idx="143">
                  <c:v>WE6</c:v>
                </c:pt>
              </c:strCache>
            </c:strRef>
          </c:cat>
          <c:val>
            <c:numRef>
              <c:f>'NY East'!$C$25:$EP$25</c:f>
              <c:numCache>
                <c:formatCode>0.00</c:formatCode>
                <c:ptCount val="144"/>
                <c:pt idx="0">
                  <c:v>79.630718526475107</c:v>
                </c:pt>
                <c:pt idx="1">
                  <c:v>88.128804560777709</c:v>
                </c:pt>
                <c:pt idx="2">
                  <c:v>92.984190239023405</c:v>
                </c:pt>
                <c:pt idx="3">
                  <c:v>94.030263691170177</c:v>
                </c:pt>
                <c:pt idx="4">
                  <c:v>89.952865630833145</c:v>
                </c:pt>
                <c:pt idx="5">
                  <c:v>83.025987762975149</c:v>
                </c:pt>
                <c:pt idx="6">
                  <c:v>84.818775977632797</c:v>
                </c:pt>
                <c:pt idx="7">
                  <c:v>87.121664887232157</c:v>
                </c:pt>
                <c:pt idx="8">
                  <c:v>93.603791558187538</c:v>
                </c:pt>
                <c:pt idx="9">
                  <c:v>93.567371980109613</c:v>
                </c:pt>
                <c:pt idx="10">
                  <c:v>88.976807065206941</c:v>
                </c:pt>
                <c:pt idx="11">
                  <c:v>85.752240680235587</c:v>
                </c:pt>
                <c:pt idx="12">
                  <c:v>78.129871678504401</c:v>
                </c:pt>
                <c:pt idx="13">
                  <c:v>85.91661972931945</c:v>
                </c:pt>
                <c:pt idx="14">
                  <c:v>90.481461235355397</c:v>
                </c:pt>
                <c:pt idx="15">
                  <c:v>91.241387508838187</c:v>
                </c:pt>
                <c:pt idx="16">
                  <c:v>87.369565391220476</c:v>
                </c:pt>
                <c:pt idx="17">
                  <c:v>80.722144924576327</c:v>
                </c:pt>
                <c:pt idx="18">
                  <c:v>82.787846913019266</c:v>
                </c:pt>
                <c:pt idx="19">
                  <c:v>84.374162192261451</c:v>
                </c:pt>
                <c:pt idx="20">
                  <c:v>90.187461091133045</c:v>
                </c:pt>
                <c:pt idx="21">
                  <c:v>90.136414008678855</c:v>
                </c:pt>
                <c:pt idx="22">
                  <c:v>86.344649090018905</c:v>
                </c:pt>
                <c:pt idx="23">
                  <c:v>83.628441876583096</c:v>
                </c:pt>
                <c:pt idx="24">
                  <c:v>74.334874582424945</c:v>
                </c:pt>
                <c:pt idx="25">
                  <c:v>81.082758600030175</c:v>
                </c:pt>
                <c:pt idx="26">
                  <c:v>86.763929773910363</c:v>
                </c:pt>
                <c:pt idx="27">
                  <c:v>89.225257552698395</c:v>
                </c:pt>
                <c:pt idx="28">
                  <c:v>85.679218764769416</c:v>
                </c:pt>
                <c:pt idx="29">
                  <c:v>79.006107644319741</c:v>
                </c:pt>
                <c:pt idx="30">
                  <c:v>82.294899376700116</c:v>
                </c:pt>
                <c:pt idx="31">
                  <c:v>83.31102382304114</c:v>
                </c:pt>
                <c:pt idx="32">
                  <c:v>88.8651452471846</c:v>
                </c:pt>
                <c:pt idx="33">
                  <c:v>89.231966473800085</c:v>
                </c:pt>
                <c:pt idx="34">
                  <c:v>85.867080574878415</c:v>
                </c:pt>
                <c:pt idx="35">
                  <c:v>82.910297862288203</c:v>
                </c:pt>
                <c:pt idx="36">
                  <c:v>81.149144308994309</c:v>
                </c:pt>
                <c:pt idx="37">
                  <c:v>87.404275973043895</c:v>
                </c:pt>
                <c:pt idx="38">
                  <c:v>93.678707315969064</c:v>
                </c:pt>
                <c:pt idx="39">
                  <c:v>96.680216463520821</c:v>
                </c:pt>
                <c:pt idx="40">
                  <c:v>92.309065170657675</c:v>
                </c:pt>
                <c:pt idx="41">
                  <c:v>84.663445842535666</c:v>
                </c:pt>
                <c:pt idx="42">
                  <c:v>83.82345067435287</c:v>
                </c:pt>
                <c:pt idx="43">
                  <c:v>85.186829526263196</c:v>
                </c:pt>
                <c:pt idx="44">
                  <c:v>91.054190867940747</c:v>
                </c:pt>
                <c:pt idx="45">
                  <c:v>92.20202892918563</c:v>
                </c:pt>
                <c:pt idx="46">
                  <c:v>87.789640448290143</c:v>
                </c:pt>
                <c:pt idx="47">
                  <c:v>84.344562173073825</c:v>
                </c:pt>
                <c:pt idx="48">
                  <c:v>86.72649412613228</c:v>
                </c:pt>
                <c:pt idx="49">
                  <c:v>93.517277313713635</c:v>
                </c:pt>
                <c:pt idx="50">
                  <c:v>101.47391768712731</c:v>
                </c:pt>
                <c:pt idx="51">
                  <c:v>104.6961627872596</c:v>
                </c:pt>
                <c:pt idx="52">
                  <c:v>100.22848205648394</c:v>
                </c:pt>
                <c:pt idx="53">
                  <c:v>90.938815105038771</c:v>
                </c:pt>
                <c:pt idx="54">
                  <c:v>91.367627931393457</c:v>
                </c:pt>
                <c:pt idx="55">
                  <c:v>92.826712554698474</c:v>
                </c:pt>
                <c:pt idx="56">
                  <c:v>102.85953981465867</c:v>
                </c:pt>
                <c:pt idx="57">
                  <c:v>103.97040526113292</c:v>
                </c:pt>
                <c:pt idx="58">
                  <c:v>97.590886236097688</c:v>
                </c:pt>
                <c:pt idx="59">
                  <c:v>93.473427489486184</c:v>
                </c:pt>
                <c:pt idx="60">
                  <c:v>90.730088603195895</c:v>
                </c:pt>
                <c:pt idx="61">
                  <c:v>97.372964913620493</c:v>
                </c:pt>
                <c:pt idx="62">
                  <c:v>105.53484358481157</c:v>
                </c:pt>
                <c:pt idx="63">
                  <c:v>107.84693133261744</c:v>
                </c:pt>
                <c:pt idx="64">
                  <c:v>103.7560406591673</c:v>
                </c:pt>
                <c:pt idx="65">
                  <c:v>94.909402233320236</c:v>
                </c:pt>
                <c:pt idx="66">
                  <c:v>92.047602594188547</c:v>
                </c:pt>
                <c:pt idx="67">
                  <c:v>93.00775147727893</c:v>
                </c:pt>
                <c:pt idx="68">
                  <c:v>100.15993406282236</c:v>
                </c:pt>
                <c:pt idx="69">
                  <c:v>102.51999222309126</c:v>
                </c:pt>
                <c:pt idx="70">
                  <c:v>98.5730873973949</c:v>
                </c:pt>
                <c:pt idx="71">
                  <c:v>93.861104795928298</c:v>
                </c:pt>
                <c:pt idx="72">
                  <c:v>93.195876199159315</c:v>
                </c:pt>
                <c:pt idx="73">
                  <c:v>99.496190964835435</c:v>
                </c:pt>
                <c:pt idx="74">
                  <c:v>107.85628409355022</c:v>
                </c:pt>
                <c:pt idx="75">
                  <c:v>109.64282999178189</c:v>
                </c:pt>
                <c:pt idx="76">
                  <c:v>106.12497560812244</c:v>
                </c:pt>
                <c:pt idx="77">
                  <c:v>97.224919129293681</c:v>
                </c:pt>
                <c:pt idx="78">
                  <c:v>89.093291141933676</c:v>
                </c:pt>
                <c:pt idx="79">
                  <c:v>90.416081330770638</c:v>
                </c:pt>
                <c:pt idx="80">
                  <c:v>97.965528883078136</c:v>
                </c:pt>
                <c:pt idx="81">
                  <c:v>100.74210420338945</c:v>
                </c:pt>
                <c:pt idx="82">
                  <c:v>96.913378590903704</c:v>
                </c:pt>
                <c:pt idx="83">
                  <c:v>92.103038912928199</c:v>
                </c:pt>
                <c:pt idx="84">
                  <c:v>94.99445701883792</c:v>
                </c:pt>
                <c:pt idx="85">
                  <c:v>101.09309666667565</c:v>
                </c:pt>
                <c:pt idx="86">
                  <c:v>110.14256305806434</c:v>
                </c:pt>
                <c:pt idx="87">
                  <c:v>112.91275320239833</c:v>
                </c:pt>
                <c:pt idx="88">
                  <c:v>108.62399733463103</c:v>
                </c:pt>
                <c:pt idx="89">
                  <c:v>99.178365610544006</c:v>
                </c:pt>
                <c:pt idx="90">
                  <c:v>93.043524071039243</c:v>
                </c:pt>
                <c:pt idx="91">
                  <c:v>94.606627583771399</c:v>
                </c:pt>
                <c:pt idx="92">
                  <c:v>103.56187458150256</c:v>
                </c:pt>
                <c:pt idx="93">
                  <c:v>106.83536760622869</c:v>
                </c:pt>
                <c:pt idx="94">
                  <c:v>102.46869212052928</c:v>
                </c:pt>
                <c:pt idx="95">
                  <c:v>97.047158691385391</c:v>
                </c:pt>
                <c:pt idx="96">
                  <c:v>95.746951671499673</c:v>
                </c:pt>
                <c:pt idx="97">
                  <c:v>102.26640855681623</c:v>
                </c:pt>
                <c:pt idx="98">
                  <c:v>110.39951826148317</c:v>
                </c:pt>
                <c:pt idx="99">
                  <c:v>113.30700876886439</c:v>
                </c:pt>
                <c:pt idx="100">
                  <c:v>108.59877631693023</c:v>
                </c:pt>
                <c:pt idx="101">
                  <c:v>98.77878961793084</c:v>
                </c:pt>
                <c:pt idx="102">
                  <c:v>98.448148153430566</c:v>
                </c:pt>
                <c:pt idx="103">
                  <c:v>99.21904284344329</c:v>
                </c:pt>
                <c:pt idx="104">
                  <c:v>110.26202744759105</c:v>
                </c:pt>
                <c:pt idx="105">
                  <c:v>113.14576306816451</c:v>
                </c:pt>
                <c:pt idx="106">
                  <c:v>106.78488799615741</c:v>
                </c:pt>
                <c:pt idx="107">
                  <c:v>102.32194280512796</c:v>
                </c:pt>
                <c:pt idx="108">
                  <c:v>89.007396131640263</c:v>
                </c:pt>
                <c:pt idx="109">
                  <c:v>96.85638189837384</c:v>
                </c:pt>
                <c:pt idx="110">
                  <c:v>104.252832460709</c:v>
                </c:pt>
                <c:pt idx="111">
                  <c:v>107.03458014455964</c:v>
                </c:pt>
                <c:pt idx="112">
                  <c:v>102.05731580918773</c:v>
                </c:pt>
                <c:pt idx="113">
                  <c:v>92.48624503572178</c:v>
                </c:pt>
                <c:pt idx="114">
                  <c:v>94.532258589832651</c:v>
                </c:pt>
                <c:pt idx="115">
                  <c:v>95.966412051194283</c:v>
                </c:pt>
                <c:pt idx="116">
                  <c:v>106.65190568425794</c:v>
                </c:pt>
                <c:pt idx="117">
                  <c:v>108.57698321701147</c:v>
                </c:pt>
                <c:pt idx="118">
                  <c:v>101.19369781421447</c:v>
                </c:pt>
                <c:pt idx="119">
                  <c:v>96.661468649076383</c:v>
                </c:pt>
                <c:pt idx="120">
                  <c:v>87.051958618559482</c:v>
                </c:pt>
                <c:pt idx="121">
                  <c:v>93.863796953093669</c:v>
                </c:pt>
                <c:pt idx="122">
                  <c:v>98.993464632819169</c:v>
                </c:pt>
                <c:pt idx="123">
                  <c:v>101.1850548155423</c:v>
                </c:pt>
                <c:pt idx="124">
                  <c:v>97.552656354950642</c:v>
                </c:pt>
                <c:pt idx="125">
                  <c:v>90.142476639073337</c:v>
                </c:pt>
                <c:pt idx="126">
                  <c:v>91.177384552250885</c:v>
                </c:pt>
                <c:pt idx="127">
                  <c:v>92.591695650233703</c:v>
                </c:pt>
                <c:pt idx="128">
                  <c:v>98.428775239336417</c:v>
                </c:pt>
                <c:pt idx="129">
                  <c:v>100.79521859234953</c:v>
                </c:pt>
                <c:pt idx="130">
                  <c:v>96.544470992168158</c:v>
                </c:pt>
                <c:pt idx="131">
                  <c:v>92.463643842983416</c:v>
                </c:pt>
                <c:pt idx="132">
                  <c:v>84.242966818281744</c:v>
                </c:pt>
                <c:pt idx="133">
                  <c:v>92.289931101598853</c:v>
                </c:pt>
                <c:pt idx="134">
                  <c:v>97.320762073088645</c:v>
                </c:pt>
                <c:pt idx="135">
                  <c:v>98.288028850532896</c:v>
                </c:pt>
                <c:pt idx="136">
                  <c:v>94.591964513566737</c:v>
                </c:pt>
                <c:pt idx="137">
                  <c:v>87.666397773335319</c:v>
                </c:pt>
                <c:pt idx="138">
                  <c:v>85.927912870768424</c:v>
                </c:pt>
                <c:pt idx="139">
                  <c:v>87.866493133972568</c:v>
                </c:pt>
                <c:pt idx="140">
                  <c:v>93.151067788663795</c:v>
                </c:pt>
                <c:pt idx="141">
                  <c:v>94.19036622958869</c:v>
                </c:pt>
                <c:pt idx="142">
                  <c:v>90.787976038831431</c:v>
                </c:pt>
                <c:pt idx="143">
                  <c:v>87.698471234930025</c:v>
                </c:pt>
              </c:numCache>
            </c:numRef>
          </c:val>
          <c:smooth val="0"/>
        </c:ser>
        <c:ser>
          <c:idx val="8"/>
          <c:order val="8"/>
          <c:spPr>
            <a:ln w="12700">
              <a:solidFill>
                <a:srgbClr val="00CCFF"/>
              </a:solidFill>
              <a:prstDash val="solid"/>
            </a:ln>
          </c:spPr>
          <c:marker>
            <c:symbol val="none"/>
          </c:marker>
          <c:cat>
            <c:strRef>
              <c:f>'NY East'!$C$3:$EP$3</c:f>
              <c:strCache>
                <c:ptCount val="144"/>
                <c:pt idx="0">
                  <c:v>WD1</c:v>
                </c:pt>
                <c:pt idx="1">
                  <c:v>WD2</c:v>
                </c:pt>
                <c:pt idx="2">
                  <c:v>WD3</c:v>
                </c:pt>
                <c:pt idx="3">
                  <c:v>WD4</c:v>
                </c:pt>
                <c:pt idx="4">
                  <c:v>WD5</c:v>
                </c:pt>
                <c:pt idx="5">
                  <c:v>WD6</c:v>
                </c:pt>
                <c:pt idx="6">
                  <c:v>WE1</c:v>
                </c:pt>
                <c:pt idx="7">
                  <c:v>WE2</c:v>
                </c:pt>
                <c:pt idx="8">
                  <c:v>WE3</c:v>
                </c:pt>
                <c:pt idx="9">
                  <c:v>WE4</c:v>
                </c:pt>
                <c:pt idx="10">
                  <c:v>WE5</c:v>
                </c:pt>
                <c:pt idx="11">
                  <c:v>WE6</c:v>
                </c:pt>
                <c:pt idx="12">
                  <c:v>WD1</c:v>
                </c:pt>
                <c:pt idx="13">
                  <c:v>WD2</c:v>
                </c:pt>
                <c:pt idx="14">
                  <c:v>WD3</c:v>
                </c:pt>
                <c:pt idx="15">
                  <c:v>WD4</c:v>
                </c:pt>
                <c:pt idx="16">
                  <c:v>WD5</c:v>
                </c:pt>
                <c:pt idx="17">
                  <c:v>WD6</c:v>
                </c:pt>
                <c:pt idx="18">
                  <c:v>WE1</c:v>
                </c:pt>
                <c:pt idx="19">
                  <c:v>WE2</c:v>
                </c:pt>
                <c:pt idx="20">
                  <c:v>WE3</c:v>
                </c:pt>
                <c:pt idx="21">
                  <c:v>WE4</c:v>
                </c:pt>
                <c:pt idx="22">
                  <c:v>WE5</c:v>
                </c:pt>
                <c:pt idx="23">
                  <c:v>WE6</c:v>
                </c:pt>
                <c:pt idx="24">
                  <c:v>WD1</c:v>
                </c:pt>
                <c:pt idx="25">
                  <c:v>WD2</c:v>
                </c:pt>
                <c:pt idx="26">
                  <c:v>WD3</c:v>
                </c:pt>
                <c:pt idx="27">
                  <c:v>WD4</c:v>
                </c:pt>
                <c:pt idx="28">
                  <c:v>WD5</c:v>
                </c:pt>
                <c:pt idx="29">
                  <c:v>WD6</c:v>
                </c:pt>
                <c:pt idx="30">
                  <c:v>WE1</c:v>
                </c:pt>
                <c:pt idx="31">
                  <c:v>WE2</c:v>
                </c:pt>
                <c:pt idx="32">
                  <c:v>WE3</c:v>
                </c:pt>
                <c:pt idx="33">
                  <c:v>WE4</c:v>
                </c:pt>
                <c:pt idx="34">
                  <c:v>WE5</c:v>
                </c:pt>
                <c:pt idx="35">
                  <c:v>WE6</c:v>
                </c:pt>
                <c:pt idx="36">
                  <c:v>WD1</c:v>
                </c:pt>
                <c:pt idx="37">
                  <c:v>WD2</c:v>
                </c:pt>
                <c:pt idx="38">
                  <c:v>WD3</c:v>
                </c:pt>
                <c:pt idx="39">
                  <c:v>WD4</c:v>
                </c:pt>
                <c:pt idx="40">
                  <c:v>WD5</c:v>
                </c:pt>
                <c:pt idx="41">
                  <c:v>WD6</c:v>
                </c:pt>
                <c:pt idx="42">
                  <c:v>WE1</c:v>
                </c:pt>
                <c:pt idx="43">
                  <c:v>WE2</c:v>
                </c:pt>
                <c:pt idx="44">
                  <c:v>WE3</c:v>
                </c:pt>
                <c:pt idx="45">
                  <c:v>WE4</c:v>
                </c:pt>
                <c:pt idx="46">
                  <c:v>WE5</c:v>
                </c:pt>
                <c:pt idx="47">
                  <c:v>WE6</c:v>
                </c:pt>
                <c:pt idx="48">
                  <c:v>WD1</c:v>
                </c:pt>
                <c:pt idx="49">
                  <c:v>WD2</c:v>
                </c:pt>
                <c:pt idx="50">
                  <c:v>WD3</c:v>
                </c:pt>
                <c:pt idx="51">
                  <c:v>WD4</c:v>
                </c:pt>
                <c:pt idx="52">
                  <c:v>WD5</c:v>
                </c:pt>
                <c:pt idx="53">
                  <c:v>WD6</c:v>
                </c:pt>
                <c:pt idx="54">
                  <c:v>WE1</c:v>
                </c:pt>
                <c:pt idx="55">
                  <c:v>WE2</c:v>
                </c:pt>
                <c:pt idx="56">
                  <c:v>WE3</c:v>
                </c:pt>
                <c:pt idx="57">
                  <c:v>WE4</c:v>
                </c:pt>
                <c:pt idx="58">
                  <c:v>WE5</c:v>
                </c:pt>
                <c:pt idx="59">
                  <c:v>WE6</c:v>
                </c:pt>
                <c:pt idx="60">
                  <c:v>WD1</c:v>
                </c:pt>
                <c:pt idx="61">
                  <c:v>WD2</c:v>
                </c:pt>
                <c:pt idx="62">
                  <c:v>WD3</c:v>
                </c:pt>
                <c:pt idx="63">
                  <c:v>WD4</c:v>
                </c:pt>
                <c:pt idx="64">
                  <c:v>WD5</c:v>
                </c:pt>
                <c:pt idx="65">
                  <c:v>WD6</c:v>
                </c:pt>
                <c:pt idx="66">
                  <c:v>WE1</c:v>
                </c:pt>
                <c:pt idx="67">
                  <c:v>WE2</c:v>
                </c:pt>
                <c:pt idx="68">
                  <c:v>WE3</c:v>
                </c:pt>
                <c:pt idx="69">
                  <c:v>WE4</c:v>
                </c:pt>
                <c:pt idx="70">
                  <c:v>WE5</c:v>
                </c:pt>
                <c:pt idx="71">
                  <c:v>WE6</c:v>
                </c:pt>
                <c:pt idx="72">
                  <c:v>WD1</c:v>
                </c:pt>
                <c:pt idx="73">
                  <c:v>WD2</c:v>
                </c:pt>
                <c:pt idx="74">
                  <c:v>WD3</c:v>
                </c:pt>
                <c:pt idx="75">
                  <c:v>WD4</c:v>
                </c:pt>
                <c:pt idx="76">
                  <c:v>WD5</c:v>
                </c:pt>
                <c:pt idx="77">
                  <c:v>WD6</c:v>
                </c:pt>
                <c:pt idx="78">
                  <c:v>WE1</c:v>
                </c:pt>
                <c:pt idx="79">
                  <c:v>WE2</c:v>
                </c:pt>
                <c:pt idx="80">
                  <c:v>WE3</c:v>
                </c:pt>
                <c:pt idx="81">
                  <c:v>WE4</c:v>
                </c:pt>
                <c:pt idx="82">
                  <c:v>WE5</c:v>
                </c:pt>
                <c:pt idx="83">
                  <c:v>WE6</c:v>
                </c:pt>
                <c:pt idx="84">
                  <c:v>WD1</c:v>
                </c:pt>
                <c:pt idx="85">
                  <c:v>WD2</c:v>
                </c:pt>
                <c:pt idx="86">
                  <c:v>WD3</c:v>
                </c:pt>
                <c:pt idx="87">
                  <c:v>WD4</c:v>
                </c:pt>
                <c:pt idx="88">
                  <c:v>WD5</c:v>
                </c:pt>
                <c:pt idx="89">
                  <c:v>WD6</c:v>
                </c:pt>
                <c:pt idx="90">
                  <c:v>WE1</c:v>
                </c:pt>
                <c:pt idx="91">
                  <c:v>WE2</c:v>
                </c:pt>
                <c:pt idx="92">
                  <c:v>WE3</c:v>
                </c:pt>
                <c:pt idx="93">
                  <c:v>WE4</c:v>
                </c:pt>
                <c:pt idx="94">
                  <c:v>WE5</c:v>
                </c:pt>
                <c:pt idx="95">
                  <c:v>WE6</c:v>
                </c:pt>
                <c:pt idx="96">
                  <c:v>WD1</c:v>
                </c:pt>
                <c:pt idx="97">
                  <c:v>WD2</c:v>
                </c:pt>
                <c:pt idx="98">
                  <c:v>WD3</c:v>
                </c:pt>
                <c:pt idx="99">
                  <c:v>WD4</c:v>
                </c:pt>
                <c:pt idx="100">
                  <c:v>WD5</c:v>
                </c:pt>
                <c:pt idx="101">
                  <c:v>WD6</c:v>
                </c:pt>
                <c:pt idx="102">
                  <c:v>WE1</c:v>
                </c:pt>
                <c:pt idx="103">
                  <c:v>WE2</c:v>
                </c:pt>
                <c:pt idx="104">
                  <c:v>WE3</c:v>
                </c:pt>
                <c:pt idx="105">
                  <c:v>WE4</c:v>
                </c:pt>
                <c:pt idx="106">
                  <c:v>WE5</c:v>
                </c:pt>
                <c:pt idx="107">
                  <c:v>WE6</c:v>
                </c:pt>
                <c:pt idx="108">
                  <c:v>WD1</c:v>
                </c:pt>
                <c:pt idx="109">
                  <c:v>WD2</c:v>
                </c:pt>
                <c:pt idx="110">
                  <c:v>WD3</c:v>
                </c:pt>
                <c:pt idx="111">
                  <c:v>WD4</c:v>
                </c:pt>
                <c:pt idx="112">
                  <c:v>WD5</c:v>
                </c:pt>
                <c:pt idx="113">
                  <c:v>WD6</c:v>
                </c:pt>
                <c:pt idx="114">
                  <c:v>WE1</c:v>
                </c:pt>
                <c:pt idx="115">
                  <c:v>WE2</c:v>
                </c:pt>
                <c:pt idx="116">
                  <c:v>WE3</c:v>
                </c:pt>
                <c:pt idx="117">
                  <c:v>WE4</c:v>
                </c:pt>
                <c:pt idx="118">
                  <c:v>WE5</c:v>
                </c:pt>
                <c:pt idx="119">
                  <c:v>WE6</c:v>
                </c:pt>
                <c:pt idx="120">
                  <c:v>WD1</c:v>
                </c:pt>
                <c:pt idx="121">
                  <c:v>WD2</c:v>
                </c:pt>
                <c:pt idx="122">
                  <c:v>WD3</c:v>
                </c:pt>
                <c:pt idx="123">
                  <c:v>WD4</c:v>
                </c:pt>
                <c:pt idx="124">
                  <c:v>WD5</c:v>
                </c:pt>
                <c:pt idx="125">
                  <c:v>WD6</c:v>
                </c:pt>
                <c:pt idx="126">
                  <c:v>WE1</c:v>
                </c:pt>
                <c:pt idx="127">
                  <c:v>WE2</c:v>
                </c:pt>
                <c:pt idx="128">
                  <c:v>WE3</c:v>
                </c:pt>
                <c:pt idx="129">
                  <c:v>WE4</c:v>
                </c:pt>
                <c:pt idx="130">
                  <c:v>WE5</c:v>
                </c:pt>
                <c:pt idx="131">
                  <c:v>WE6</c:v>
                </c:pt>
                <c:pt idx="132">
                  <c:v>WD1</c:v>
                </c:pt>
                <c:pt idx="133">
                  <c:v>WD2</c:v>
                </c:pt>
                <c:pt idx="134">
                  <c:v>WD3</c:v>
                </c:pt>
                <c:pt idx="135">
                  <c:v>WD4</c:v>
                </c:pt>
                <c:pt idx="136">
                  <c:v>WD5</c:v>
                </c:pt>
                <c:pt idx="137">
                  <c:v>WD6</c:v>
                </c:pt>
                <c:pt idx="138">
                  <c:v>WE1</c:v>
                </c:pt>
                <c:pt idx="139">
                  <c:v>WE2</c:v>
                </c:pt>
                <c:pt idx="140">
                  <c:v>WE3</c:v>
                </c:pt>
                <c:pt idx="141">
                  <c:v>WE4</c:v>
                </c:pt>
                <c:pt idx="142">
                  <c:v>WE5</c:v>
                </c:pt>
                <c:pt idx="143">
                  <c:v>WE6</c:v>
                </c:pt>
              </c:strCache>
            </c:strRef>
          </c:cat>
          <c:val>
            <c:numRef>
              <c:f>'NY East'!$C$26:$EP$26</c:f>
              <c:numCache>
                <c:formatCode>0.00</c:formatCode>
                <c:ptCount val="144"/>
                <c:pt idx="0">
                  <c:v>79.9995894135605</c:v>
                </c:pt>
                <c:pt idx="1">
                  <c:v>88.489534683437242</c:v>
                </c:pt>
                <c:pt idx="2">
                  <c:v>94.012185783917886</c:v>
                </c:pt>
                <c:pt idx="3">
                  <c:v>95.165550839959863</c:v>
                </c:pt>
                <c:pt idx="4">
                  <c:v>91.104354292238753</c:v>
                </c:pt>
                <c:pt idx="5">
                  <c:v>83.466805671691233</c:v>
                </c:pt>
                <c:pt idx="6">
                  <c:v>85.126144191965537</c:v>
                </c:pt>
                <c:pt idx="7">
                  <c:v>87.442520640953262</c:v>
                </c:pt>
                <c:pt idx="8">
                  <c:v>94.402256351281977</c:v>
                </c:pt>
                <c:pt idx="9">
                  <c:v>94.664310259443482</c:v>
                </c:pt>
                <c:pt idx="10">
                  <c:v>89.499456267655944</c:v>
                </c:pt>
                <c:pt idx="11">
                  <c:v>86.063916555513913</c:v>
                </c:pt>
                <c:pt idx="12">
                  <c:v>78.713779416709457</c:v>
                </c:pt>
                <c:pt idx="13">
                  <c:v>86.678131468697387</c:v>
                </c:pt>
                <c:pt idx="14">
                  <c:v>91.9528913005948</c:v>
                </c:pt>
                <c:pt idx="15">
                  <c:v>92.850940429354182</c:v>
                </c:pt>
                <c:pt idx="16">
                  <c:v>88.910069098812002</c:v>
                </c:pt>
                <c:pt idx="17">
                  <c:v>81.405379462780587</c:v>
                </c:pt>
                <c:pt idx="18">
                  <c:v>84.197897246371397</c:v>
                </c:pt>
                <c:pt idx="19">
                  <c:v>85.782987399519968</c:v>
                </c:pt>
                <c:pt idx="20">
                  <c:v>92.337550074760188</c:v>
                </c:pt>
                <c:pt idx="21">
                  <c:v>92.431045386050641</c:v>
                </c:pt>
                <c:pt idx="22">
                  <c:v>87.915366071637663</c:v>
                </c:pt>
                <c:pt idx="23">
                  <c:v>85.028526729838191</c:v>
                </c:pt>
                <c:pt idx="24">
                  <c:v>74.834848492626364</c:v>
                </c:pt>
                <c:pt idx="25">
                  <c:v>81.68912465136259</c:v>
                </c:pt>
                <c:pt idx="26">
                  <c:v>88.080113600325944</c:v>
                </c:pt>
                <c:pt idx="27">
                  <c:v>90.728500749787102</c:v>
                </c:pt>
                <c:pt idx="28">
                  <c:v>87.102433562936653</c:v>
                </c:pt>
                <c:pt idx="29">
                  <c:v>79.594694070794347</c:v>
                </c:pt>
                <c:pt idx="30">
                  <c:v>81.685960441002337</c:v>
                </c:pt>
                <c:pt idx="31">
                  <c:v>82.730259635781223</c:v>
                </c:pt>
                <c:pt idx="32">
                  <c:v>88.627057685513904</c:v>
                </c:pt>
                <c:pt idx="33">
                  <c:v>89.50404407472675</c:v>
                </c:pt>
                <c:pt idx="34">
                  <c:v>85.567990794481616</c:v>
                </c:pt>
                <c:pt idx="35">
                  <c:v>82.299437017421369</c:v>
                </c:pt>
                <c:pt idx="36">
                  <c:v>81.500984259042326</c:v>
                </c:pt>
                <c:pt idx="37">
                  <c:v>87.725728643477908</c:v>
                </c:pt>
                <c:pt idx="38">
                  <c:v>94.684856879459403</c:v>
                </c:pt>
                <c:pt idx="39">
                  <c:v>97.939653116511437</c:v>
                </c:pt>
                <c:pt idx="40">
                  <c:v>93.466252419754255</c:v>
                </c:pt>
                <c:pt idx="41">
                  <c:v>85.096483637431177</c:v>
                </c:pt>
                <c:pt idx="42">
                  <c:v>85.243171458352123</c:v>
                </c:pt>
                <c:pt idx="43">
                  <c:v>86.624177260916113</c:v>
                </c:pt>
                <c:pt idx="44">
                  <c:v>93.277740638617615</c:v>
                </c:pt>
                <c:pt idx="45">
                  <c:v>94.65543064312817</c:v>
                </c:pt>
                <c:pt idx="46">
                  <c:v>89.30621462208839</c:v>
                </c:pt>
                <c:pt idx="47">
                  <c:v>85.76176569136301</c:v>
                </c:pt>
                <c:pt idx="48">
                  <c:v>87.123617427898793</c:v>
                </c:pt>
                <c:pt idx="49">
                  <c:v>93.902936724080959</c:v>
                </c:pt>
                <c:pt idx="50">
                  <c:v>102.55099882127071</c:v>
                </c:pt>
                <c:pt idx="51">
                  <c:v>106.03315860910388</c:v>
                </c:pt>
                <c:pt idx="52">
                  <c:v>101.45160046839148</c:v>
                </c:pt>
                <c:pt idx="53">
                  <c:v>91.461513318637898</c:v>
                </c:pt>
                <c:pt idx="54">
                  <c:v>90.983254723191919</c:v>
                </c:pt>
                <c:pt idx="55">
                  <c:v>92.481555596712482</c:v>
                </c:pt>
                <c:pt idx="56">
                  <c:v>102.46419222328656</c:v>
                </c:pt>
                <c:pt idx="57">
                  <c:v>104.28194445092446</c:v>
                </c:pt>
                <c:pt idx="58">
                  <c:v>97.697947442281588</c:v>
                </c:pt>
                <c:pt idx="59">
                  <c:v>93.141203757114809</c:v>
                </c:pt>
                <c:pt idx="60">
                  <c:v>91.356982194782347</c:v>
                </c:pt>
                <c:pt idx="61">
                  <c:v>98.162103946187941</c:v>
                </c:pt>
                <c:pt idx="62">
                  <c:v>106.97685775521443</c:v>
                </c:pt>
                <c:pt idx="63">
                  <c:v>109.52657862519573</c:v>
                </c:pt>
                <c:pt idx="64">
                  <c:v>105.31176690454399</c:v>
                </c:pt>
                <c:pt idx="65">
                  <c:v>95.701698665447651</c:v>
                </c:pt>
                <c:pt idx="66">
                  <c:v>92.813522814138125</c:v>
                </c:pt>
                <c:pt idx="67">
                  <c:v>93.831229054199255</c:v>
                </c:pt>
                <c:pt idx="68">
                  <c:v>101.70021499433429</c:v>
                </c:pt>
                <c:pt idx="69">
                  <c:v>104.33070779933348</c:v>
                </c:pt>
                <c:pt idx="70">
                  <c:v>99.804407935462748</c:v>
                </c:pt>
                <c:pt idx="71">
                  <c:v>94.746775513847169</c:v>
                </c:pt>
                <c:pt idx="72">
                  <c:v>93.946390014597014</c:v>
                </c:pt>
                <c:pt idx="73">
                  <c:v>100.31827049141762</c:v>
                </c:pt>
                <c:pt idx="74">
                  <c:v>109.24137288615607</c:v>
                </c:pt>
                <c:pt idx="75">
                  <c:v>111.22339435584007</c:v>
                </c:pt>
                <c:pt idx="76">
                  <c:v>107.65113508119029</c:v>
                </c:pt>
                <c:pt idx="77">
                  <c:v>98.122122056374621</c:v>
                </c:pt>
                <c:pt idx="78">
                  <c:v>89.761210546978262</c:v>
                </c:pt>
                <c:pt idx="79">
                  <c:v>91.144177898955945</c:v>
                </c:pt>
                <c:pt idx="80">
                  <c:v>99.238635706103764</c:v>
                </c:pt>
                <c:pt idx="81">
                  <c:v>102.30142483367723</c:v>
                </c:pt>
                <c:pt idx="82">
                  <c:v>97.947829797981925</c:v>
                </c:pt>
                <c:pt idx="83">
                  <c:v>92.811287962278399</c:v>
                </c:pt>
                <c:pt idx="84">
                  <c:v>95.700980201050456</c:v>
                </c:pt>
                <c:pt idx="85">
                  <c:v>101.88220663748972</c:v>
                </c:pt>
                <c:pt idx="86">
                  <c:v>111.56243230587305</c:v>
                </c:pt>
                <c:pt idx="87">
                  <c:v>114.54019718714406</c:v>
                </c:pt>
                <c:pt idx="88">
                  <c:v>110.15812839400952</c:v>
                </c:pt>
                <c:pt idx="89">
                  <c:v>100.04032643579644</c:v>
                </c:pt>
                <c:pt idx="90">
                  <c:v>93.692642103061274</c:v>
                </c:pt>
                <c:pt idx="91">
                  <c:v>95.291006862255841</c:v>
                </c:pt>
                <c:pt idx="92">
                  <c:v>104.76164093959912</c:v>
                </c:pt>
                <c:pt idx="93">
                  <c:v>108.3575834470635</c:v>
                </c:pt>
                <c:pt idx="94">
                  <c:v>103.48020871156987</c:v>
                </c:pt>
                <c:pt idx="95">
                  <c:v>97.786411185039952</c:v>
                </c:pt>
                <c:pt idx="96">
                  <c:v>96.276814451206647</c:v>
                </c:pt>
                <c:pt idx="97">
                  <c:v>102.77425619549932</c:v>
                </c:pt>
                <c:pt idx="98">
                  <c:v>111.60004327058891</c:v>
                </c:pt>
                <c:pt idx="99">
                  <c:v>114.80127317562038</c:v>
                </c:pt>
                <c:pt idx="100">
                  <c:v>109.97306868554148</c:v>
                </c:pt>
                <c:pt idx="101">
                  <c:v>99.456791936194989</c:v>
                </c:pt>
                <c:pt idx="102">
                  <c:v>100.4164498568359</c:v>
                </c:pt>
                <c:pt idx="103">
                  <c:v>101.18353781952305</c:v>
                </c:pt>
                <c:pt idx="104">
                  <c:v>113.94052748853298</c:v>
                </c:pt>
                <c:pt idx="105">
                  <c:v>116.72108073824791</c:v>
                </c:pt>
                <c:pt idx="106">
                  <c:v>108.86645186807765</c:v>
                </c:pt>
                <c:pt idx="107">
                  <c:v>104.30614151780313</c:v>
                </c:pt>
                <c:pt idx="108">
                  <c:v>89.386796889645723</c:v>
                </c:pt>
                <c:pt idx="109">
                  <c:v>97.252473619673097</c:v>
                </c:pt>
                <c:pt idx="110">
                  <c:v>105.34518475468333</c:v>
                </c:pt>
                <c:pt idx="111">
                  <c:v>108.40477601888162</c:v>
                </c:pt>
                <c:pt idx="112">
                  <c:v>103.31851145854259</c:v>
                </c:pt>
                <c:pt idx="113">
                  <c:v>92.979384537719525</c:v>
                </c:pt>
                <c:pt idx="114">
                  <c:v>94.900504729682979</c:v>
                </c:pt>
                <c:pt idx="115">
                  <c:v>96.342635713256314</c:v>
                </c:pt>
                <c:pt idx="116">
                  <c:v>107.52479332253495</c:v>
                </c:pt>
                <c:pt idx="117">
                  <c:v>109.92925356909309</c:v>
                </c:pt>
                <c:pt idx="118">
                  <c:v>101.8792424463883</c:v>
                </c:pt>
                <c:pt idx="119">
                  <c:v>97.063388455095478</c:v>
                </c:pt>
                <c:pt idx="120">
                  <c:v>87.489165196824842</c:v>
                </c:pt>
                <c:pt idx="121">
                  <c:v>94.337068965322246</c:v>
                </c:pt>
                <c:pt idx="122">
                  <c:v>100.15145507389273</c:v>
                </c:pt>
                <c:pt idx="123">
                  <c:v>102.57601786255906</c:v>
                </c:pt>
                <c:pt idx="124">
                  <c:v>98.857838893101075</c:v>
                </c:pt>
                <c:pt idx="125">
                  <c:v>90.669009474692047</c:v>
                </c:pt>
                <c:pt idx="126">
                  <c:v>89.887236408531962</c:v>
                </c:pt>
                <c:pt idx="127">
                  <c:v>91.287251070108553</c:v>
                </c:pt>
                <c:pt idx="128">
                  <c:v>97.369101053705734</c:v>
                </c:pt>
                <c:pt idx="129">
                  <c:v>100.38306542057441</c:v>
                </c:pt>
                <c:pt idx="130">
                  <c:v>95.568812204011067</c:v>
                </c:pt>
                <c:pt idx="131">
                  <c:v>91.169629066779336</c:v>
                </c:pt>
                <c:pt idx="132">
                  <c:v>84.591565668779808</c:v>
                </c:pt>
                <c:pt idx="133">
                  <c:v>92.611752919651636</c:v>
                </c:pt>
                <c:pt idx="134">
                  <c:v>98.312476412897155</c:v>
                </c:pt>
                <c:pt idx="135">
                  <c:v>99.397048766260667</c:v>
                </c:pt>
                <c:pt idx="136">
                  <c:v>95.757128989467162</c:v>
                </c:pt>
                <c:pt idx="137">
                  <c:v>88.088546060697141</c:v>
                </c:pt>
                <c:pt idx="138">
                  <c:v>87.774864015717981</c:v>
                </c:pt>
                <c:pt idx="139">
                  <c:v>89.760761331367334</c:v>
                </c:pt>
                <c:pt idx="140">
                  <c:v>95.824276270373531</c:v>
                </c:pt>
                <c:pt idx="141">
                  <c:v>96.867860044253646</c:v>
                </c:pt>
                <c:pt idx="142">
                  <c:v>92.809417294212636</c:v>
                </c:pt>
                <c:pt idx="143">
                  <c:v>89.544081155289206</c:v>
                </c:pt>
              </c:numCache>
            </c:numRef>
          </c:val>
          <c:smooth val="0"/>
        </c:ser>
        <c:ser>
          <c:idx val="9"/>
          <c:order val="9"/>
          <c:spPr>
            <a:ln w="12700">
              <a:solidFill>
                <a:srgbClr val="CCFFFF"/>
              </a:solidFill>
              <a:prstDash val="solid"/>
            </a:ln>
          </c:spPr>
          <c:marker>
            <c:symbol val="none"/>
          </c:marker>
          <c:cat>
            <c:strRef>
              <c:f>'NY East'!$C$3:$EP$3</c:f>
              <c:strCache>
                <c:ptCount val="144"/>
                <c:pt idx="0">
                  <c:v>WD1</c:v>
                </c:pt>
                <c:pt idx="1">
                  <c:v>WD2</c:v>
                </c:pt>
                <c:pt idx="2">
                  <c:v>WD3</c:v>
                </c:pt>
                <c:pt idx="3">
                  <c:v>WD4</c:v>
                </c:pt>
                <c:pt idx="4">
                  <c:v>WD5</c:v>
                </c:pt>
                <c:pt idx="5">
                  <c:v>WD6</c:v>
                </c:pt>
                <c:pt idx="6">
                  <c:v>WE1</c:v>
                </c:pt>
                <c:pt idx="7">
                  <c:v>WE2</c:v>
                </c:pt>
                <c:pt idx="8">
                  <c:v>WE3</c:v>
                </c:pt>
                <c:pt idx="9">
                  <c:v>WE4</c:v>
                </c:pt>
                <c:pt idx="10">
                  <c:v>WE5</c:v>
                </c:pt>
                <c:pt idx="11">
                  <c:v>WE6</c:v>
                </c:pt>
                <c:pt idx="12">
                  <c:v>WD1</c:v>
                </c:pt>
                <c:pt idx="13">
                  <c:v>WD2</c:v>
                </c:pt>
                <c:pt idx="14">
                  <c:v>WD3</c:v>
                </c:pt>
                <c:pt idx="15">
                  <c:v>WD4</c:v>
                </c:pt>
                <c:pt idx="16">
                  <c:v>WD5</c:v>
                </c:pt>
                <c:pt idx="17">
                  <c:v>WD6</c:v>
                </c:pt>
                <c:pt idx="18">
                  <c:v>WE1</c:v>
                </c:pt>
                <c:pt idx="19">
                  <c:v>WE2</c:v>
                </c:pt>
                <c:pt idx="20">
                  <c:v>WE3</c:v>
                </c:pt>
                <c:pt idx="21">
                  <c:v>WE4</c:v>
                </c:pt>
                <c:pt idx="22">
                  <c:v>WE5</c:v>
                </c:pt>
                <c:pt idx="23">
                  <c:v>WE6</c:v>
                </c:pt>
                <c:pt idx="24">
                  <c:v>WD1</c:v>
                </c:pt>
                <c:pt idx="25">
                  <c:v>WD2</c:v>
                </c:pt>
                <c:pt idx="26">
                  <c:v>WD3</c:v>
                </c:pt>
                <c:pt idx="27">
                  <c:v>WD4</c:v>
                </c:pt>
                <c:pt idx="28">
                  <c:v>WD5</c:v>
                </c:pt>
                <c:pt idx="29">
                  <c:v>WD6</c:v>
                </c:pt>
                <c:pt idx="30">
                  <c:v>WE1</c:v>
                </c:pt>
                <c:pt idx="31">
                  <c:v>WE2</c:v>
                </c:pt>
                <c:pt idx="32">
                  <c:v>WE3</c:v>
                </c:pt>
                <c:pt idx="33">
                  <c:v>WE4</c:v>
                </c:pt>
                <c:pt idx="34">
                  <c:v>WE5</c:v>
                </c:pt>
                <c:pt idx="35">
                  <c:v>WE6</c:v>
                </c:pt>
                <c:pt idx="36">
                  <c:v>WD1</c:v>
                </c:pt>
                <c:pt idx="37">
                  <c:v>WD2</c:v>
                </c:pt>
                <c:pt idx="38">
                  <c:v>WD3</c:v>
                </c:pt>
                <c:pt idx="39">
                  <c:v>WD4</c:v>
                </c:pt>
                <c:pt idx="40">
                  <c:v>WD5</c:v>
                </c:pt>
                <c:pt idx="41">
                  <c:v>WD6</c:v>
                </c:pt>
                <c:pt idx="42">
                  <c:v>WE1</c:v>
                </c:pt>
                <c:pt idx="43">
                  <c:v>WE2</c:v>
                </c:pt>
                <c:pt idx="44">
                  <c:v>WE3</c:v>
                </c:pt>
                <c:pt idx="45">
                  <c:v>WE4</c:v>
                </c:pt>
                <c:pt idx="46">
                  <c:v>WE5</c:v>
                </c:pt>
                <c:pt idx="47">
                  <c:v>WE6</c:v>
                </c:pt>
                <c:pt idx="48">
                  <c:v>WD1</c:v>
                </c:pt>
                <c:pt idx="49">
                  <c:v>WD2</c:v>
                </c:pt>
                <c:pt idx="50">
                  <c:v>WD3</c:v>
                </c:pt>
                <c:pt idx="51">
                  <c:v>WD4</c:v>
                </c:pt>
                <c:pt idx="52">
                  <c:v>WD5</c:v>
                </c:pt>
                <c:pt idx="53">
                  <c:v>WD6</c:v>
                </c:pt>
                <c:pt idx="54">
                  <c:v>WE1</c:v>
                </c:pt>
                <c:pt idx="55">
                  <c:v>WE2</c:v>
                </c:pt>
                <c:pt idx="56">
                  <c:v>WE3</c:v>
                </c:pt>
                <c:pt idx="57">
                  <c:v>WE4</c:v>
                </c:pt>
                <c:pt idx="58">
                  <c:v>WE5</c:v>
                </c:pt>
                <c:pt idx="59">
                  <c:v>WE6</c:v>
                </c:pt>
                <c:pt idx="60">
                  <c:v>WD1</c:v>
                </c:pt>
                <c:pt idx="61">
                  <c:v>WD2</c:v>
                </c:pt>
                <c:pt idx="62">
                  <c:v>WD3</c:v>
                </c:pt>
                <c:pt idx="63">
                  <c:v>WD4</c:v>
                </c:pt>
                <c:pt idx="64">
                  <c:v>WD5</c:v>
                </c:pt>
                <c:pt idx="65">
                  <c:v>WD6</c:v>
                </c:pt>
                <c:pt idx="66">
                  <c:v>WE1</c:v>
                </c:pt>
                <c:pt idx="67">
                  <c:v>WE2</c:v>
                </c:pt>
                <c:pt idx="68">
                  <c:v>WE3</c:v>
                </c:pt>
                <c:pt idx="69">
                  <c:v>WE4</c:v>
                </c:pt>
                <c:pt idx="70">
                  <c:v>WE5</c:v>
                </c:pt>
                <c:pt idx="71">
                  <c:v>WE6</c:v>
                </c:pt>
                <c:pt idx="72">
                  <c:v>WD1</c:v>
                </c:pt>
                <c:pt idx="73">
                  <c:v>WD2</c:v>
                </c:pt>
                <c:pt idx="74">
                  <c:v>WD3</c:v>
                </c:pt>
                <c:pt idx="75">
                  <c:v>WD4</c:v>
                </c:pt>
                <c:pt idx="76">
                  <c:v>WD5</c:v>
                </c:pt>
                <c:pt idx="77">
                  <c:v>WD6</c:v>
                </c:pt>
                <c:pt idx="78">
                  <c:v>WE1</c:v>
                </c:pt>
                <c:pt idx="79">
                  <c:v>WE2</c:v>
                </c:pt>
                <c:pt idx="80">
                  <c:v>WE3</c:v>
                </c:pt>
                <c:pt idx="81">
                  <c:v>WE4</c:v>
                </c:pt>
                <c:pt idx="82">
                  <c:v>WE5</c:v>
                </c:pt>
                <c:pt idx="83">
                  <c:v>WE6</c:v>
                </c:pt>
                <c:pt idx="84">
                  <c:v>WD1</c:v>
                </c:pt>
                <c:pt idx="85">
                  <c:v>WD2</c:v>
                </c:pt>
                <c:pt idx="86">
                  <c:v>WD3</c:v>
                </c:pt>
                <c:pt idx="87">
                  <c:v>WD4</c:v>
                </c:pt>
                <c:pt idx="88">
                  <c:v>WD5</c:v>
                </c:pt>
                <c:pt idx="89">
                  <c:v>WD6</c:v>
                </c:pt>
                <c:pt idx="90">
                  <c:v>WE1</c:v>
                </c:pt>
                <c:pt idx="91">
                  <c:v>WE2</c:v>
                </c:pt>
                <c:pt idx="92">
                  <c:v>WE3</c:v>
                </c:pt>
                <c:pt idx="93">
                  <c:v>WE4</c:v>
                </c:pt>
                <c:pt idx="94">
                  <c:v>WE5</c:v>
                </c:pt>
                <c:pt idx="95">
                  <c:v>WE6</c:v>
                </c:pt>
                <c:pt idx="96">
                  <c:v>WD1</c:v>
                </c:pt>
                <c:pt idx="97">
                  <c:v>WD2</c:v>
                </c:pt>
                <c:pt idx="98">
                  <c:v>WD3</c:v>
                </c:pt>
                <c:pt idx="99">
                  <c:v>WD4</c:v>
                </c:pt>
                <c:pt idx="100">
                  <c:v>WD5</c:v>
                </c:pt>
                <c:pt idx="101">
                  <c:v>WD6</c:v>
                </c:pt>
                <c:pt idx="102">
                  <c:v>WE1</c:v>
                </c:pt>
                <c:pt idx="103">
                  <c:v>WE2</c:v>
                </c:pt>
                <c:pt idx="104">
                  <c:v>WE3</c:v>
                </c:pt>
                <c:pt idx="105">
                  <c:v>WE4</c:v>
                </c:pt>
                <c:pt idx="106">
                  <c:v>WE5</c:v>
                </c:pt>
                <c:pt idx="107">
                  <c:v>WE6</c:v>
                </c:pt>
                <c:pt idx="108">
                  <c:v>WD1</c:v>
                </c:pt>
                <c:pt idx="109">
                  <c:v>WD2</c:v>
                </c:pt>
                <c:pt idx="110">
                  <c:v>WD3</c:v>
                </c:pt>
                <c:pt idx="111">
                  <c:v>WD4</c:v>
                </c:pt>
                <c:pt idx="112">
                  <c:v>WD5</c:v>
                </c:pt>
                <c:pt idx="113">
                  <c:v>WD6</c:v>
                </c:pt>
                <c:pt idx="114">
                  <c:v>WE1</c:v>
                </c:pt>
                <c:pt idx="115">
                  <c:v>WE2</c:v>
                </c:pt>
                <c:pt idx="116">
                  <c:v>WE3</c:v>
                </c:pt>
                <c:pt idx="117">
                  <c:v>WE4</c:v>
                </c:pt>
                <c:pt idx="118">
                  <c:v>WE5</c:v>
                </c:pt>
                <c:pt idx="119">
                  <c:v>WE6</c:v>
                </c:pt>
                <c:pt idx="120">
                  <c:v>WD1</c:v>
                </c:pt>
                <c:pt idx="121">
                  <c:v>WD2</c:v>
                </c:pt>
                <c:pt idx="122">
                  <c:v>WD3</c:v>
                </c:pt>
                <c:pt idx="123">
                  <c:v>WD4</c:v>
                </c:pt>
                <c:pt idx="124">
                  <c:v>WD5</c:v>
                </c:pt>
                <c:pt idx="125">
                  <c:v>WD6</c:v>
                </c:pt>
                <c:pt idx="126">
                  <c:v>WE1</c:v>
                </c:pt>
                <c:pt idx="127">
                  <c:v>WE2</c:v>
                </c:pt>
                <c:pt idx="128">
                  <c:v>WE3</c:v>
                </c:pt>
                <c:pt idx="129">
                  <c:v>WE4</c:v>
                </c:pt>
                <c:pt idx="130">
                  <c:v>WE5</c:v>
                </c:pt>
                <c:pt idx="131">
                  <c:v>WE6</c:v>
                </c:pt>
                <c:pt idx="132">
                  <c:v>WD1</c:v>
                </c:pt>
                <c:pt idx="133">
                  <c:v>WD2</c:v>
                </c:pt>
                <c:pt idx="134">
                  <c:v>WD3</c:v>
                </c:pt>
                <c:pt idx="135">
                  <c:v>WD4</c:v>
                </c:pt>
                <c:pt idx="136">
                  <c:v>WD5</c:v>
                </c:pt>
                <c:pt idx="137">
                  <c:v>WD6</c:v>
                </c:pt>
                <c:pt idx="138">
                  <c:v>WE1</c:v>
                </c:pt>
                <c:pt idx="139">
                  <c:v>WE2</c:v>
                </c:pt>
                <c:pt idx="140">
                  <c:v>WE3</c:v>
                </c:pt>
                <c:pt idx="141">
                  <c:v>WE4</c:v>
                </c:pt>
                <c:pt idx="142">
                  <c:v>WE5</c:v>
                </c:pt>
                <c:pt idx="143">
                  <c:v>WE6</c:v>
                </c:pt>
              </c:strCache>
            </c:strRef>
          </c:cat>
          <c:val>
            <c:numRef>
              <c:f>'NY East'!$C$27:$EP$27</c:f>
              <c:numCache>
                <c:formatCode>0.00</c:formatCode>
                <c:ptCount val="144"/>
                <c:pt idx="0">
                  <c:v>79.917764826432617</c:v>
                </c:pt>
                <c:pt idx="1">
                  <c:v>88.321281945849492</c:v>
                </c:pt>
                <c:pt idx="2">
                  <c:v>93.846463759571535</c:v>
                </c:pt>
                <c:pt idx="3">
                  <c:v>95.004112465676982</c:v>
                </c:pt>
                <c:pt idx="4">
                  <c:v>90.970957141206924</c:v>
                </c:pt>
                <c:pt idx="5">
                  <c:v>83.375364065101195</c:v>
                </c:pt>
                <c:pt idx="6">
                  <c:v>83.647987721145043</c:v>
                </c:pt>
                <c:pt idx="7">
                  <c:v>85.905937778458835</c:v>
                </c:pt>
                <c:pt idx="8">
                  <c:v>92.546661032708769</c:v>
                </c:pt>
                <c:pt idx="9">
                  <c:v>93.126230062047526</c:v>
                </c:pt>
                <c:pt idx="10">
                  <c:v>88.075164974443823</c:v>
                </c:pt>
                <c:pt idx="11">
                  <c:v>84.576283249131563</c:v>
                </c:pt>
                <c:pt idx="12">
                  <c:v>78.350289497472389</c:v>
                </c:pt>
                <c:pt idx="13">
                  <c:v>85.954878959890593</c:v>
                </c:pt>
                <c:pt idx="14">
                  <c:v>91.233149073540403</c:v>
                </c:pt>
                <c:pt idx="15">
                  <c:v>92.146646520689984</c:v>
                </c:pt>
                <c:pt idx="16">
                  <c:v>88.339444113316091</c:v>
                </c:pt>
                <c:pt idx="17">
                  <c:v>81.000670336437892</c:v>
                </c:pt>
                <c:pt idx="18">
                  <c:v>82.596910443428499</c:v>
                </c:pt>
                <c:pt idx="19">
                  <c:v>84.159536588208965</c:v>
                </c:pt>
                <c:pt idx="20">
                  <c:v>90.373375484457654</c:v>
                </c:pt>
                <c:pt idx="21">
                  <c:v>90.785915338053826</c:v>
                </c:pt>
                <c:pt idx="22">
                  <c:v>86.412900647980209</c:v>
                </c:pt>
                <c:pt idx="23">
                  <c:v>83.416028922894824</c:v>
                </c:pt>
                <c:pt idx="24">
                  <c:v>74.681328217783971</c:v>
                </c:pt>
                <c:pt idx="25">
                  <c:v>81.374072915680841</c:v>
                </c:pt>
                <c:pt idx="26">
                  <c:v>87.760586325109415</c:v>
                </c:pt>
                <c:pt idx="27">
                  <c:v>90.415410783138668</c:v>
                </c:pt>
                <c:pt idx="28">
                  <c:v>86.850840681916054</c:v>
                </c:pt>
                <c:pt idx="29">
                  <c:v>79.421534916478933</c:v>
                </c:pt>
                <c:pt idx="30">
                  <c:v>82.51227840365452</c:v>
                </c:pt>
                <c:pt idx="31">
                  <c:v>83.536135818450092</c:v>
                </c:pt>
                <c:pt idx="32">
                  <c:v>89.59241840940166</c:v>
                </c:pt>
                <c:pt idx="33">
                  <c:v>90.317891594480713</c:v>
                </c:pt>
                <c:pt idx="34">
                  <c:v>86.337731036846577</c:v>
                </c:pt>
                <c:pt idx="35">
                  <c:v>83.126631421539358</c:v>
                </c:pt>
                <c:pt idx="36">
                  <c:v>81.398659716760619</c:v>
                </c:pt>
                <c:pt idx="37">
                  <c:v>87.512382598343905</c:v>
                </c:pt>
                <c:pt idx="38">
                  <c:v>94.451260412720927</c:v>
                </c:pt>
                <c:pt idx="39">
                  <c:v>97.700259542113059</c:v>
                </c:pt>
                <c:pt idx="40">
                  <c:v>93.284070943381892</c:v>
                </c:pt>
                <c:pt idx="41">
                  <c:v>84.979916269355243</c:v>
                </c:pt>
                <c:pt idx="42">
                  <c:v>84.84298700551328</c:v>
                </c:pt>
                <c:pt idx="43">
                  <c:v>86.228725954443377</c:v>
                </c:pt>
                <c:pt idx="44">
                  <c:v>92.776228216509608</c:v>
                </c:pt>
                <c:pt idx="45">
                  <c:v>94.231037820681195</c:v>
                </c:pt>
                <c:pt idx="46">
                  <c:v>88.956961724360283</c:v>
                </c:pt>
                <c:pt idx="47">
                  <c:v>85.363023382303496</c:v>
                </c:pt>
                <c:pt idx="48">
                  <c:v>87.03474296518435</c:v>
                </c:pt>
                <c:pt idx="49">
                  <c:v>93.657980792770317</c:v>
                </c:pt>
                <c:pt idx="50">
                  <c:v>102.24597701610537</c:v>
                </c:pt>
                <c:pt idx="51">
                  <c:v>105.7216896465971</c:v>
                </c:pt>
                <c:pt idx="52">
                  <c:v>101.20359283584928</c:v>
                </c:pt>
                <c:pt idx="53">
                  <c:v>91.35081195927296</c:v>
                </c:pt>
                <c:pt idx="54">
                  <c:v>90.084147999312862</c:v>
                </c:pt>
                <c:pt idx="55">
                  <c:v>91.598976094695104</c:v>
                </c:pt>
                <c:pt idx="56">
                  <c:v>100.94404355788231</c:v>
                </c:pt>
                <c:pt idx="57">
                  <c:v>103.0767457123823</c:v>
                </c:pt>
                <c:pt idx="58">
                  <c:v>96.950123174559067</c:v>
                </c:pt>
                <c:pt idx="59">
                  <c:v>92.247116148606125</c:v>
                </c:pt>
                <c:pt idx="60">
                  <c:v>90.831104519988088</c:v>
                </c:pt>
                <c:pt idx="61">
                  <c:v>97.575451627308013</c:v>
                </c:pt>
                <c:pt idx="62">
                  <c:v>106.31149444225368</c:v>
                </c:pt>
                <c:pt idx="63">
                  <c:v>108.81220661188367</c:v>
                </c:pt>
                <c:pt idx="64">
                  <c:v>104.61458836977769</c:v>
                </c:pt>
                <c:pt idx="65">
                  <c:v>95.091366159982712</c:v>
                </c:pt>
                <c:pt idx="66">
                  <c:v>92.361507545141237</c:v>
                </c:pt>
                <c:pt idx="67">
                  <c:v>93.359037557387879</c:v>
                </c:pt>
                <c:pt idx="68">
                  <c:v>101.2050082735376</c:v>
                </c:pt>
                <c:pt idx="69">
                  <c:v>103.77335778237568</c:v>
                </c:pt>
                <c:pt idx="70">
                  <c:v>99.224994626187396</c:v>
                </c:pt>
                <c:pt idx="71">
                  <c:v>94.223785296528177</c:v>
                </c:pt>
                <c:pt idx="72">
                  <c:v>93.45137529591824</c:v>
                </c:pt>
                <c:pt idx="73">
                  <c:v>99.79359598235385</c:v>
                </c:pt>
                <c:pt idx="74">
                  <c:v>108.63813875293872</c:v>
                </c:pt>
                <c:pt idx="75">
                  <c:v>110.55980552017519</c:v>
                </c:pt>
                <c:pt idx="76">
                  <c:v>106.99878418722868</c:v>
                </c:pt>
                <c:pt idx="77">
                  <c:v>97.530291669510461</c:v>
                </c:pt>
                <c:pt idx="78">
                  <c:v>89.272088747281344</c:v>
                </c:pt>
                <c:pt idx="79">
                  <c:v>90.633466575671378</c:v>
                </c:pt>
                <c:pt idx="80">
                  <c:v>98.668069228239119</c:v>
                </c:pt>
                <c:pt idx="81">
                  <c:v>101.67549616151685</c:v>
                </c:pt>
                <c:pt idx="82">
                  <c:v>97.336427105481434</c:v>
                </c:pt>
                <c:pt idx="83">
                  <c:v>92.248238691046879</c:v>
                </c:pt>
                <c:pt idx="84">
                  <c:v>95.24999604784459</c:v>
                </c:pt>
                <c:pt idx="85">
                  <c:v>101.40241665296169</c:v>
                </c:pt>
                <c:pt idx="86">
                  <c:v>111.00421330012715</c:v>
                </c:pt>
                <c:pt idx="87">
                  <c:v>113.91690308841594</c:v>
                </c:pt>
                <c:pt idx="88">
                  <c:v>109.54145631699842</c:v>
                </c:pt>
                <c:pt idx="89">
                  <c:v>99.481121305783091</c:v>
                </c:pt>
                <c:pt idx="90">
                  <c:v>93.21724670267885</c:v>
                </c:pt>
                <c:pt idx="91">
                  <c:v>94.797446582691023</c:v>
                </c:pt>
                <c:pt idx="92">
                  <c:v>104.19591248249233</c:v>
                </c:pt>
                <c:pt idx="93">
                  <c:v>107.74049799725967</c:v>
                </c:pt>
                <c:pt idx="94">
                  <c:v>102.88197854754601</c:v>
                </c:pt>
                <c:pt idx="95">
                  <c:v>97.242084321969912</c:v>
                </c:pt>
                <c:pt idx="96">
                  <c:v>95.63320813855529</c:v>
                </c:pt>
                <c:pt idx="97">
                  <c:v>101.9294241264206</c:v>
                </c:pt>
                <c:pt idx="98">
                  <c:v>110.64341950908229</c:v>
                </c:pt>
                <c:pt idx="99">
                  <c:v>113.77322754213525</c:v>
                </c:pt>
                <c:pt idx="100">
                  <c:v>109.0091596560471</c:v>
                </c:pt>
                <c:pt idx="101">
                  <c:v>98.705725037940695</c:v>
                </c:pt>
                <c:pt idx="102">
                  <c:v>99.490195155270627</c:v>
                </c:pt>
                <c:pt idx="103">
                  <c:v>100.23276438659639</c:v>
                </c:pt>
                <c:pt idx="104">
                  <c:v>112.62742288954195</c:v>
                </c:pt>
                <c:pt idx="105">
                  <c:v>115.48972430086586</c:v>
                </c:pt>
                <c:pt idx="106">
                  <c:v>107.8598691339337</c:v>
                </c:pt>
                <c:pt idx="107">
                  <c:v>103.30150691510688</c:v>
                </c:pt>
                <c:pt idx="108">
                  <c:v>88.938098314144355</c:v>
                </c:pt>
                <c:pt idx="109">
                  <c:v>96.680679561466775</c:v>
                </c:pt>
                <c:pt idx="110">
                  <c:v>104.75336384964943</c:v>
                </c:pt>
                <c:pt idx="111">
                  <c:v>107.79479349110917</c:v>
                </c:pt>
                <c:pt idx="112">
                  <c:v>102.70423865053161</c:v>
                </c:pt>
                <c:pt idx="113">
                  <c:v>92.447229045322032</c:v>
                </c:pt>
                <c:pt idx="114">
                  <c:v>93.190930489493837</c:v>
                </c:pt>
                <c:pt idx="115">
                  <c:v>94.536232887474938</c:v>
                </c:pt>
                <c:pt idx="116">
                  <c:v>104.92893471556744</c:v>
                </c:pt>
                <c:pt idx="117">
                  <c:v>107.71081087649931</c:v>
                </c:pt>
                <c:pt idx="118">
                  <c:v>100.19415675926399</c:v>
                </c:pt>
                <c:pt idx="119">
                  <c:v>95.276828485880316</c:v>
                </c:pt>
                <c:pt idx="120">
                  <c:v>85.309849698650083</c:v>
                </c:pt>
                <c:pt idx="121">
                  <c:v>90.959112080953048</c:v>
                </c:pt>
                <c:pt idx="122">
                  <c:v>96.710600861106457</c:v>
                </c:pt>
                <c:pt idx="123">
                  <c:v>99.082882439873401</c:v>
                </c:pt>
                <c:pt idx="124">
                  <c:v>95.372528783049077</c:v>
                </c:pt>
                <c:pt idx="125">
                  <c:v>87.594325722945854</c:v>
                </c:pt>
                <c:pt idx="126">
                  <c:v>88.491551931001396</c:v>
                </c:pt>
                <c:pt idx="127">
                  <c:v>89.597526267110354</c:v>
                </c:pt>
                <c:pt idx="128">
                  <c:v>95.684752205389941</c:v>
                </c:pt>
                <c:pt idx="129">
                  <c:v>98.557200174192261</c:v>
                </c:pt>
                <c:pt idx="130">
                  <c:v>93.727310316033055</c:v>
                </c:pt>
                <c:pt idx="131">
                  <c:v>89.545714482993688</c:v>
                </c:pt>
                <c:pt idx="132">
                  <c:v>83.218029229397786</c:v>
                </c:pt>
                <c:pt idx="133">
                  <c:v>89.111949606447823</c:v>
                </c:pt>
                <c:pt idx="134">
                  <c:v>94.714982168648206</c:v>
                </c:pt>
                <c:pt idx="135">
                  <c:v>95.713947747348342</c:v>
                </c:pt>
                <c:pt idx="136">
                  <c:v>92.067299198155112</c:v>
                </c:pt>
                <c:pt idx="137">
                  <c:v>85.042079735296696</c:v>
                </c:pt>
                <c:pt idx="138">
                  <c:v>86.589459915764294</c:v>
                </c:pt>
                <c:pt idx="139">
                  <c:v>87.935576752801282</c:v>
                </c:pt>
                <c:pt idx="140">
                  <c:v>93.839072998052998</c:v>
                </c:pt>
                <c:pt idx="141">
                  <c:v>94.864387890776641</c:v>
                </c:pt>
                <c:pt idx="142">
                  <c:v>90.840294198012941</c:v>
                </c:pt>
                <c:pt idx="143">
                  <c:v>87.910386602430265</c:v>
                </c:pt>
              </c:numCache>
            </c:numRef>
          </c:val>
          <c:smooth val="0"/>
        </c:ser>
        <c:ser>
          <c:idx val="10"/>
          <c:order val="10"/>
          <c:spPr>
            <a:ln w="12700">
              <a:solidFill>
                <a:srgbClr val="CCFFCC"/>
              </a:solidFill>
              <a:prstDash val="solid"/>
            </a:ln>
          </c:spPr>
          <c:marker>
            <c:symbol val="none"/>
          </c:marker>
          <c:cat>
            <c:strRef>
              <c:f>'NY East'!$C$3:$EP$3</c:f>
              <c:strCache>
                <c:ptCount val="144"/>
                <c:pt idx="0">
                  <c:v>WD1</c:v>
                </c:pt>
                <c:pt idx="1">
                  <c:v>WD2</c:v>
                </c:pt>
                <c:pt idx="2">
                  <c:v>WD3</c:v>
                </c:pt>
                <c:pt idx="3">
                  <c:v>WD4</c:v>
                </c:pt>
                <c:pt idx="4">
                  <c:v>WD5</c:v>
                </c:pt>
                <c:pt idx="5">
                  <c:v>WD6</c:v>
                </c:pt>
                <c:pt idx="6">
                  <c:v>WE1</c:v>
                </c:pt>
                <c:pt idx="7">
                  <c:v>WE2</c:v>
                </c:pt>
                <c:pt idx="8">
                  <c:v>WE3</c:v>
                </c:pt>
                <c:pt idx="9">
                  <c:v>WE4</c:v>
                </c:pt>
                <c:pt idx="10">
                  <c:v>WE5</c:v>
                </c:pt>
                <c:pt idx="11">
                  <c:v>WE6</c:v>
                </c:pt>
                <c:pt idx="12">
                  <c:v>WD1</c:v>
                </c:pt>
                <c:pt idx="13">
                  <c:v>WD2</c:v>
                </c:pt>
                <c:pt idx="14">
                  <c:v>WD3</c:v>
                </c:pt>
                <c:pt idx="15">
                  <c:v>WD4</c:v>
                </c:pt>
                <c:pt idx="16">
                  <c:v>WD5</c:v>
                </c:pt>
                <c:pt idx="17">
                  <c:v>WD6</c:v>
                </c:pt>
                <c:pt idx="18">
                  <c:v>WE1</c:v>
                </c:pt>
                <c:pt idx="19">
                  <c:v>WE2</c:v>
                </c:pt>
                <c:pt idx="20">
                  <c:v>WE3</c:v>
                </c:pt>
                <c:pt idx="21">
                  <c:v>WE4</c:v>
                </c:pt>
                <c:pt idx="22">
                  <c:v>WE5</c:v>
                </c:pt>
                <c:pt idx="23">
                  <c:v>WE6</c:v>
                </c:pt>
                <c:pt idx="24">
                  <c:v>WD1</c:v>
                </c:pt>
                <c:pt idx="25">
                  <c:v>WD2</c:v>
                </c:pt>
                <c:pt idx="26">
                  <c:v>WD3</c:v>
                </c:pt>
                <c:pt idx="27">
                  <c:v>WD4</c:v>
                </c:pt>
                <c:pt idx="28">
                  <c:v>WD5</c:v>
                </c:pt>
                <c:pt idx="29">
                  <c:v>WD6</c:v>
                </c:pt>
                <c:pt idx="30">
                  <c:v>WE1</c:v>
                </c:pt>
                <c:pt idx="31">
                  <c:v>WE2</c:v>
                </c:pt>
                <c:pt idx="32">
                  <c:v>WE3</c:v>
                </c:pt>
                <c:pt idx="33">
                  <c:v>WE4</c:v>
                </c:pt>
                <c:pt idx="34">
                  <c:v>WE5</c:v>
                </c:pt>
                <c:pt idx="35">
                  <c:v>WE6</c:v>
                </c:pt>
                <c:pt idx="36">
                  <c:v>WD1</c:v>
                </c:pt>
                <c:pt idx="37">
                  <c:v>WD2</c:v>
                </c:pt>
                <c:pt idx="38">
                  <c:v>WD3</c:v>
                </c:pt>
                <c:pt idx="39">
                  <c:v>WD4</c:v>
                </c:pt>
                <c:pt idx="40">
                  <c:v>WD5</c:v>
                </c:pt>
                <c:pt idx="41">
                  <c:v>WD6</c:v>
                </c:pt>
                <c:pt idx="42">
                  <c:v>WE1</c:v>
                </c:pt>
                <c:pt idx="43">
                  <c:v>WE2</c:v>
                </c:pt>
                <c:pt idx="44">
                  <c:v>WE3</c:v>
                </c:pt>
                <c:pt idx="45">
                  <c:v>WE4</c:v>
                </c:pt>
                <c:pt idx="46">
                  <c:v>WE5</c:v>
                </c:pt>
                <c:pt idx="47">
                  <c:v>WE6</c:v>
                </c:pt>
                <c:pt idx="48">
                  <c:v>WD1</c:v>
                </c:pt>
                <c:pt idx="49">
                  <c:v>WD2</c:v>
                </c:pt>
                <c:pt idx="50">
                  <c:v>WD3</c:v>
                </c:pt>
                <c:pt idx="51">
                  <c:v>WD4</c:v>
                </c:pt>
                <c:pt idx="52">
                  <c:v>WD5</c:v>
                </c:pt>
                <c:pt idx="53">
                  <c:v>WD6</c:v>
                </c:pt>
                <c:pt idx="54">
                  <c:v>WE1</c:v>
                </c:pt>
                <c:pt idx="55">
                  <c:v>WE2</c:v>
                </c:pt>
                <c:pt idx="56">
                  <c:v>WE3</c:v>
                </c:pt>
                <c:pt idx="57">
                  <c:v>WE4</c:v>
                </c:pt>
                <c:pt idx="58">
                  <c:v>WE5</c:v>
                </c:pt>
                <c:pt idx="59">
                  <c:v>WE6</c:v>
                </c:pt>
                <c:pt idx="60">
                  <c:v>WD1</c:v>
                </c:pt>
                <c:pt idx="61">
                  <c:v>WD2</c:v>
                </c:pt>
                <c:pt idx="62">
                  <c:v>WD3</c:v>
                </c:pt>
                <c:pt idx="63">
                  <c:v>WD4</c:v>
                </c:pt>
                <c:pt idx="64">
                  <c:v>WD5</c:v>
                </c:pt>
                <c:pt idx="65">
                  <c:v>WD6</c:v>
                </c:pt>
                <c:pt idx="66">
                  <c:v>WE1</c:v>
                </c:pt>
                <c:pt idx="67">
                  <c:v>WE2</c:v>
                </c:pt>
                <c:pt idx="68">
                  <c:v>WE3</c:v>
                </c:pt>
                <c:pt idx="69">
                  <c:v>WE4</c:v>
                </c:pt>
                <c:pt idx="70">
                  <c:v>WE5</c:v>
                </c:pt>
                <c:pt idx="71">
                  <c:v>WE6</c:v>
                </c:pt>
                <c:pt idx="72">
                  <c:v>WD1</c:v>
                </c:pt>
                <c:pt idx="73">
                  <c:v>WD2</c:v>
                </c:pt>
                <c:pt idx="74">
                  <c:v>WD3</c:v>
                </c:pt>
                <c:pt idx="75">
                  <c:v>WD4</c:v>
                </c:pt>
                <c:pt idx="76">
                  <c:v>WD5</c:v>
                </c:pt>
                <c:pt idx="77">
                  <c:v>WD6</c:v>
                </c:pt>
                <c:pt idx="78">
                  <c:v>WE1</c:v>
                </c:pt>
                <c:pt idx="79">
                  <c:v>WE2</c:v>
                </c:pt>
                <c:pt idx="80">
                  <c:v>WE3</c:v>
                </c:pt>
                <c:pt idx="81">
                  <c:v>WE4</c:v>
                </c:pt>
                <c:pt idx="82">
                  <c:v>WE5</c:v>
                </c:pt>
                <c:pt idx="83">
                  <c:v>WE6</c:v>
                </c:pt>
                <c:pt idx="84">
                  <c:v>WD1</c:v>
                </c:pt>
                <c:pt idx="85">
                  <c:v>WD2</c:v>
                </c:pt>
                <c:pt idx="86">
                  <c:v>WD3</c:v>
                </c:pt>
                <c:pt idx="87">
                  <c:v>WD4</c:v>
                </c:pt>
                <c:pt idx="88">
                  <c:v>WD5</c:v>
                </c:pt>
                <c:pt idx="89">
                  <c:v>WD6</c:v>
                </c:pt>
                <c:pt idx="90">
                  <c:v>WE1</c:v>
                </c:pt>
                <c:pt idx="91">
                  <c:v>WE2</c:v>
                </c:pt>
                <c:pt idx="92">
                  <c:v>WE3</c:v>
                </c:pt>
                <c:pt idx="93">
                  <c:v>WE4</c:v>
                </c:pt>
                <c:pt idx="94">
                  <c:v>WE5</c:v>
                </c:pt>
                <c:pt idx="95">
                  <c:v>WE6</c:v>
                </c:pt>
                <c:pt idx="96">
                  <c:v>WD1</c:v>
                </c:pt>
                <c:pt idx="97">
                  <c:v>WD2</c:v>
                </c:pt>
                <c:pt idx="98">
                  <c:v>WD3</c:v>
                </c:pt>
                <c:pt idx="99">
                  <c:v>WD4</c:v>
                </c:pt>
                <c:pt idx="100">
                  <c:v>WD5</c:v>
                </c:pt>
                <c:pt idx="101">
                  <c:v>WD6</c:v>
                </c:pt>
                <c:pt idx="102">
                  <c:v>WE1</c:v>
                </c:pt>
                <c:pt idx="103">
                  <c:v>WE2</c:v>
                </c:pt>
                <c:pt idx="104">
                  <c:v>WE3</c:v>
                </c:pt>
                <c:pt idx="105">
                  <c:v>WE4</c:v>
                </c:pt>
                <c:pt idx="106">
                  <c:v>WE5</c:v>
                </c:pt>
                <c:pt idx="107">
                  <c:v>WE6</c:v>
                </c:pt>
                <c:pt idx="108">
                  <c:v>WD1</c:v>
                </c:pt>
                <c:pt idx="109">
                  <c:v>WD2</c:v>
                </c:pt>
                <c:pt idx="110">
                  <c:v>WD3</c:v>
                </c:pt>
                <c:pt idx="111">
                  <c:v>WD4</c:v>
                </c:pt>
                <c:pt idx="112">
                  <c:v>WD5</c:v>
                </c:pt>
                <c:pt idx="113">
                  <c:v>WD6</c:v>
                </c:pt>
                <c:pt idx="114">
                  <c:v>WE1</c:v>
                </c:pt>
                <c:pt idx="115">
                  <c:v>WE2</c:v>
                </c:pt>
                <c:pt idx="116">
                  <c:v>WE3</c:v>
                </c:pt>
                <c:pt idx="117">
                  <c:v>WE4</c:v>
                </c:pt>
                <c:pt idx="118">
                  <c:v>WE5</c:v>
                </c:pt>
                <c:pt idx="119">
                  <c:v>WE6</c:v>
                </c:pt>
                <c:pt idx="120">
                  <c:v>WD1</c:v>
                </c:pt>
                <c:pt idx="121">
                  <c:v>WD2</c:v>
                </c:pt>
                <c:pt idx="122">
                  <c:v>WD3</c:v>
                </c:pt>
                <c:pt idx="123">
                  <c:v>WD4</c:v>
                </c:pt>
                <c:pt idx="124">
                  <c:v>WD5</c:v>
                </c:pt>
                <c:pt idx="125">
                  <c:v>WD6</c:v>
                </c:pt>
                <c:pt idx="126">
                  <c:v>WE1</c:v>
                </c:pt>
                <c:pt idx="127">
                  <c:v>WE2</c:v>
                </c:pt>
                <c:pt idx="128">
                  <c:v>WE3</c:v>
                </c:pt>
                <c:pt idx="129">
                  <c:v>WE4</c:v>
                </c:pt>
                <c:pt idx="130">
                  <c:v>WE5</c:v>
                </c:pt>
                <c:pt idx="131">
                  <c:v>WE6</c:v>
                </c:pt>
                <c:pt idx="132">
                  <c:v>WD1</c:v>
                </c:pt>
                <c:pt idx="133">
                  <c:v>WD2</c:v>
                </c:pt>
                <c:pt idx="134">
                  <c:v>WD3</c:v>
                </c:pt>
                <c:pt idx="135">
                  <c:v>WD4</c:v>
                </c:pt>
                <c:pt idx="136">
                  <c:v>WD5</c:v>
                </c:pt>
                <c:pt idx="137">
                  <c:v>WD6</c:v>
                </c:pt>
                <c:pt idx="138">
                  <c:v>WE1</c:v>
                </c:pt>
                <c:pt idx="139">
                  <c:v>WE2</c:v>
                </c:pt>
                <c:pt idx="140">
                  <c:v>WE3</c:v>
                </c:pt>
                <c:pt idx="141">
                  <c:v>WE4</c:v>
                </c:pt>
                <c:pt idx="142">
                  <c:v>WE5</c:v>
                </c:pt>
                <c:pt idx="143">
                  <c:v>WE6</c:v>
                </c:pt>
              </c:strCache>
            </c:strRef>
          </c:cat>
          <c:val>
            <c:numRef>
              <c:f>'NY East'!$C$28:$EP$28</c:f>
              <c:numCache>
                <c:formatCode>0.00</c:formatCode>
                <c:ptCount val="144"/>
                <c:pt idx="0">
                  <c:v>76.537858407501886</c:v>
                </c:pt>
                <c:pt idx="1">
                  <c:v>83.525577899789937</c:v>
                </c:pt>
                <c:pt idx="2">
                  <c:v>86.724938604846926</c:v>
                </c:pt>
                <c:pt idx="3">
                  <c:v>86.380570221162486</c:v>
                </c:pt>
                <c:pt idx="4">
                  <c:v>82.299824484439725</c:v>
                </c:pt>
                <c:pt idx="5">
                  <c:v>77.912208061316207</c:v>
                </c:pt>
                <c:pt idx="6">
                  <c:v>79.521388369219835</c:v>
                </c:pt>
                <c:pt idx="7">
                  <c:v>81.262064461276594</c:v>
                </c:pt>
                <c:pt idx="8">
                  <c:v>86.135950872211623</c:v>
                </c:pt>
                <c:pt idx="9">
                  <c:v>84.606164061277823</c:v>
                </c:pt>
                <c:pt idx="10">
                  <c:v>81.674059187345193</c:v>
                </c:pt>
                <c:pt idx="11">
                  <c:v>80.09414376251658</c:v>
                </c:pt>
                <c:pt idx="12">
                  <c:v>71.968755894101349</c:v>
                </c:pt>
                <c:pt idx="13">
                  <c:v>76.023189891213406</c:v>
                </c:pt>
                <c:pt idx="14">
                  <c:v>78.902917248453917</c:v>
                </c:pt>
                <c:pt idx="15">
                  <c:v>78.348955092298979</c:v>
                </c:pt>
                <c:pt idx="16">
                  <c:v>75.407841184297936</c:v>
                </c:pt>
                <c:pt idx="17">
                  <c:v>72.551205705972706</c:v>
                </c:pt>
                <c:pt idx="18">
                  <c:v>70.749885716149066</c:v>
                </c:pt>
                <c:pt idx="19">
                  <c:v>71.967867253135324</c:v>
                </c:pt>
                <c:pt idx="20">
                  <c:v>74.888874860142764</c:v>
                </c:pt>
                <c:pt idx="21">
                  <c:v>74.416328838536387</c:v>
                </c:pt>
                <c:pt idx="22">
                  <c:v>72.845671913849174</c:v>
                </c:pt>
                <c:pt idx="23">
                  <c:v>71.345211232376982</c:v>
                </c:pt>
                <c:pt idx="24">
                  <c:v>68.618679169987729</c:v>
                </c:pt>
                <c:pt idx="25">
                  <c:v>71.181194311841622</c:v>
                </c:pt>
                <c:pt idx="26">
                  <c:v>75.037412718069604</c:v>
                </c:pt>
                <c:pt idx="27">
                  <c:v>76.036111095970412</c:v>
                </c:pt>
                <c:pt idx="28">
                  <c:v>73.49524307035945</c:v>
                </c:pt>
                <c:pt idx="29">
                  <c:v>70.947539702100201</c:v>
                </c:pt>
                <c:pt idx="30">
                  <c:v>70.460856103821115</c:v>
                </c:pt>
                <c:pt idx="31">
                  <c:v>71.36076154601281</c:v>
                </c:pt>
                <c:pt idx="32">
                  <c:v>74.004803671104781</c:v>
                </c:pt>
                <c:pt idx="33">
                  <c:v>73.940549981898627</c:v>
                </c:pt>
                <c:pt idx="34">
                  <c:v>72.450147426966026</c:v>
                </c:pt>
                <c:pt idx="35">
                  <c:v>70.749623810047311</c:v>
                </c:pt>
                <c:pt idx="36">
                  <c:v>76.18777527469139</c:v>
                </c:pt>
                <c:pt idx="37">
                  <c:v>79.32307345825852</c:v>
                </c:pt>
                <c:pt idx="38">
                  <c:v>83.49972761330649</c:v>
                </c:pt>
                <c:pt idx="39">
                  <c:v>84.565585455349165</c:v>
                </c:pt>
                <c:pt idx="40">
                  <c:v>81.509769810355749</c:v>
                </c:pt>
                <c:pt idx="41">
                  <c:v>77.811140384743695</c:v>
                </c:pt>
                <c:pt idx="42">
                  <c:v>74.334446284832765</c:v>
                </c:pt>
                <c:pt idx="43">
                  <c:v>75.461975746875183</c:v>
                </c:pt>
                <c:pt idx="44">
                  <c:v>78.461249575261476</c:v>
                </c:pt>
                <c:pt idx="45">
                  <c:v>78.532860189334215</c:v>
                </c:pt>
                <c:pt idx="46">
                  <c:v>77.01376553966719</c:v>
                </c:pt>
                <c:pt idx="47">
                  <c:v>74.730703007096736</c:v>
                </c:pt>
                <c:pt idx="48">
                  <c:v>82.41288408229255</c:v>
                </c:pt>
                <c:pt idx="49">
                  <c:v>86.250295649306196</c:v>
                </c:pt>
                <c:pt idx="50">
                  <c:v>91.571116992077506</c:v>
                </c:pt>
                <c:pt idx="51">
                  <c:v>92.749097807518865</c:v>
                </c:pt>
                <c:pt idx="52">
                  <c:v>89.3433262683523</c:v>
                </c:pt>
                <c:pt idx="53">
                  <c:v>84.617482285251242</c:v>
                </c:pt>
                <c:pt idx="54">
                  <c:v>82.979017882562317</c:v>
                </c:pt>
                <c:pt idx="55">
                  <c:v>84.315609566697532</c:v>
                </c:pt>
                <c:pt idx="56">
                  <c:v>89.276116968917052</c:v>
                </c:pt>
                <c:pt idx="57">
                  <c:v>89.818834503515291</c:v>
                </c:pt>
                <c:pt idx="58">
                  <c:v>87.505608149400942</c:v>
                </c:pt>
                <c:pt idx="59">
                  <c:v>84.712514085990932</c:v>
                </c:pt>
                <c:pt idx="60">
                  <c:v>86.63016015777761</c:v>
                </c:pt>
                <c:pt idx="61">
                  <c:v>92.275288707417872</c:v>
                </c:pt>
                <c:pt idx="62">
                  <c:v>98.547577014705851</c:v>
                </c:pt>
                <c:pt idx="63">
                  <c:v>99.14689912977461</c:v>
                </c:pt>
                <c:pt idx="64">
                  <c:v>95.234933275246433</c:v>
                </c:pt>
                <c:pt idx="65">
                  <c:v>89.124430796594737</c:v>
                </c:pt>
                <c:pt idx="66">
                  <c:v>87.566407811015054</c:v>
                </c:pt>
                <c:pt idx="67">
                  <c:v>88.32558944939926</c:v>
                </c:pt>
                <c:pt idx="68">
                  <c:v>93.475766202626403</c:v>
                </c:pt>
                <c:pt idx="69">
                  <c:v>93.841994953380876</c:v>
                </c:pt>
                <c:pt idx="70">
                  <c:v>91.287203493223743</c:v>
                </c:pt>
                <c:pt idx="71">
                  <c:v>88.661573420245361</c:v>
                </c:pt>
                <c:pt idx="72">
                  <c:v>88.5700899958035</c:v>
                </c:pt>
                <c:pt idx="73">
                  <c:v>93.968170833606123</c:v>
                </c:pt>
                <c:pt idx="74">
                  <c:v>100.61562097989446</c:v>
                </c:pt>
                <c:pt idx="75">
                  <c:v>100.90012460787401</c:v>
                </c:pt>
                <c:pt idx="76">
                  <c:v>97.38274161150818</c:v>
                </c:pt>
                <c:pt idx="77">
                  <c:v>90.796024739081844</c:v>
                </c:pt>
                <c:pt idx="78">
                  <c:v>85.034944588141826</c:v>
                </c:pt>
                <c:pt idx="79">
                  <c:v>86.063396299120427</c:v>
                </c:pt>
                <c:pt idx="80">
                  <c:v>92.16771359776294</c:v>
                </c:pt>
                <c:pt idx="81">
                  <c:v>92.909655336095824</c:v>
                </c:pt>
                <c:pt idx="82">
                  <c:v>90.247543835834762</c:v>
                </c:pt>
                <c:pt idx="83">
                  <c:v>87.621133219382955</c:v>
                </c:pt>
                <c:pt idx="84">
                  <c:v>90.652919465338655</c:v>
                </c:pt>
                <c:pt idx="85">
                  <c:v>95.778538593721493</c:v>
                </c:pt>
                <c:pt idx="86">
                  <c:v>102.88263586656653</c:v>
                </c:pt>
                <c:pt idx="87">
                  <c:v>104.00284832074061</c:v>
                </c:pt>
                <c:pt idx="88">
                  <c:v>99.851614245758938</c:v>
                </c:pt>
                <c:pt idx="89">
                  <c:v>92.923944617023935</c:v>
                </c:pt>
                <c:pt idx="90">
                  <c:v>89.045783083920639</c:v>
                </c:pt>
                <c:pt idx="91">
                  <c:v>90.411350759482829</c:v>
                </c:pt>
                <c:pt idx="92">
                  <c:v>97.924728631346369</c:v>
                </c:pt>
                <c:pt idx="93">
                  <c:v>99.050952086827408</c:v>
                </c:pt>
                <c:pt idx="94">
                  <c:v>95.934931129731609</c:v>
                </c:pt>
                <c:pt idx="95">
                  <c:v>92.497249931536075</c:v>
                </c:pt>
                <c:pt idx="96">
                  <c:v>90.310235946163985</c:v>
                </c:pt>
                <c:pt idx="97">
                  <c:v>93.46521758290622</c:v>
                </c:pt>
                <c:pt idx="98">
                  <c:v>98.923560592156633</c:v>
                </c:pt>
                <c:pt idx="99">
                  <c:v>99.588840281583799</c:v>
                </c:pt>
                <c:pt idx="100">
                  <c:v>96.012549784366158</c:v>
                </c:pt>
                <c:pt idx="101">
                  <c:v>91.247002353717832</c:v>
                </c:pt>
                <c:pt idx="102">
                  <c:v>90.352208636496655</c:v>
                </c:pt>
                <c:pt idx="103">
                  <c:v>91.019143345349178</c:v>
                </c:pt>
                <c:pt idx="104">
                  <c:v>97.384230519185081</c:v>
                </c:pt>
                <c:pt idx="105">
                  <c:v>99.335744080011807</c:v>
                </c:pt>
                <c:pt idx="106">
                  <c:v>96.914450661139711</c:v>
                </c:pt>
                <c:pt idx="107">
                  <c:v>93.965911255484258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0145744"/>
        <c:axId val="250146304"/>
      </c:lineChart>
      <c:catAx>
        <c:axId val="250145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Block</a:t>
                </a:r>
              </a:p>
            </c:rich>
          </c:tx>
          <c:layout>
            <c:manualLayout>
              <c:xMode val="edge"/>
              <c:yMode val="edge"/>
              <c:x val="0.50721420643729187"/>
              <c:y val="0.8792822185970635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0146304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2501463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</a:t>
                </a:r>
              </a:p>
            </c:rich>
          </c:tx>
          <c:layout>
            <c:manualLayout>
              <c:xMode val="edge"/>
              <c:yMode val="edge"/>
              <c:x val="1.2208657047724751E-2"/>
              <c:y val="0.44861337683523655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014574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3.8845726970033294E-2"/>
          <c:y val="0.9559543230016313"/>
          <c:w val="0.9611542730299667"/>
          <c:h val="3.915171288743882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NY East: Monthly Load - "Short"</a:t>
            </a:r>
          </a:p>
        </c:rich>
      </c:tx>
      <c:layout>
        <c:manualLayout>
          <c:xMode val="edge"/>
          <c:yMode val="edge"/>
          <c:x val="0.3607103218645949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4339622641509441E-2"/>
          <c:y val="0.12234910277324633"/>
          <c:w val="0.89456159822419534"/>
          <c:h val="0.72593800978792822"/>
        </c:manualLayout>
      </c:layout>
      <c:lineChart>
        <c:grouping val="standard"/>
        <c:varyColors val="0"/>
        <c:ser>
          <c:idx val="0"/>
          <c:order val="0"/>
          <c:tx>
            <c:v>2000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'NY East'!$C$32:$N$32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'NY East'!$C$33:$N$33</c:f>
              <c:numCache>
                <c:formatCode>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25.652883515687897</c:v>
                </c:pt>
                <c:pt idx="3">
                  <c:v>1.1840168454546807</c:v>
                </c:pt>
                <c:pt idx="4">
                  <c:v>4.9538864252793813</c:v>
                </c:pt>
                <c:pt idx="5">
                  <c:v>0.73386229064102859</c:v>
                </c:pt>
                <c:pt idx="6">
                  <c:v>1.3478895357077147</c:v>
                </c:pt>
                <c:pt idx="7">
                  <c:v>2.5109697766884582</c:v>
                </c:pt>
                <c:pt idx="8">
                  <c:v>1.6844448559847951</c:v>
                </c:pt>
                <c:pt idx="9">
                  <c:v>10.112255527943734</c:v>
                </c:pt>
                <c:pt idx="10">
                  <c:v>4.8014137044569978</c:v>
                </c:pt>
                <c:pt idx="11">
                  <c:v>2.2670902554172412</c:v>
                </c:pt>
              </c:numCache>
            </c:numRef>
          </c:val>
          <c:smooth val="0"/>
        </c:ser>
        <c:ser>
          <c:idx val="1"/>
          <c:order val="1"/>
          <c:tx>
            <c:v>2001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'NY East'!$C$32:$N$32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'NY East'!$C$34:$N$34</c:f>
              <c:numCache>
                <c:formatCode>0.00</c:formatCode>
                <c:ptCount val="12"/>
                <c:pt idx="0">
                  <c:v>16.823032922314773</c:v>
                </c:pt>
                <c:pt idx="1">
                  <c:v>19.434806875455859</c:v>
                </c:pt>
                <c:pt idx="2">
                  <c:v>15.469495509438721</c:v>
                </c:pt>
                <c:pt idx="3">
                  <c:v>12.187988448622608</c:v>
                </c:pt>
                <c:pt idx="4">
                  <c:v>14.355776481996267</c:v>
                </c:pt>
                <c:pt idx="5">
                  <c:v>3.2224704649070839</c:v>
                </c:pt>
                <c:pt idx="6">
                  <c:v>97.862549266567882</c:v>
                </c:pt>
                <c:pt idx="7">
                  <c:v>101.51676290301295</c:v>
                </c:pt>
                <c:pt idx="8">
                  <c:v>101.64869802550793</c:v>
                </c:pt>
                <c:pt idx="9">
                  <c:v>107.70904484398952</c:v>
                </c:pt>
                <c:pt idx="10">
                  <c:v>94.533620677542501</c:v>
                </c:pt>
                <c:pt idx="11">
                  <c:v>89.491366638915025</c:v>
                </c:pt>
              </c:numCache>
            </c:numRef>
          </c:val>
          <c:smooth val="0"/>
        </c:ser>
        <c:ser>
          <c:idx val="2"/>
          <c:order val="2"/>
          <c:tx>
            <c:v>2002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strRef>
              <c:f>'NY East'!$C$32:$N$32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'NY East'!$C$35:$N$35</c:f>
              <c:numCache>
                <c:formatCode>0.00</c:formatCode>
                <c:ptCount val="12"/>
                <c:pt idx="0">
                  <c:v>90.268673892973951</c:v>
                </c:pt>
                <c:pt idx="1">
                  <c:v>89.31508723509134</c:v>
                </c:pt>
                <c:pt idx="2">
                  <c:v>83.154197077642124</c:v>
                </c:pt>
                <c:pt idx="3">
                  <c:v>92.930860459355699</c:v>
                </c:pt>
                <c:pt idx="4">
                  <c:v>104.63607810407093</c:v>
                </c:pt>
                <c:pt idx="5">
                  <c:v>95.500343117693518</c:v>
                </c:pt>
                <c:pt idx="6">
                  <c:v>98.060613764942346</c:v>
                </c:pt>
                <c:pt idx="7">
                  <c:v>101.51715030638486</c:v>
                </c:pt>
                <c:pt idx="8">
                  <c:v>103.69383448294373</c:v>
                </c:pt>
                <c:pt idx="9">
                  <c:v>104.41746855619526</c:v>
                </c:pt>
                <c:pt idx="10">
                  <c:v>93.481110821675827</c:v>
                </c:pt>
                <c:pt idx="11">
                  <c:v>90.18690668339714</c:v>
                </c:pt>
              </c:numCache>
            </c:numRef>
          </c:val>
          <c:smooth val="0"/>
        </c:ser>
        <c:ser>
          <c:idx val="3"/>
          <c:order val="3"/>
          <c:tx>
            <c:v>2003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strRef>
              <c:f>'NY East'!$C$32:$N$32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'NY East'!$C$36:$N$36</c:f>
              <c:numCache>
                <c:formatCode>0.00</c:formatCode>
                <c:ptCount val="12"/>
                <c:pt idx="0">
                  <c:v>88.544446230990317</c:v>
                </c:pt>
                <c:pt idx="1">
                  <c:v>85.963963815361822</c:v>
                </c:pt>
                <c:pt idx="2">
                  <c:v>81.730722727508976</c:v>
                </c:pt>
                <c:pt idx="3">
                  <c:v>105.17925435578191</c:v>
                </c:pt>
                <c:pt idx="4">
                  <c:v>115.13899965799301</c:v>
                </c:pt>
                <c:pt idx="5">
                  <c:v>116.76798679921312</c:v>
                </c:pt>
                <c:pt idx="6">
                  <c:v>119.01354443981954</c:v>
                </c:pt>
                <c:pt idx="7">
                  <c:v>122.70520047789313</c:v>
                </c:pt>
                <c:pt idx="8">
                  <c:v>122.89607608811363</c:v>
                </c:pt>
                <c:pt idx="9">
                  <c:v>115.61566969477852</c:v>
                </c:pt>
                <c:pt idx="10">
                  <c:v>109.78208228781335</c:v>
                </c:pt>
                <c:pt idx="11">
                  <c:v>106.65410094988262</c:v>
                </c:pt>
              </c:numCache>
            </c:numRef>
          </c:val>
          <c:smooth val="0"/>
        </c:ser>
        <c:ser>
          <c:idx val="4"/>
          <c:order val="4"/>
          <c:tx>
            <c:v>2004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strRef>
              <c:f>'NY East'!$C$32:$N$32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'NY East'!$C$37:$N$37</c:f>
              <c:numCache>
                <c:formatCode>0.00</c:formatCode>
                <c:ptCount val="12"/>
                <c:pt idx="0">
                  <c:v>104.70843109566528</c:v>
                </c:pt>
                <c:pt idx="1">
                  <c:v>102.41631810145935</c:v>
                </c:pt>
                <c:pt idx="2">
                  <c:v>99.693330235825414</c:v>
                </c:pt>
                <c:pt idx="3">
                  <c:v>107.82799741638837</c:v>
                </c:pt>
                <c:pt idx="4">
                  <c:v>117.70719969676739</c:v>
                </c:pt>
                <c:pt idx="5">
                  <c:v>120.49014106422869</c:v>
                </c:pt>
                <c:pt idx="6">
                  <c:v>122.98268955090126</c:v>
                </c:pt>
                <c:pt idx="7">
                  <c:v>126.65337081204122</c:v>
                </c:pt>
                <c:pt idx="8">
                  <c:v>125.99298294811445</c:v>
                </c:pt>
                <c:pt idx="9">
                  <c:v>118.98837356653632</c:v>
                </c:pt>
                <c:pt idx="10">
                  <c:v>112.09668113463556</c:v>
                </c:pt>
                <c:pt idx="11">
                  <c:v>109.05020199253882</c:v>
                </c:pt>
              </c:numCache>
            </c:numRef>
          </c:val>
          <c:smooth val="0"/>
        </c:ser>
        <c:ser>
          <c:idx val="5"/>
          <c:order val="5"/>
          <c:tx>
            <c:v>2005</c:v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strRef>
              <c:f>'NY East'!$C$32:$N$32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'NY East'!$C$38:$N$38</c:f>
              <c:numCache>
                <c:formatCode>0.00</c:formatCode>
                <c:ptCount val="12"/>
                <c:pt idx="0">
                  <c:v>104.683914348816</c:v>
                </c:pt>
                <c:pt idx="1">
                  <c:v>101.94964351091349</c:v>
                </c:pt>
                <c:pt idx="2">
                  <c:v>99.735161177198819</c:v>
                </c:pt>
                <c:pt idx="3">
                  <c:v>107.7104016181564</c:v>
                </c:pt>
                <c:pt idx="4">
                  <c:v>116.9204556673578</c:v>
                </c:pt>
                <c:pt idx="5">
                  <c:v>120.43286807981571</c:v>
                </c:pt>
                <c:pt idx="6">
                  <c:v>122.8314960769377</c:v>
                </c:pt>
                <c:pt idx="7">
                  <c:v>126.45230284592049</c:v>
                </c:pt>
                <c:pt idx="8">
                  <c:v>125.70931848914208</c:v>
                </c:pt>
                <c:pt idx="9">
                  <c:v>118.73015676056991</c:v>
                </c:pt>
                <c:pt idx="10">
                  <c:v>111.79386679400882</c:v>
                </c:pt>
                <c:pt idx="11">
                  <c:v>108.90492275243787</c:v>
                </c:pt>
              </c:numCache>
            </c:numRef>
          </c:val>
          <c:smooth val="0"/>
        </c:ser>
        <c:ser>
          <c:idx val="6"/>
          <c:order val="6"/>
          <c:tx>
            <c:v>2006</c:v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strRef>
              <c:f>'NY East'!$C$32:$N$32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'NY East'!$C$39:$N$39</c:f>
              <c:numCache>
                <c:formatCode>0.00</c:formatCode>
                <c:ptCount val="12"/>
                <c:pt idx="0">
                  <c:v>104.56009779449903</c:v>
                </c:pt>
                <c:pt idx="1">
                  <c:v>101.73357238362105</c:v>
                </c:pt>
                <c:pt idx="2">
                  <c:v>99.760177344559679</c:v>
                </c:pt>
                <c:pt idx="3">
                  <c:v>107.5505675763504</c:v>
                </c:pt>
                <c:pt idx="4">
                  <c:v>116.2777039040443</c:v>
                </c:pt>
                <c:pt idx="5">
                  <c:v>120.32642592373416</c:v>
                </c:pt>
                <c:pt idx="6">
                  <c:v>122.66546902324043</c:v>
                </c:pt>
                <c:pt idx="7">
                  <c:v>126.2942958844458</c:v>
                </c:pt>
                <c:pt idx="8">
                  <c:v>125.63164109935661</c:v>
                </c:pt>
                <c:pt idx="9">
                  <c:v>118.37233558050985</c:v>
                </c:pt>
                <c:pt idx="10">
                  <c:v>111.53309842589927</c:v>
                </c:pt>
                <c:pt idx="11">
                  <c:v>98.508155282080082</c:v>
                </c:pt>
              </c:numCache>
            </c:numRef>
          </c:val>
          <c:smooth val="0"/>
        </c:ser>
        <c:ser>
          <c:idx val="7"/>
          <c:order val="7"/>
          <c:tx>
            <c:v>2007</c:v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strRef>
              <c:f>'NY East'!$C$32:$N$32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'NY East'!$C$40:$N$40</c:f>
              <c:numCache>
                <c:formatCode>0.00</c:formatCode>
                <c:ptCount val="12"/>
                <c:pt idx="0">
                  <c:v>94.030263691170177</c:v>
                </c:pt>
                <c:pt idx="1">
                  <c:v>91.241387508838187</c:v>
                </c:pt>
                <c:pt idx="2">
                  <c:v>89.231966473800085</c:v>
                </c:pt>
                <c:pt idx="3">
                  <c:v>96.680216463520821</c:v>
                </c:pt>
                <c:pt idx="4">
                  <c:v>104.6961627872596</c:v>
                </c:pt>
                <c:pt idx="5">
                  <c:v>107.84693133261744</c:v>
                </c:pt>
                <c:pt idx="6">
                  <c:v>109.64282999178189</c:v>
                </c:pt>
                <c:pt idx="7">
                  <c:v>112.91275320239833</c:v>
                </c:pt>
                <c:pt idx="8">
                  <c:v>113.30700876886439</c:v>
                </c:pt>
                <c:pt idx="9">
                  <c:v>108.57698321701147</c:v>
                </c:pt>
                <c:pt idx="10">
                  <c:v>101.1850548155423</c:v>
                </c:pt>
                <c:pt idx="11">
                  <c:v>98.288028850532896</c:v>
                </c:pt>
              </c:numCache>
            </c:numRef>
          </c:val>
          <c:smooth val="0"/>
        </c:ser>
        <c:ser>
          <c:idx val="8"/>
          <c:order val="8"/>
          <c:tx>
            <c:v>2008</c:v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strRef>
              <c:f>'NY East'!$C$32:$N$32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'NY East'!$C$41:$N$41</c:f>
              <c:numCache>
                <c:formatCode>0.00</c:formatCode>
                <c:ptCount val="12"/>
                <c:pt idx="0">
                  <c:v>95.165550839959863</c:v>
                </c:pt>
                <c:pt idx="1">
                  <c:v>92.850940429354182</c:v>
                </c:pt>
                <c:pt idx="2">
                  <c:v>90.728500749787102</c:v>
                </c:pt>
                <c:pt idx="3">
                  <c:v>97.939653116511437</c:v>
                </c:pt>
                <c:pt idx="4">
                  <c:v>106.03315860910388</c:v>
                </c:pt>
                <c:pt idx="5">
                  <c:v>109.52657862519573</c:v>
                </c:pt>
                <c:pt idx="6">
                  <c:v>111.22339435584007</c:v>
                </c:pt>
                <c:pt idx="7">
                  <c:v>114.54019718714406</c:v>
                </c:pt>
                <c:pt idx="8">
                  <c:v>116.72108073824791</c:v>
                </c:pt>
                <c:pt idx="9">
                  <c:v>109.92925356909309</c:v>
                </c:pt>
                <c:pt idx="10">
                  <c:v>102.57601786255906</c:v>
                </c:pt>
                <c:pt idx="11">
                  <c:v>99.397048766260667</c:v>
                </c:pt>
              </c:numCache>
            </c:numRef>
          </c:val>
          <c:smooth val="0"/>
        </c:ser>
        <c:ser>
          <c:idx val="9"/>
          <c:order val="9"/>
          <c:tx>
            <c:v>2009</c:v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strRef>
              <c:f>'NY East'!$C$32:$N$32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'NY East'!$C$42:$N$42</c:f>
              <c:numCache>
                <c:formatCode>0.00</c:formatCode>
                <c:ptCount val="12"/>
                <c:pt idx="0">
                  <c:v>95.004112465676982</c:v>
                </c:pt>
                <c:pt idx="1">
                  <c:v>92.146646520689984</c:v>
                </c:pt>
                <c:pt idx="2">
                  <c:v>90.415410783138668</c:v>
                </c:pt>
                <c:pt idx="3">
                  <c:v>97.700259542113059</c:v>
                </c:pt>
                <c:pt idx="4">
                  <c:v>105.7216896465971</c:v>
                </c:pt>
                <c:pt idx="5">
                  <c:v>108.81220661188367</c:v>
                </c:pt>
                <c:pt idx="6">
                  <c:v>110.55980552017519</c:v>
                </c:pt>
                <c:pt idx="7">
                  <c:v>113.91690308841594</c:v>
                </c:pt>
                <c:pt idx="8">
                  <c:v>115.48972430086586</c:v>
                </c:pt>
                <c:pt idx="9">
                  <c:v>107.79479349110917</c:v>
                </c:pt>
                <c:pt idx="10">
                  <c:v>99.082882439873401</c:v>
                </c:pt>
                <c:pt idx="11">
                  <c:v>95.713947747348342</c:v>
                </c:pt>
              </c:numCache>
            </c:numRef>
          </c:val>
          <c:smooth val="0"/>
        </c:ser>
        <c:ser>
          <c:idx val="10"/>
          <c:order val="10"/>
          <c:tx>
            <c:v>2010</c:v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strRef>
              <c:f>'NY East'!$C$32:$N$32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'NY East'!$C$43:$N$43</c:f>
              <c:numCache>
                <c:formatCode>0.00</c:formatCode>
                <c:ptCount val="12"/>
                <c:pt idx="0">
                  <c:v>86.724938604846926</c:v>
                </c:pt>
                <c:pt idx="1">
                  <c:v>78.902917248453917</c:v>
                </c:pt>
                <c:pt idx="2">
                  <c:v>76.036111095970412</c:v>
                </c:pt>
                <c:pt idx="3">
                  <c:v>84.565585455349165</c:v>
                </c:pt>
                <c:pt idx="4">
                  <c:v>92.749097807518865</c:v>
                </c:pt>
                <c:pt idx="5">
                  <c:v>99.14689912977461</c:v>
                </c:pt>
                <c:pt idx="6">
                  <c:v>100.90012460787401</c:v>
                </c:pt>
                <c:pt idx="7">
                  <c:v>104.00284832074061</c:v>
                </c:pt>
                <c:pt idx="8">
                  <c:v>99.588840281583799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0156944"/>
        <c:axId val="250157504"/>
      </c:lineChart>
      <c:catAx>
        <c:axId val="250156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Month</a:t>
                </a:r>
              </a:p>
            </c:rich>
          </c:tx>
          <c:layout>
            <c:manualLayout>
              <c:xMode val="edge"/>
              <c:yMode val="edge"/>
              <c:x val="0.51831298557158711"/>
              <c:y val="0.8988580750407830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01575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501575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</a:t>
                </a:r>
              </a:p>
            </c:rich>
          </c:tx>
          <c:layout>
            <c:manualLayout>
              <c:xMode val="edge"/>
              <c:yMode val="edge"/>
              <c:x val="1.2208657047724751E-2"/>
              <c:y val="0.46166394779771613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015694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761376248612654"/>
          <c:y val="0.9559543230016313"/>
          <c:w val="0.78690344062153161"/>
          <c:h val="3.915171288743882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3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4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5" workbookViewId="0"/>
  </sheetViews>
  <pageMargins left="0.75" right="0.75" top="1" bottom="1" header="0.5" footer="0.5"/>
  <pageSetup orientation="landscape" horizontalDpi="300" verticalDpi="300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95" workbookViewId="0"/>
  </sheetViews>
  <pageMargins left="0.75" right="0.75" top="1" bottom="1" header="0.5" footer="0.5"/>
  <pageSetup orientation="landscape" horizontalDpi="300" verticalDpi="300" r:id="rId1"/>
  <headerFooter alignWithMargins="0"/>
  <drawing r:id="rId2"/>
</chartsheet>
</file>

<file path=xl/ctrlProps/ctrlProp1.xml><?xml version="1.0" encoding="utf-8"?>
<formControlPr xmlns="http://schemas.microsoft.com/office/spreadsheetml/2009/9/main" objectType="Drop" dropLines="4" dropStyle="combo" dx="22" fmlaLink="$U$13" fmlaRange="$U$9:$U$11" noThreeD="1" sel="3" val="0"/>
</file>

<file path=xl/ctrlProps/ctrlProp2.xml><?xml version="1.0" encoding="utf-8"?>
<formControlPr xmlns="http://schemas.microsoft.com/office/spreadsheetml/2009/9/main" objectType="Drop" dropLines="4" dropStyle="combo" dx="22" fmlaLink="$V$13" fmlaRange="$V$9:$V$12" noThreeD="1" sel="1" val="0"/>
</file>

<file path=xl/ctrlProps/ctrlProp3.xml><?xml version="1.0" encoding="utf-8"?>
<formControlPr xmlns="http://schemas.microsoft.com/office/spreadsheetml/2009/9/main" objectType="Drop" dropLines="4" dropStyle="combo" dx="22" fmlaLink="$W$13" fmlaRange="$W$9:$W$10" noThreeD="1" sel="1" val="0"/>
</file>

<file path=xl/ctrlProps/ctrlProp4.xml><?xml version="1.0" encoding="utf-8"?>
<formControlPr xmlns="http://schemas.microsoft.com/office/spreadsheetml/2009/9/main" objectType="Drop" dropLines="3" dropStyle="combo" dx="22" fmlaLink="$AB$13" fmlaRange="$AB$9:$AB$12" noThreeD="1" sel="1" val="0"/>
</file>

<file path=xl/ctrlProps/ctrlProp5.xml><?xml version="1.0" encoding="utf-8"?>
<formControlPr xmlns="http://schemas.microsoft.com/office/spreadsheetml/2009/9/main" objectType="Button" lockText="1"/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2295525</xdr:colOff>
          <xdr:row>28</xdr:row>
          <xdr:rowOff>0</xdr:rowOff>
        </xdr:from>
        <xdr:to>
          <xdr:col>13</xdr:col>
          <xdr:colOff>28575</xdr:colOff>
          <xdr:row>29</xdr:row>
          <xdr:rowOff>0</xdr:rowOff>
        </xdr:to>
        <xdr:sp macro="" textlink="">
          <xdr:nvSpPr>
            <xdr:cNvPr id="1051" name="Drop Down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56</xdr:row>
          <xdr:rowOff>200025</xdr:rowOff>
        </xdr:from>
        <xdr:to>
          <xdr:col>7</xdr:col>
          <xdr:colOff>1190625</xdr:colOff>
          <xdr:row>58</xdr:row>
          <xdr:rowOff>0</xdr:rowOff>
        </xdr:to>
        <xdr:sp macro="" textlink="">
          <xdr:nvSpPr>
            <xdr:cNvPr id="1055" name="Drop Down 31" hidden="1">
              <a:extLst>
                <a:ext uri="{63B3BB69-23CF-44E3-9099-C40C66FF867C}">
                  <a14:compatExt spid="_x0000_s10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59</xdr:row>
          <xdr:rowOff>9525</xdr:rowOff>
        </xdr:from>
        <xdr:to>
          <xdr:col>9</xdr:col>
          <xdr:colOff>0</xdr:colOff>
          <xdr:row>60</xdr:row>
          <xdr:rowOff>38100</xdr:rowOff>
        </xdr:to>
        <xdr:sp macro="" textlink="">
          <xdr:nvSpPr>
            <xdr:cNvPr id="1057" name="Drop Down 33" hidden="1">
              <a:extLst>
                <a:ext uri="{63B3BB69-23CF-44E3-9099-C40C66FF867C}">
                  <a14:compatExt spid="_x0000_s10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26</xdr:row>
          <xdr:rowOff>180975</xdr:rowOff>
        </xdr:from>
        <xdr:to>
          <xdr:col>6</xdr:col>
          <xdr:colOff>1190625</xdr:colOff>
          <xdr:row>27</xdr:row>
          <xdr:rowOff>190500</xdr:rowOff>
        </xdr:to>
        <xdr:sp macro="" textlink="">
          <xdr:nvSpPr>
            <xdr:cNvPr id="1141" name="Drop Down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342900</xdr:colOff>
          <xdr:row>15</xdr:row>
          <xdr:rowOff>28575</xdr:rowOff>
        </xdr:from>
        <xdr:to>
          <xdr:col>0</xdr:col>
          <xdr:colOff>1933575</xdr:colOff>
          <xdr:row>17</xdr:row>
          <xdr:rowOff>38100</xdr:rowOff>
        </xdr:to>
        <xdr:sp macro="" textlink="">
          <xdr:nvSpPr>
            <xdr:cNvPr id="8656" name="Button 464" hidden="1">
              <a:extLst>
                <a:ext uri="{63B3BB69-23CF-44E3-9099-C40C66FF867C}">
                  <a14:compatExt spid="_x0000_s86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Goal Seek Debt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Brownsville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ast%20Origination/CTG%20Models/brownsville_012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PEMEX_Model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NAES\From_KO\LM6000s\Control\OldCostConfiguration-1-20-9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ci"/>
      <sheetName val="Project Assumptions"/>
      <sheetName val="PPA Assumptions &amp;Summary"/>
      <sheetName val="Operations"/>
      <sheetName val="Book Income Statement"/>
      <sheetName val="Cash Flow Statement"/>
      <sheetName val="BS"/>
      <sheetName val="Depreciation"/>
      <sheetName val="Interest During Construction"/>
      <sheetName val="Maintenance Reserves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22">
          <cell r="D22">
            <v>20</v>
          </cell>
          <cell r="E22">
            <v>3737</v>
          </cell>
          <cell r="F22">
            <v>0</v>
          </cell>
          <cell r="G22">
            <v>3737</v>
          </cell>
          <cell r="H22">
            <v>0</v>
          </cell>
          <cell r="I22">
            <v>1</v>
          </cell>
        </row>
        <row r="23">
          <cell r="D23">
            <v>30</v>
          </cell>
          <cell r="E23">
            <v>3737</v>
          </cell>
          <cell r="F23">
            <v>0</v>
          </cell>
          <cell r="G23">
            <v>3737</v>
          </cell>
          <cell r="H23">
            <v>0</v>
          </cell>
          <cell r="I23">
            <v>1</v>
          </cell>
        </row>
        <row r="24">
          <cell r="D24">
            <v>40</v>
          </cell>
          <cell r="E24">
            <v>7094</v>
          </cell>
          <cell r="F24">
            <v>0</v>
          </cell>
          <cell r="G24">
            <v>7094</v>
          </cell>
          <cell r="H24">
            <v>0</v>
          </cell>
          <cell r="I24">
            <v>1</v>
          </cell>
        </row>
        <row r="25">
          <cell r="D25">
            <v>50</v>
          </cell>
          <cell r="E25">
            <v>7094</v>
          </cell>
          <cell r="F25">
            <v>0</v>
          </cell>
          <cell r="G25">
            <v>7094</v>
          </cell>
          <cell r="H25">
            <v>0</v>
          </cell>
          <cell r="I25">
            <v>1</v>
          </cell>
        </row>
        <row r="26">
          <cell r="D26">
            <v>60</v>
          </cell>
          <cell r="E26">
            <v>7094</v>
          </cell>
          <cell r="F26">
            <v>0</v>
          </cell>
          <cell r="G26">
            <v>7094</v>
          </cell>
          <cell r="H26">
            <v>0</v>
          </cell>
          <cell r="I26">
            <v>1</v>
          </cell>
        </row>
        <row r="27">
          <cell r="D27">
            <v>70</v>
          </cell>
          <cell r="E27">
            <v>7094</v>
          </cell>
          <cell r="F27">
            <v>0</v>
          </cell>
          <cell r="G27">
            <v>7094</v>
          </cell>
          <cell r="H27">
            <v>0</v>
          </cell>
          <cell r="I27">
            <v>1</v>
          </cell>
        </row>
        <row r="28">
          <cell r="D28">
            <v>80</v>
          </cell>
          <cell r="E28">
            <v>15619</v>
          </cell>
          <cell r="F28">
            <v>0</v>
          </cell>
          <cell r="G28">
            <v>15619</v>
          </cell>
          <cell r="H28">
            <v>0</v>
          </cell>
          <cell r="I28">
            <v>1</v>
          </cell>
        </row>
        <row r="29">
          <cell r="D29">
            <v>90</v>
          </cell>
          <cell r="E29">
            <v>15619</v>
          </cell>
          <cell r="F29">
            <v>0</v>
          </cell>
          <cell r="G29">
            <v>15619</v>
          </cell>
          <cell r="H29">
            <v>0</v>
          </cell>
          <cell r="I29">
            <v>1</v>
          </cell>
        </row>
        <row r="30">
          <cell r="D30">
            <v>100</v>
          </cell>
          <cell r="E30">
            <v>15619</v>
          </cell>
          <cell r="F30">
            <v>0</v>
          </cell>
          <cell r="G30">
            <v>15619</v>
          </cell>
          <cell r="H30">
            <v>0</v>
          </cell>
          <cell r="I30">
            <v>1</v>
          </cell>
        </row>
        <row r="31">
          <cell r="D31">
            <v>110</v>
          </cell>
          <cell r="E31">
            <v>15619</v>
          </cell>
          <cell r="F31">
            <v>0</v>
          </cell>
          <cell r="G31">
            <v>15619</v>
          </cell>
          <cell r="H31">
            <v>0</v>
          </cell>
          <cell r="I31">
            <v>1</v>
          </cell>
        </row>
        <row r="32">
          <cell r="D32">
            <v>120</v>
          </cell>
          <cell r="E32">
            <v>16443</v>
          </cell>
          <cell r="F32">
            <v>0</v>
          </cell>
          <cell r="G32">
            <v>16443</v>
          </cell>
          <cell r="H32">
            <v>0</v>
          </cell>
          <cell r="I32">
            <v>1</v>
          </cell>
        </row>
        <row r="33">
          <cell r="D33">
            <v>130</v>
          </cell>
          <cell r="E33">
            <v>16443</v>
          </cell>
          <cell r="F33">
            <v>0</v>
          </cell>
          <cell r="G33">
            <v>16443</v>
          </cell>
          <cell r="H33">
            <v>0</v>
          </cell>
          <cell r="I33">
            <v>1</v>
          </cell>
        </row>
        <row r="34">
          <cell r="D34">
            <v>140</v>
          </cell>
          <cell r="E34">
            <v>16443</v>
          </cell>
          <cell r="F34">
            <v>0</v>
          </cell>
          <cell r="G34">
            <v>16443</v>
          </cell>
          <cell r="H34">
            <v>0</v>
          </cell>
          <cell r="I34">
            <v>1</v>
          </cell>
        </row>
        <row r="35">
          <cell r="D35">
            <v>150</v>
          </cell>
          <cell r="E35">
            <v>16443</v>
          </cell>
          <cell r="F35">
            <v>0</v>
          </cell>
          <cell r="G35">
            <v>16443</v>
          </cell>
          <cell r="H35">
            <v>0</v>
          </cell>
          <cell r="I35">
            <v>1</v>
          </cell>
        </row>
        <row r="36">
          <cell r="D36">
            <v>160</v>
          </cell>
          <cell r="E36">
            <v>22268</v>
          </cell>
          <cell r="F36">
            <v>0</v>
          </cell>
          <cell r="G36">
            <v>22268</v>
          </cell>
          <cell r="H36">
            <v>0</v>
          </cell>
          <cell r="I36">
            <v>1</v>
          </cell>
        </row>
        <row r="37">
          <cell r="D37">
            <v>170</v>
          </cell>
          <cell r="E37">
            <v>22268</v>
          </cell>
          <cell r="F37">
            <v>0</v>
          </cell>
          <cell r="G37">
            <v>22268</v>
          </cell>
          <cell r="H37">
            <v>0</v>
          </cell>
          <cell r="I37">
            <v>1</v>
          </cell>
        </row>
        <row r="38">
          <cell r="D38">
            <v>180</v>
          </cell>
          <cell r="E38">
            <v>22268</v>
          </cell>
          <cell r="F38">
            <v>0</v>
          </cell>
          <cell r="G38">
            <v>22268</v>
          </cell>
          <cell r="H38">
            <v>0</v>
          </cell>
          <cell r="I38">
            <v>1</v>
          </cell>
        </row>
        <row r="39">
          <cell r="D39">
            <v>190</v>
          </cell>
          <cell r="E39">
            <v>22268</v>
          </cell>
          <cell r="F39">
            <v>0</v>
          </cell>
          <cell r="G39">
            <v>22268</v>
          </cell>
          <cell r="H39">
            <v>0</v>
          </cell>
          <cell r="I39">
            <v>1</v>
          </cell>
        </row>
        <row r="40">
          <cell r="D40">
            <v>200</v>
          </cell>
          <cell r="E40">
            <v>22268</v>
          </cell>
          <cell r="F40">
            <v>0</v>
          </cell>
          <cell r="G40">
            <v>22268</v>
          </cell>
          <cell r="H40">
            <v>0</v>
          </cell>
          <cell r="I40">
            <v>1</v>
          </cell>
        </row>
        <row r="41">
          <cell r="D41">
            <v>210</v>
          </cell>
          <cell r="E41">
            <v>22268</v>
          </cell>
          <cell r="F41">
            <v>0</v>
          </cell>
          <cell r="G41">
            <v>22268</v>
          </cell>
          <cell r="H41">
            <v>0</v>
          </cell>
          <cell r="I41">
            <v>1</v>
          </cell>
        </row>
        <row r="42">
          <cell r="D42">
            <v>220</v>
          </cell>
          <cell r="E42">
            <v>22268</v>
          </cell>
          <cell r="F42">
            <v>0</v>
          </cell>
          <cell r="G42">
            <v>22268</v>
          </cell>
          <cell r="H42">
            <v>0</v>
          </cell>
          <cell r="I42">
            <v>1</v>
          </cell>
        </row>
        <row r="43">
          <cell r="D43">
            <v>230</v>
          </cell>
          <cell r="E43">
            <v>22268</v>
          </cell>
          <cell r="F43">
            <v>0</v>
          </cell>
          <cell r="G43">
            <v>22268</v>
          </cell>
          <cell r="H43">
            <v>0</v>
          </cell>
          <cell r="I43">
            <v>1</v>
          </cell>
        </row>
        <row r="44">
          <cell r="D44">
            <v>240</v>
          </cell>
          <cell r="E44">
            <v>23316</v>
          </cell>
          <cell r="F44">
            <v>0</v>
          </cell>
          <cell r="G44">
            <v>23316</v>
          </cell>
          <cell r="H44">
            <v>0</v>
          </cell>
          <cell r="I44">
            <v>1</v>
          </cell>
        </row>
        <row r="45">
          <cell r="D45">
            <v>250</v>
          </cell>
          <cell r="E45">
            <v>23316</v>
          </cell>
          <cell r="F45">
            <v>0</v>
          </cell>
          <cell r="G45">
            <v>23316</v>
          </cell>
          <cell r="H45">
            <v>0</v>
          </cell>
          <cell r="I45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ci"/>
      <sheetName val="Tracking sheet"/>
      <sheetName val="Value"/>
      <sheetName val="Project Assumptions"/>
      <sheetName val="PPA Assumptions &amp;Summary"/>
      <sheetName val="Operations"/>
      <sheetName val="Debt Amortization"/>
      <sheetName val="Returns Summary"/>
      <sheetName val="Book Income Statement"/>
      <sheetName val="Cash Flow Statement"/>
      <sheetName val="BS"/>
      <sheetName val="Tax Calculations"/>
      <sheetName val="Depreciation"/>
      <sheetName val="Interest During Construction"/>
      <sheetName val="Maintenance Reserves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"/>
      <sheetName val="IS &amp; CF"/>
      <sheetName val="Ops"/>
      <sheetName val="Ins &amp; PT"/>
      <sheetName val="Financing"/>
      <sheetName val="Dep"/>
      <sheetName val="O&amp;M"/>
      <sheetName val="Volumes"/>
      <sheetName val="%"/>
    </sheetNames>
    <sheetDataSet>
      <sheetData sheetId="0">
        <row r="7">
          <cell r="N7">
            <v>36526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PROJECTCONFIGURATION"/>
      <sheetName val="SOURCEDATA"/>
      <sheetName val="OPERATIONAL CHARACTERISTICS"/>
      <sheetName val="EPC DETAIL X 2 LM 6000"/>
      <sheetName val="FINANCE"/>
      <sheetName val="TURBINE AVAILABILITY"/>
      <sheetName val="CLARIFICATIONS"/>
    </sheetNames>
    <sheetDataSet>
      <sheetData sheetId="0"/>
      <sheetData sheetId="1">
        <row r="65">
          <cell r="M65" t="b">
            <v>1</v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Relationship Id="rId4" Type="http://schemas.openxmlformats.org/officeDocument/2006/relationships/ctrlProp" Target="../ctrlProps/ctrlProp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R71"/>
  <sheetViews>
    <sheetView zoomScale="75" zoomScaleNormal="75" workbookViewId="0"/>
  </sheetViews>
  <sheetFormatPr defaultRowHeight="12.75"/>
  <cols>
    <col min="1" max="1" width="16.5703125" style="12" bestFit="1" customWidth="1"/>
    <col min="2" max="11" width="9.140625" style="12"/>
    <col min="12" max="12" width="11.5703125" style="12" bestFit="1" customWidth="1"/>
    <col min="13" max="14" width="9.140625" style="12"/>
    <col min="15" max="15" width="11.5703125" style="12" bestFit="1" customWidth="1"/>
    <col min="16" max="16384" width="9.140625" style="12"/>
  </cols>
  <sheetData>
    <row r="2" spans="1:18" ht="18.75">
      <c r="A2" s="171" t="s">
        <v>165</v>
      </c>
      <c r="C2" s="5"/>
    </row>
    <row r="3" spans="1:18" s="46" customFormat="1" ht="15.75"/>
    <row r="4" spans="1:18" s="46" customFormat="1" ht="18.75">
      <c r="A4" s="474">
        <v>1</v>
      </c>
      <c r="B4" s="207" t="s">
        <v>402</v>
      </c>
      <c r="C4" s="474"/>
      <c r="D4" s="474"/>
      <c r="E4" s="474"/>
      <c r="F4" s="474"/>
      <c r="G4" s="474"/>
      <c r="H4" s="474"/>
      <c r="I4" s="474"/>
      <c r="J4" s="474"/>
      <c r="K4" s="474"/>
      <c r="L4" s="474"/>
      <c r="M4" s="474"/>
      <c r="N4" s="474"/>
      <c r="O4" s="474"/>
      <c r="P4" s="474"/>
      <c r="Q4" s="474"/>
    </row>
    <row r="5" spans="1:18" s="46" customFormat="1" ht="18.75">
      <c r="B5" s="207" t="s">
        <v>403</v>
      </c>
      <c r="C5" s="474"/>
      <c r="D5" s="474"/>
      <c r="E5" s="474"/>
      <c r="F5" s="474"/>
      <c r="G5" s="474"/>
      <c r="H5" s="474"/>
      <c r="I5" s="474"/>
      <c r="J5" s="474"/>
      <c r="K5" s="474"/>
      <c r="L5" s="474"/>
      <c r="M5" s="474"/>
      <c r="N5" s="474"/>
      <c r="O5" s="474"/>
      <c r="P5" s="474"/>
      <c r="Q5" s="474"/>
    </row>
    <row r="6" spans="1:18" s="46" customFormat="1" ht="15.75">
      <c r="A6" s="12">
        <v>2</v>
      </c>
      <c r="B6" s="53" t="s">
        <v>313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</row>
    <row r="7" spans="1:18" s="46" customFormat="1" ht="15.75">
      <c r="A7" s="12">
        <v>3</v>
      </c>
      <c r="B7" s="53" t="s">
        <v>314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</row>
    <row r="8" spans="1:18" s="46" customFormat="1" ht="15.75">
      <c r="A8" s="12">
        <v>4</v>
      </c>
      <c r="B8" s="12" t="s">
        <v>321</v>
      </c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</row>
    <row r="9" spans="1:18" s="46" customFormat="1" ht="15.75">
      <c r="A9" s="12">
        <v>5</v>
      </c>
      <c r="B9" s="12" t="s">
        <v>414</v>
      </c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</row>
    <row r="10" spans="1:18" s="46" customFormat="1" ht="15.75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</row>
    <row r="11" spans="1:18" s="46" customFormat="1" ht="15.75"/>
    <row r="12" spans="1:18" s="46" customFormat="1" ht="18.75">
      <c r="A12" s="171" t="s">
        <v>206</v>
      </c>
    </row>
    <row r="13" spans="1:18" s="46" customFormat="1" ht="15.75">
      <c r="A13" s="475"/>
      <c r="B13" s="12"/>
      <c r="C13" s="12"/>
      <c r="D13" s="12"/>
      <c r="E13" s="12"/>
      <c r="F13" s="12"/>
      <c r="G13" s="12"/>
      <c r="H13" s="12"/>
      <c r="I13" s="476" t="s">
        <v>207</v>
      </c>
      <c r="J13" s="12"/>
      <c r="K13" s="12"/>
      <c r="L13" s="12"/>
      <c r="M13" s="12"/>
      <c r="N13" s="12"/>
      <c r="O13" s="476"/>
      <c r="P13" s="12"/>
    </row>
    <row r="14" spans="1:18" s="46" customFormat="1" ht="15.75">
      <c r="A14" s="12">
        <v>1</v>
      </c>
      <c r="B14" s="12" t="s">
        <v>374</v>
      </c>
      <c r="C14" s="12"/>
      <c r="D14" s="12"/>
      <c r="E14" s="12"/>
      <c r="F14" s="12"/>
      <c r="G14" s="12"/>
      <c r="H14" s="12"/>
      <c r="I14" s="12" t="s">
        <v>208</v>
      </c>
      <c r="J14" s="12"/>
      <c r="K14" s="12"/>
      <c r="L14" s="12"/>
      <c r="M14" s="12"/>
      <c r="N14" s="12"/>
      <c r="O14" s="477"/>
      <c r="P14" s="12"/>
    </row>
    <row r="15" spans="1:18" s="46" customFormat="1" ht="15.75">
      <c r="A15" s="12"/>
      <c r="B15" s="12" t="s">
        <v>274</v>
      </c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477"/>
      <c r="P15" s="12"/>
    </row>
    <row r="16" spans="1:18" s="46" customFormat="1" ht="15.75">
      <c r="A16" s="12">
        <v>2</v>
      </c>
      <c r="B16" s="12" t="s">
        <v>234</v>
      </c>
      <c r="C16" s="12"/>
      <c r="D16" s="12"/>
      <c r="E16" s="12"/>
      <c r="F16" s="12"/>
      <c r="G16" s="12"/>
      <c r="H16" s="12"/>
      <c r="I16" s="12" t="s">
        <v>208</v>
      </c>
      <c r="J16" s="12"/>
      <c r="K16" s="12"/>
      <c r="L16" s="12"/>
      <c r="M16" s="12"/>
      <c r="N16" s="12"/>
      <c r="O16" s="477"/>
      <c r="P16" s="12"/>
    </row>
    <row r="17" spans="1:16" s="46" customFormat="1" ht="15.75">
      <c r="A17" s="12">
        <v>3</v>
      </c>
      <c r="B17" s="12" t="s">
        <v>31</v>
      </c>
      <c r="C17" s="12"/>
      <c r="D17" s="12"/>
      <c r="E17" s="12"/>
      <c r="F17" s="12"/>
      <c r="G17" s="12"/>
      <c r="H17" s="12"/>
      <c r="I17" s="12" t="s">
        <v>369</v>
      </c>
      <c r="J17" s="12"/>
      <c r="K17" s="12"/>
      <c r="L17" s="12"/>
      <c r="M17" s="12"/>
      <c r="N17" s="12"/>
      <c r="O17" s="477"/>
      <c r="P17" s="12"/>
    </row>
    <row r="18" spans="1:16" s="46" customFormat="1" ht="15.75">
      <c r="A18" s="12">
        <v>4</v>
      </c>
      <c r="B18" s="12" t="s">
        <v>260</v>
      </c>
      <c r="C18" s="12"/>
      <c r="D18" s="12"/>
      <c r="E18" s="12"/>
      <c r="F18" s="12"/>
      <c r="G18" s="12"/>
      <c r="H18" s="12"/>
      <c r="I18" s="12" t="s">
        <v>421</v>
      </c>
      <c r="J18" s="12"/>
      <c r="K18" s="12"/>
      <c r="L18" s="12"/>
      <c r="M18" s="12"/>
      <c r="N18" s="12"/>
      <c r="O18" s="12"/>
      <c r="P18" s="12"/>
    </row>
    <row r="19" spans="1:16" s="46" customFormat="1" ht="15.75">
      <c r="A19" s="12">
        <v>5</v>
      </c>
      <c r="B19" s="12" t="s">
        <v>315</v>
      </c>
      <c r="C19" s="12"/>
      <c r="D19" s="12"/>
      <c r="E19" s="12"/>
      <c r="F19" s="12"/>
      <c r="G19" s="12"/>
      <c r="H19" s="12"/>
      <c r="I19" s="12" t="s">
        <v>284</v>
      </c>
      <c r="J19" s="12"/>
      <c r="K19" s="12"/>
      <c r="L19" s="12"/>
      <c r="M19" s="12"/>
      <c r="N19" s="12"/>
      <c r="O19" s="477"/>
      <c r="P19" s="12"/>
    </row>
    <row r="20" spans="1:16" s="46" customFormat="1" ht="15.75">
      <c r="A20" s="12">
        <v>6</v>
      </c>
      <c r="B20" s="12" t="s">
        <v>335</v>
      </c>
      <c r="C20" s="12"/>
      <c r="D20" s="12"/>
      <c r="E20" s="12"/>
      <c r="F20" s="12"/>
      <c r="G20" s="12"/>
      <c r="H20" s="12"/>
      <c r="I20" s="12" t="s">
        <v>336</v>
      </c>
      <c r="J20" s="12"/>
      <c r="K20" s="12"/>
      <c r="L20" s="12"/>
      <c r="M20" s="12"/>
      <c r="N20" s="12"/>
      <c r="O20" s="12"/>
      <c r="P20" s="12"/>
    </row>
    <row r="21" spans="1:16" s="46" customFormat="1" ht="15.75">
      <c r="A21" s="12">
        <v>7</v>
      </c>
      <c r="B21" s="12" t="s">
        <v>367</v>
      </c>
      <c r="C21" s="12"/>
      <c r="D21" s="12"/>
      <c r="E21" s="12"/>
      <c r="F21" s="12"/>
      <c r="G21" s="12"/>
      <c r="H21" s="12"/>
      <c r="I21" s="12" t="s">
        <v>284</v>
      </c>
      <c r="J21" s="12"/>
      <c r="K21" s="12"/>
      <c r="L21" s="12"/>
      <c r="M21" s="12"/>
      <c r="N21" s="12"/>
      <c r="O21" s="477"/>
      <c r="P21" s="12"/>
    </row>
    <row r="22" spans="1:16" s="46" customFormat="1" ht="15.75">
      <c r="A22" s="12">
        <v>8</v>
      </c>
      <c r="B22" s="12" t="s">
        <v>370</v>
      </c>
      <c r="C22" s="12"/>
      <c r="D22" s="12"/>
      <c r="E22" s="12"/>
      <c r="F22" s="12"/>
      <c r="G22" s="12"/>
      <c r="H22" s="12"/>
      <c r="I22" s="12" t="s">
        <v>371</v>
      </c>
      <c r="J22" s="12"/>
      <c r="K22" s="12"/>
      <c r="L22" s="12"/>
      <c r="M22" s="12"/>
      <c r="N22" s="12"/>
      <c r="O22" s="12"/>
      <c r="P22" s="12"/>
    </row>
    <row r="23" spans="1:16" s="46" customFormat="1" ht="15.75">
      <c r="A23" s="12">
        <v>9</v>
      </c>
      <c r="B23" s="12" t="s">
        <v>411</v>
      </c>
      <c r="C23" s="12"/>
      <c r="D23" s="12"/>
      <c r="E23" s="12"/>
      <c r="F23" s="12"/>
      <c r="G23" s="12"/>
      <c r="H23" s="12"/>
      <c r="I23" s="12" t="s">
        <v>284</v>
      </c>
      <c r="J23" s="12"/>
      <c r="K23" s="12"/>
      <c r="L23" s="12"/>
      <c r="M23" s="12"/>
      <c r="N23" s="12"/>
      <c r="O23" s="12"/>
      <c r="P23" s="12"/>
    </row>
    <row r="24" spans="1:16" s="46" customFormat="1" ht="15.75"/>
    <row r="25" spans="1:16" s="46" customFormat="1" ht="15.75"/>
    <row r="26" spans="1:16" s="46" customFormat="1" ht="15.75"/>
    <row r="27" spans="1:16" s="46" customFormat="1" ht="18.75">
      <c r="A27" s="171" t="s">
        <v>277</v>
      </c>
    </row>
    <row r="28" spans="1:16" s="46" customFormat="1" ht="18.75">
      <c r="A28" s="283"/>
    </row>
    <row r="29" spans="1:16" s="46" customFormat="1" ht="15.75">
      <c r="A29" s="12"/>
      <c r="B29" s="478" t="s">
        <v>302</v>
      </c>
      <c r="C29" s="12"/>
      <c r="D29" s="12"/>
      <c r="E29" s="478" t="s">
        <v>301</v>
      </c>
      <c r="F29" s="478"/>
      <c r="G29" s="478"/>
      <c r="H29" s="478" t="s">
        <v>303</v>
      </c>
      <c r="I29" s="12"/>
      <c r="J29" s="12"/>
    </row>
    <row r="30" spans="1:16" s="46" customFormat="1" ht="15.75">
      <c r="A30" s="12"/>
      <c r="B30" s="12" t="s">
        <v>376</v>
      </c>
      <c r="C30" s="12"/>
      <c r="D30" s="12"/>
      <c r="E30" s="12" t="s">
        <v>286</v>
      </c>
      <c r="F30" s="12"/>
      <c r="G30" s="12"/>
      <c r="H30" s="12" t="s">
        <v>298</v>
      </c>
      <c r="I30" s="12"/>
      <c r="J30" s="12"/>
    </row>
    <row r="31" spans="1:16" s="46" customFormat="1" ht="15.75">
      <c r="A31" s="12"/>
      <c r="B31" s="12"/>
      <c r="C31" s="12"/>
      <c r="D31" s="12"/>
      <c r="E31" s="12" t="s">
        <v>287</v>
      </c>
      <c r="F31" s="12"/>
      <c r="G31" s="12"/>
      <c r="H31" s="12" t="s">
        <v>299</v>
      </c>
      <c r="I31" s="12"/>
      <c r="J31" s="12"/>
    </row>
    <row r="32" spans="1:16" s="46" customFormat="1" ht="15.75">
      <c r="A32" s="12"/>
      <c r="B32" s="12" t="s">
        <v>377</v>
      </c>
      <c r="C32" s="12"/>
      <c r="D32" s="12"/>
      <c r="E32" s="12" t="s">
        <v>288</v>
      </c>
      <c r="F32" s="12"/>
      <c r="G32" s="12"/>
      <c r="H32" s="12" t="s">
        <v>300</v>
      </c>
      <c r="I32" s="12"/>
      <c r="J32" s="12"/>
    </row>
    <row r="33" spans="1:10" s="46" customFormat="1" ht="15.75">
      <c r="A33" s="12"/>
      <c r="B33" s="12" t="s">
        <v>282</v>
      </c>
      <c r="C33" s="12"/>
      <c r="D33" s="12"/>
      <c r="E33" s="12" t="s">
        <v>283</v>
      </c>
      <c r="F33" s="12"/>
      <c r="G33" s="12"/>
      <c r="H33" s="12" t="s">
        <v>295</v>
      </c>
      <c r="I33" s="12"/>
      <c r="J33" s="12"/>
    </row>
    <row r="34" spans="1:10" s="46" customFormat="1" ht="15.75">
      <c r="A34" s="12"/>
      <c r="B34" s="12"/>
      <c r="C34" s="12"/>
      <c r="D34" s="12"/>
      <c r="E34" s="12" t="s">
        <v>284</v>
      </c>
      <c r="F34" s="12"/>
      <c r="G34" s="12"/>
      <c r="H34" s="12" t="s">
        <v>296</v>
      </c>
      <c r="I34" s="12"/>
      <c r="J34" s="12"/>
    </row>
    <row r="35" spans="1:10" s="46" customFormat="1" ht="15.75">
      <c r="A35" s="12"/>
      <c r="B35" s="12"/>
      <c r="C35" s="12"/>
      <c r="D35" s="12"/>
      <c r="E35" s="12" t="s">
        <v>285</v>
      </c>
      <c r="F35" s="12"/>
      <c r="G35" s="12"/>
      <c r="H35" s="12" t="s">
        <v>297</v>
      </c>
      <c r="I35" s="12"/>
      <c r="J35" s="12"/>
    </row>
    <row r="36" spans="1:10" s="46" customFormat="1" ht="15.75">
      <c r="A36" s="12"/>
      <c r="B36" s="12" t="s">
        <v>280</v>
      </c>
      <c r="C36" s="12"/>
      <c r="D36" s="12"/>
      <c r="E36" s="12" t="s">
        <v>281</v>
      </c>
      <c r="F36" s="12"/>
      <c r="G36" s="12"/>
      <c r="H36" s="12" t="s">
        <v>294</v>
      </c>
      <c r="I36" s="12"/>
      <c r="J36" s="12"/>
    </row>
    <row r="37" spans="1:10" s="46" customFormat="1" ht="15.75">
      <c r="A37" s="12"/>
      <c r="B37" s="12" t="s">
        <v>335</v>
      </c>
      <c r="C37" s="12"/>
      <c r="D37" s="12"/>
      <c r="E37" s="12" t="s">
        <v>336</v>
      </c>
      <c r="F37" s="12"/>
      <c r="G37" s="12"/>
      <c r="H37" s="12" t="s">
        <v>333</v>
      </c>
      <c r="I37" s="12"/>
      <c r="J37" s="12"/>
    </row>
    <row r="38" spans="1:10" s="46" customFormat="1" ht="15.75">
      <c r="A38" s="12"/>
      <c r="B38" s="12" t="s">
        <v>278</v>
      </c>
      <c r="C38" s="12"/>
      <c r="D38" s="12"/>
      <c r="E38" s="12" t="s">
        <v>279</v>
      </c>
      <c r="F38" s="12"/>
      <c r="G38" s="12"/>
      <c r="H38" s="12" t="s">
        <v>334</v>
      </c>
      <c r="I38" s="12"/>
      <c r="J38" s="12"/>
    </row>
    <row r="39" spans="1:10" s="46" customFormat="1" ht="15.75">
      <c r="A39" s="12"/>
      <c r="B39" s="12" t="s">
        <v>416</v>
      </c>
      <c r="C39" s="12"/>
      <c r="D39" s="12"/>
      <c r="E39" s="12" t="s">
        <v>400</v>
      </c>
      <c r="F39" s="12"/>
      <c r="G39" s="12"/>
      <c r="H39" s="12" t="s">
        <v>401</v>
      </c>
      <c r="I39" s="12"/>
      <c r="J39" s="12"/>
    </row>
    <row r="40" spans="1:10" s="46" customFormat="1" ht="15.75">
      <c r="A40" s="12"/>
      <c r="B40" s="12"/>
      <c r="C40" s="12"/>
      <c r="D40" s="12"/>
      <c r="E40" s="12" t="s">
        <v>425</v>
      </c>
      <c r="F40" s="12"/>
      <c r="G40" s="12"/>
      <c r="H40" s="12" t="s">
        <v>426</v>
      </c>
      <c r="I40" s="12"/>
      <c r="J40" s="12"/>
    </row>
    <row r="41" spans="1:10" s="46" customFormat="1" ht="15.75">
      <c r="A41" s="12"/>
      <c r="B41" s="12"/>
      <c r="C41" s="12"/>
      <c r="D41" s="12"/>
      <c r="E41" s="12" t="s">
        <v>208</v>
      </c>
      <c r="F41" s="12"/>
      <c r="G41" s="12"/>
      <c r="H41" s="12" t="s">
        <v>293</v>
      </c>
      <c r="I41" s="12"/>
      <c r="J41" s="12"/>
    </row>
    <row r="42" spans="1:10" s="46" customFormat="1" ht="15.75">
      <c r="A42" s="12"/>
      <c r="B42" s="12" t="s">
        <v>372</v>
      </c>
      <c r="C42" s="12"/>
      <c r="D42" s="12"/>
      <c r="E42" s="12" t="s">
        <v>398</v>
      </c>
      <c r="F42" s="12"/>
      <c r="G42" s="12"/>
      <c r="H42" s="12" t="s">
        <v>399</v>
      </c>
      <c r="I42" s="12"/>
      <c r="J42" s="12"/>
    </row>
    <row r="43" spans="1:10" s="46" customFormat="1" ht="15.75">
      <c r="A43" s="12"/>
      <c r="B43" s="12"/>
      <c r="C43" s="12"/>
      <c r="D43" s="12"/>
      <c r="E43" s="12" t="s">
        <v>371</v>
      </c>
      <c r="F43" s="12"/>
      <c r="G43" s="12"/>
      <c r="H43" s="12" t="s">
        <v>373</v>
      </c>
      <c r="I43" s="12"/>
      <c r="J43" s="12"/>
    </row>
    <row r="44" spans="1:10" s="46" customFormat="1" ht="15.75">
      <c r="A44" s="12"/>
      <c r="B44" s="12"/>
      <c r="C44" s="12"/>
      <c r="D44" s="12"/>
      <c r="E44" s="12"/>
      <c r="F44" s="12"/>
      <c r="G44" s="12"/>
      <c r="H44" s="12"/>
      <c r="I44" s="12"/>
      <c r="J44" s="12"/>
    </row>
    <row r="45" spans="1:10" s="46" customFormat="1" ht="15.75"/>
    <row r="46" spans="1:10" s="46" customFormat="1" ht="15.75"/>
    <row r="47" spans="1:10" s="46" customFormat="1" ht="15.75"/>
    <row r="48" spans="1:10" s="46" customFormat="1" ht="15.75"/>
    <row r="49" s="46" customFormat="1" ht="15.75"/>
    <row r="50" s="46" customFormat="1" ht="15.75"/>
    <row r="51" s="46" customFormat="1" ht="15.75"/>
    <row r="52" s="46" customFormat="1" ht="15.75"/>
    <row r="53" s="46" customFormat="1" ht="15.75"/>
    <row r="54" s="46" customFormat="1" ht="15.75"/>
    <row r="55" s="46" customFormat="1" ht="15.75"/>
    <row r="56" s="46" customFormat="1" ht="15.75"/>
    <row r="57" s="46" customFormat="1" ht="15.75"/>
    <row r="58" s="46" customFormat="1" ht="15.75"/>
    <row r="59" s="46" customFormat="1" ht="15.75"/>
    <row r="60" s="46" customFormat="1" ht="15.75"/>
    <row r="61" s="46" customFormat="1" ht="15.75"/>
    <row r="62" s="46" customFormat="1" ht="15.75"/>
    <row r="63" s="46" customFormat="1" ht="15.75"/>
    <row r="64" s="46" customFormat="1" ht="15.75"/>
    <row r="65" s="46" customFormat="1" ht="15.75"/>
    <row r="66" s="46" customFormat="1" ht="15.75"/>
    <row r="67" s="46" customFormat="1" ht="15.75"/>
    <row r="68" s="46" customFormat="1" ht="15.75"/>
    <row r="69" s="46" customFormat="1" ht="15.75"/>
    <row r="70" s="46" customFormat="1" ht="15.75"/>
    <row r="71" s="46" customFormat="1" ht="15.75"/>
  </sheetData>
  <pageMargins left="0.75" right="0.75" top="1" bottom="1" header="0.5" footer="0.5"/>
  <pageSetup scale="69" orientation="landscape" verticalDpi="300" r:id="rId1"/>
  <headerFooter alignWithMargins="0">
    <oddFooter>&amp;L&amp;T, &amp;D&amp;C&amp;F&amp;R&amp;P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2:AL52"/>
  <sheetViews>
    <sheetView zoomScale="75" zoomScaleNormal="75" workbookViewId="0"/>
  </sheetViews>
  <sheetFormatPr defaultRowHeight="12.75"/>
  <cols>
    <col min="1" max="1" width="55.7109375" style="12" customWidth="1"/>
    <col min="2" max="2" width="9.7109375" style="12" customWidth="1"/>
    <col min="3" max="3" width="10" style="24" bestFit="1" customWidth="1"/>
    <col min="4" max="4" width="14.85546875" style="12" customWidth="1"/>
    <col min="5" max="5" width="14.140625" style="12" customWidth="1"/>
    <col min="6" max="6" width="11.140625" style="12" customWidth="1"/>
    <col min="7" max="9" width="11.5703125" style="12" customWidth="1"/>
    <col min="10" max="10" width="11.28515625" style="12" customWidth="1"/>
    <col min="11" max="11" width="11.5703125" style="12" customWidth="1"/>
    <col min="12" max="12" width="11.28515625" style="12" customWidth="1"/>
    <col min="13" max="14" width="11.5703125" style="12" customWidth="1"/>
    <col min="15" max="15" width="11.140625" style="12" customWidth="1"/>
    <col min="16" max="16" width="10.5703125" style="12" customWidth="1"/>
    <col min="17" max="19" width="11.140625" style="12" customWidth="1"/>
    <col min="20" max="20" width="10.85546875" style="12" customWidth="1"/>
    <col min="21" max="21" width="11.140625" style="12" customWidth="1"/>
    <col min="22" max="22" width="10.85546875" style="12" customWidth="1"/>
    <col min="23" max="24" width="11.140625" style="12" customWidth="1"/>
    <col min="25" max="34" width="11.5703125" style="12" customWidth="1"/>
    <col min="35" max="16384" width="9.140625" style="12"/>
  </cols>
  <sheetData>
    <row r="2" spans="1:34" ht="21" customHeight="1">
      <c r="A2" s="87" t="str">
        <f>Assumptions!A3</f>
        <v>PROJECT NAME:  Retail Shorts</v>
      </c>
    </row>
    <row r="4" spans="1:34" ht="18.75">
      <c r="A4" s="60" t="s">
        <v>95</v>
      </c>
    </row>
    <row r="5" spans="1:34">
      <c r="Z5" s="166"/>
    </row>
    <row r="6" spans="1:34">
      <c r="D6" s="212">
        <f>'Price_Technical Assumption'!D7</f>
        <v>0.66666666666666663</v>
      </c>
      <c r="E6" s="212">
        <f>'Price_Technical Assumption'!E7</f>
        <v>1.6666666666666665</v>
      </c>
      <c r="F6" s="212">
        <f>'Price_Technical Assumption'!F7</f>
        <v>2.6666666666666665</v>
      </c>
      <c r="G6" s="212">
        <f>'Price_Technical Assumption'!G7</f>
        <v>3.6666666666666665</v>
      </c>
      <c r="H6" s="212">
        <f>'Price_Technical Assumption'!H7</f>
        <v>4.6666666666666661</v>
      </c>
      <c r="I6" s="212">
        <f>'Price_Technical Assumption'!I7</f>
        <v>5.6666666666666661</v>
      </c>
      <c r="J6" s="212">
        <f>'Price_Technical Assumption'!J7</f>
        <v>6.6666666666666661</v>
      </c>
      <c r="K6" s="212">
        <f>'Price_Technical Assumption'!K7</f>
        <v>7.6666666666666661</v>
      </c>
      <c r="L6" s="212">
        <f>'Price_Technical Assumption'!L7</f>
        <v>8.6666666666666661</v>
      </c>
      <c r="M6" s="212">
        <f>'Price_Technical Assumption'!M7</f>
        <v>9.6666666666666661</v>
      </c>
      <c r="N6" s="212">
        <f>'Price_Technical Assumption'!N7</f>
        <v>10.666666666666666</v>
      </c>
      <c r="O6" s="212">
        <f>'Price_Technical Assumption'!O7</f>
        <v>11.666666666666666</v>
      </c>
      <c r="P6" s="212">
        <f>'Price_Technical Assumption'!P7</f>
        <v>12.666666666666666</v>
      </c>
      <c r="Q6" s="212">
        <f>'Price_Technical Assumption'!Q7</f>
        <v>13.666666666666666</v>
      </c>
      <c r="R6" s="212">
        <f>'Price_Technical Assumption'!R7</f>
        <v>14.666666666666666</v>
      </c>
      <c r="S6" s="212">
        <f>'Price_Technical Assumption'!S7</f>
        <v>15.666666666666666</v>
      </c>
      <c r="T6" s="212">
        <f>'Price_Technical Assumption'!T7</f>
        <v>16.666666666666664</v>
      </c>
      <c r="U6" s="212">
        <f>'Price_Technical Assumption'!U7</f>
        <v>17.666666666666664</v>
      </c>
      <c r="V6" s="212">
        <f>'Price_Technical Assumption'!V7</f>
        <v>18.666666666666664</v>
      </c>
      <c r="W6" s="212">
        <f>'Price_Technical Assumption'!W7</f>
        <v>19.666666666666664</v>
      </c>
      <c r="X6" s="212">
        <f>'Price_Technical Assumption'!X7</f>
        <v>20.666666666666664</v>
      </c>
      <c r="Y6" s="212">
        <f>'Price_Technical Assumption'!Y7</f>
        <v>21.666666666666664</v>
      </c>
      <c r="Z6" s="212">
        <f>'Price_Technical Assumption'!Z7</f>
        <v>22.666666666666664</v>
      </c>
      <c r="AA6" s="212">
        <f>'Price_Technical Assumption'!AA7</f>
        <v>23.666666666666664</v>
      </c>
      <c r="AB6" s="212">
        <f>'Price_Technical Assumption'!AB7</f>
        <v>24.666666666666664</v>
      </c>
      <c r="AC6" s="212">
        <f>'Price_Technical Assumption'!AC7</f>
        <v>25.666666666666664</v>
      </c>
      <c r="AD6" s="212">
        <f>'Price_Technical Assumption'!AD7</f>
        <v>26.666666666666664</v>
      </c>
      <c r="AE6" s="212">
        <f>'Price_Technical Assumption'!AE7</f>
        <v>27.666666666666664</v>
      </c>
      <c r="AF6" s="212">
        <f>'Price_Technical Assumption'!AF7</f>
        <v>28.666666666666664</v>
      </c>
      <c r="AG6" s="212">
        <f>'Price_Technical Assumption'!AG7</f>
        <v>29.666666666666664</v>
      </c>
      <c r="AH6" s="212">
        <f>'Price_Technical Assumption'!AH7</f>
        <v>30.666666666666664</v>
      </c>
    </row>
    <row r="7" spans="1:34" s="25" customFormat="1" ht="13.5" thickBot="1">
      <c r="A7" s="123" t="s">
        <v>40</v>
      </c>
      <c r="B7" s="143"/>
      <c r="C7" s="143"/>
      <c r="D7" s="7">
        <f>'Price_Technical Assumption'!D8</f>
        <v>2001</v>
      </c>
      <c r="E7" s="7">
        <f>'Price_Technical Assumption'!E8</f>
        <v>2002</v>
      </c>
      <c r="F7" s="7">
        <f>'Price_Technical Assumption'!F8</f>
        <v>2003</v>
      </c>
      <c r="G7" s="7">
        <f>'Price_Technical Assumption'!G8</f>
        <v>2004</v>
      </c>
      <c r="H7" s="7">
        <f>'Price_Technical Assumption'!H8</f>
        <v>2005</v>
      </c>
      <c r="I7" s="7">
        <f>'Price_Technical Assumption'!I8</f>
        <v>2006</v>
      </c>
      <c r="J7" s="7">
        <f>'Price_Technical Assumption'!J8</f>
        <v>2007</v>
      </c>
      <c r="K7" s="7">
        <f>'Price_Technical Assumption'!K8</f>
        <v>2008</v>
      </c>
      <c r="L7" s="7">
        <f>'Price_Technical Assumption'!L8</f>
        <v>2009</v>
      </c>
      <c r="M7" s="7">
        <f>'Price_Technical Assumption'!M8</f>
        <v>2010</v>
      </c>
      <c r="N7" s="7">
        <f>'Price_Technical Assumption'!N8</f>
        <v>2011</v>
      </c>
      <c r="O7" s="7">
        <f>'Price_Technical Assumption'!O8</f>
        <v>2012</v>
      </c>
      <c r="P7" s="7">
        <f>'Price_Technical Assumption'!P8</f>
        <v>2013</v>
      </c>
      <c r="Q7" s="7">
        <f>'Price_Technical Assumption'!Q8</f>
        <v>2014</v>
      </c>
      <c r="R7" s="7">
        <f>'Price_Technical Assumption'!R8</f>
        <v>2015</v>
      </c>
      <c r="S7" s="7">
        <f>'Price_Technical Assumption'!S8</f>
        <v>2016</v>
      </c>
      <c r="T7" s="7">
        <f>'Price_Technical Assumption'!T8</f>
        <v>2017</v>
      </c>
      <c r="U7" s="7">
        <f>'Price_Technical Assumption'!U8</f>
        <v>2018</v>
      </c>
      <c r="V7" s="7">
        <f>'Price_Technical Assumption'!V8</f>
        <v>2019</v>
      </c>
      <c r="W7" s="7">
        <f>'Price_Technical Assumption'!W8</f>
        <v>2020</v>
      </c>
      <c r="X7" s="7">
        <f>'Price_Technical Assumption'!X8</f>
        <v>2021</v>
      </c>
      <c r="Y7" s="7">
        <f>'Price_Technical Assumption'!Y8</f>
        <v>2022</v>
      </c>
      <c r="Z7" s="7">
        <f>'Price_Technical Assumption'!Z8</f>
        <v>2023</v>
      </c>
      <c r="AA7" s="7">
        <f>'Price_Technical Assumption'!AA8</f>
        <v>2024</v>
      </c>
      <c r="AB7" s="7">
        <f>'Price_Technical Assumption'!AB8</f>
        <v>2025</v>
      </c>
      <c r="AC7" s="7">
        <f>'Price_Technical Assumption'!AC8</f>
        <v>2026</v>
      </c>
      <c r="AD7" s="7">
        <f>'Price_Technical Assumption'!AD8</f>
        <v>2027</v>
      </c>
      <c r="AE7" s="7">
        <f>'Price_Technical Assumption'!AE8</f>
        <v>2028</v>
      </c>
      <c r="AF7" s="7">
        <f>'Price_Technical Assumption'!AF8</f>
        <v>2029</v>
      </c>
      <c r="AG7" s="7">
        <f>'Price_Technical Assumption'!AG8</f>
        <v>2030</v>
      </c>
      <c r="AH7" s="7">
        <f>'Price_Technical Assumption'!AH8</f>
        <v>2031</v>
      </c>
    </row>
    <row r="8" spans="1:34" s="25" customFormat="1">
      <c r="A8" s="128"/>
      <c r="B8" s="144"/>
      <c r="C8" s="144"/>
      <c r="D8" s="206">
        <f>IS!C8</f>
        <v>37256</v>
      </c>
      <c r="E8" s="206">
        <f>IS!D8</f>
        <v>37621</v>
      </c>
      <c r="F8" s="206">
        <f>IS!E8</f>
        <v>37986</v>
      </c>
      <c r="G8" s="206">
        <f>IS!F8</f>
        <v>38352</v>
      </c>
      <c r="H8" s="206">
        <f>IS!G8</f>
        <v>38717</v>
      </c>
      <c r="I8" s="206">
        <f>IS!H8</f>
        <v>39082</v>
      </c>
      <c r="J8" s="206">
        <f>IS!I8</f>
        <v>39447</v>
      </c>
      <c r="K8" s="206">
        <f>IS!J8</f>
        <v>39813</v>
      </c>
      <c r="L8" s="206">
        <f>IS!K8</f>
        <v>40178</v>
      </c>
      <c r="M8" s="206">
        <f>IS!L8</f>
        <v>40543</v>
      </c>
      <c r="N8" s="206">
        <f>IS!M8</f>
        <v>40908</v>
      </c>
      <c r="O8" s="206">
        <f>IS!N8</f>
        <v>41274</v>
      </c>
      <c r="P8" s="206">
        <f>IS!O8</f>
        <v>41639</v>
      </c>
      <c r="Q8" s="206">
        <f>IS!P8</f>
        <v>42004</v>
      </c>
      <c r="R8" s="206">
        <f>IS!Q8</f>
        <v>42369</v>
      </c>
      <c r="S8" s="206">
        <f>IS!R8</f>
        <v>42735</v>
      </c>
      <c r="T8" s="206">
        <f>IS!S8</f>
        <v>43100</v>
      </c>
      <c r="U8" s="206">
        <f>IS!T8</f>
        <v>43465</v>
      </c>
      <c r="V8" s="206">
        <f>IS!U8</f>
        <v>43830</v>
      </c>
      <c r="W8" s="206">
        <f>IS!V8</f>
        <v>44196</v>
      </c>
      <c r="X8" s="206">
        <f>IS!W8</f>
        <v>44561</v>
      </c>
      <c r="Y8" s="206">
        <f>IS!X8</f>
        <v>44926</v>
      </c>
      <c r="Z8" s="206">
        <f>IS!Y8</f>
        <v>45291</v>
      </c>
      <c r="AA8" s="206">
        <f>IS!Z8</f>
        <v>45657</v>
      </c>
      <c r="AB8" s="206">
        <f>IS!AA8</f>
        <v>46022</v>
      </c>
      <c r="AC8" s="206">
        <f>IS!AB8</f>
        <v>46387</v>
      </c>
      <c r="AD8" s="206">
        <f>IS!AC8</f>
        <v>46752</v>
      </c>
      <c r="AE8" s="206">
        <f>IS!AD8</f>
        <v>47118</v>
      </c>
      <c r="AF8" s="206">
        <f>IS!AE8</f>
        <v>47483</v>
      </c>
      <c r="AG8" s="206">
        <f>IS!AF8</f>
        <v>47848</v>
      </c>
      <c r="AH8" s="206">
        <f>IS!AG8</f>
        <v>48213</v>
      </c>
    </row>
    <row r="9" spans="1:34" ht="15.75">
      <c r="A9" s="26"/>
    </row>
    <row r="10" spans="1:34" s="10" customFormat="1">
      <c r="A10" s="27" t="s">
        <v>61</v>
      </c>
      <c r="B10" s="12"/>
      <c r="C10" s="28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</row>
    <row r="11" spans="1:34" s="10" customFormat="1">
      <c r="A11" s="12"/>
      <c r="B11" s="29" t="s">
        <v>62</v>
      </c>
      <c r="C11" s="24"/>
      <c r="D11" s="33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</row>
    <row r="12" spans="1:34" s="10" customFormat="1">
      <c r="A12" s="21" t="s">
        <v>251</v>
      </c>
      <c r="B12" s="31">
        <f>Assumptions!$N$39</f>
        <v>15</v>
      </c>
      <c r="C12" s="32"/>
      <c r="D12" s="280">
        <v>0.05</v>
      </c>
      <c r="E12" s="280">
        <v>9.5000000000000001E-2</v>
      </c>
      <c r="F12" s="280">
        <v>8.5500000000000007E-2</v>
      </c>
      <c r="G12" s="280">
        <v>7.6999999999999999E-2</v>
      </c>
      <c r="H12" s="280">
        <v>6.93E-2</v>
      </c>
      <c r="I12" s="280">
        <v>6.2300000000000001E-2</v>
      </c>
      <c r="J12" s="280">
        <v>5.8999999999999997E-2</v>
      </c>
      <c r="K12" s="280">
        <v>5.91E-2</v>
      </c>
      <c r="L12" s="280">
        <v>5.8999999999999997E-2</v>
      </c>
      <c r="M12" s="280">
        <v>5.91E-2</v>
      </c>
      <c r="N12" s="280">
        <v>5.8999999999999997E-2</v>
      </c>
      <c r="O12" s="280">
        <v>5.91E-2</v>
      </c>
      <c r="P12" s="280">
        <v>5.8999999999999997E-2</v>
      </c>
      <c r="Q12" s="280">
        <v>5.91E-2</v>
      </c>
      <c r="R12" s="280">
        <v>5.8999999999999997E-2</v>
      </c>
      <c r="S12" s="280">
        <v>2.9499999999999998E-2</v>
      </c>
      <c r="T12" s="280">
        <v>0</v>
      </c>
      <c r="U12" s="280">
        <v>0</v>
      </c>
      <c r="V12" s="280">
        <v>0</v>
      </c>
      <c r="W12" s="280">
        <v>0</v>
      </c>
      <c r="X12" s="280">
        <v>0</v>
      </c>
      <c r="Y12" s="280">
        <v>0</v>
      </c>
      <c r="Z12" s="280">
        <v>0</v>
      </c>
      <c r="AA12" s="280">
        <v>0</v>
      </c>
      <c r="AB12" s="280">
        <v>0</v>
      </c>
      <c r="AC12" s="280">
        <v>0</v>
      </c>
      <c r="AD12" s="280">
        <v>0</v>
      </c>
      <c r="AE12" s="280">
        <v>0</v>
      </c>
      <c r="AF12" s="280">
        <v>0</v>
      </c>
      <c r="AG12" s="280">
        <v>0</v>
      </c>
      <c r="AH12" s="280">
        <v>0</v>
      </c>
    </row>
    <row r="13" spans="1:34" s="10" customFormat="1">
      <c r="A13" s="21" t="s">
        <v>252</v>
      </c>
      <c r="B13" s="31">
        <f>Assumptions!$N$40</f>
        <v>5</v>
      </c>
      <c r="C13" s="32"/>
      <c r="D13" s="280">
        <f>1/$B$13*D6</f>
        <v>0.13333333333333333</v>
      </c>
      <c r="E13" s="280">
        <f>1/$B$13</f>
        <v>0.2</v>
      </c>
      <c r="F13" s="280">
        <f>1/$B$13</f>
        <v>0.2</v>
      </c>
      <c r="G13" s="280">
        <f>1/$B$13</f>
        <v>0.2</v>
      </c>
      <c r="H13" s="280">
        <f>1/$B$13</f>
        <v>0.2</v>
      </c>
      <c r="I13" s="280">
        <f>1/B13-D13</f>
        <v>6.666666666666668E-2</v>
      </c>
      <c r="J13" s="280">
        <v>0</v>
      </c>
      <c r="K13" s="280">
        <v>0</v>
      </c>
      <c r="L13" s="280">
        <v>0</v>
      </c>
      <c r="M13" s="280">
        <v>0</v>
      </c>
      <c r="N13" s="280">
        <v>0</v>
      </c>
      <c r="O13" s="280">
        <v>0</v>
      </c>
      <c r="P13" s="280">
        <v>0</v>
      </c>
      <c r="Q13" s="280">
        <v>0</v>
      </c>
      <c r="R13" s="280">
        <v>0</v>
      </c>
      <c r="S13" s="280">
        <v>0</v>
      </c>
      <c r="T13" s="280">
        <v>0</v>
      </c>
      <c r="U13" s="280">
        <v>0</v>
      </c>
      <c r="V13" s="280">
        <v>0</v>
      </c>
      <c r="W13" s="280">
        <v>0</v>
      </c>
      <c r="X13" s="280">
        <v>0</v>
      </c>
      <c r="Y13" s="280">
        <v>0</v>
      </c>
      <c r="Z13" s="280">
        <v>0</v>
      </c>
      <c r="AA13" s="280">
        <v>0</v>
      </c>
      <c r="AB13" s="280">
        <v>0</v>
      </c>
      <c r="AC13" s="280">
        <v>0</v>
      </c>
      <c r="AD13" s="280">
        <v>0</v>
      </c>
      <c r="AE13" s="280">
        <v>0</v>
      </c>
      <c r="AF13" s="280">
        <v>0</v>
      </c>
      <c r="AG13" s="280">
        <v>0</v>
      </c>
      <c r="AH13" s="280">
        <v>0</v>
      </c>
    </row>
    <row r="14" spans="1:34" s="70" customFormat="1">
      <c r="A14" s="22" t="s">
        <v>320</v>
      </c>
      <c r="B14" s="68">
        <f>Assumptions!$N$41</f>
        <v>20</v>
      </c>
      <c r="C14" s="69"/>
      <c r="D14" s="280">
        <f>1/Assumptions!$N$41*D6</f>
        <v>3.3333333333333333E-2</v>
      </c>
      <c r="E14" s="280">
        <f>IF(AND(E6&gt;=Assumptions!$N$41,D6&lt;Assumptions!$N$41),1/Assumptions!$N$41-Depreciation!$D$14,IF(E6&lt;Assumptions!$N$41,1/Assumptions!$N$41,0))</f>
        <v>0.05</v>
      </c>
      <c r="F14" s="280">
        <f>IF(AND(F6&gt;=Assumptions!$N$41,E6&lt;Assumptions!$N$41),1/Assumptions!$N$41-Depreciation!$D$14,IF(F6&lt;Assumptions!$N$41,1/Assumptions!$N$41,0))</f>
        <v>0.05</v>
      </c>
      <c r="G14" s="280">
        <f>IF(AND(G6&gt;=Assumptions!$N$41,F6&lt;Assumptions!$N$41),1/Assumptions!$N$41-Depreciation!$D$14,IF(G6&lt;Assumptions!$N$41,1/Assumptions!$N$41,0))</f>
        <v>0.05</v>
      </c>
      <c r="H14" s="280">
        <f>IF(AND(H6&gt;=Assumptions!$N$41,G6&lt;Assumptions!$N$41),1/Assumptions!$N$41-Depreciation!$D$14,IF(H6&lt;Assumptions!$N$41,1/Assumptions!$N$41,0))</f>
        <v>0.05</v>
      </c>
      <c r="I14" s="280">
        <f>IF(AND(I6&gt;=Assumptions!$N$41,H6&lt;Assumptions!$N$41),1/Assumptions!$N$41-Depreciation!$D$14,IF(I6&lt;Assumptions!$N$41,1/Assumptions!$N$41,0))</f>
        <v>0.05</v>
      </c>
      <c r="J14" s="280">
        <f>IF(AND(J6&gt;=Assumptions!$N$41,I6&lt;Assumptions!$N$41),1/Assumptions!$N$41-Depreciation!$D$14,IF(J6&lt;Assumptions!$N$41,1/Assumptions!$N$41,0))</f>
        <v>0.05</v>
      </c>
      <c r="K14" s="280">
        <f>IF(AND(K6&gt;=Assumptions!$N$41,J6&lt;Assumptions!$N$41),1/Assumptions!$N$41-Depreciation!$D$14,IF(K6&lt;Assumptions!$N$41,1/Assumptions!$N$41,0))</f>
        <v>0.05</v>
      </c>
      <c r="L14" s="280">
        <f>IF(AND(L6&gt;=Assumptions!$N$41,K6&lt;Assumptions!$N$41),1/Assumptions!$N$41-Depreciation!$D$14,IF(L6&lt;Assumptions!$N$41,1/Assumptions!$N$41,0))</f>
        <v>0.05</v>
      </c>
      <c r="M14" s="280">
        <f>IF(AND(M6&gt;=Assumptions!$N$41,L6&lt;Assumptions!$N$41),1/Assumptions!$N$41-Depreciation!$D$14,IF(M6&lt;Assumptions!$N$41,1/Assumptions!$N$41,0))</f>
        <v>0.05</v>
      </c>
      <c r="N14" s="280">
        <f>IF(AND(N6&gt;=Assumptions!$N$41,M6&lt;Assumptions!$N$41),1/Assumptions!$N$41-Depreciation!$D$14,IF(N6&lt;Assumptions!$N$41,1/Assumptions!$N$41,0))</f>
        <v>0.05</v>
      </c>
      <c r="O14" s="280">
        <f>IF(AND(O6&gt;=Assumptions!$N$41,N6&lt;Assumptions!$N$41),1/Assumptions!$N$41-Depreciation!$D$14,IF(O6&lt;Assumptions!$N$41,1/Assumptions!$N$41,0))</f>
        <v>0.05</v>
      </c>
      <c r="P14" s="280">
        <f>IF(AND(P6&gt;=Assumptions!$N$41,O6&lt;Assumptions!$N$41),1/Assumptions!$N$41-Depreciation!$D$14,IF(P6&lt;Assumptions!$N$41,1/Assumptions!$N$41,0))</f>
        <v>0.05</v>
      </c>
      <c r="Q14" s="280">
        <f>IF(AND(Q6&gt;=Assumptions!$N$41,P6&lt;Assumptions!$N$41),1/Assumptions!$N$41-Depreciation!$D$14,IF(Q6&lt;Assumptions!$N$41,1/Assumptions!$N$41,0))</f>
        <v>0.05</v>
      </c>
      <c r="R14" s="280">
        <f>IF(AND(R6&gt;=Assumptions!$N$41,Q6&lt;Assumptions!$N$41),1/Assumptions!$N$41-Depreciation!$D$14,IF(R6&lt;Assumptions!$N$41,1/Assumptions!$N$41,0))</f>
        <v>0.05</v>
      </c>
      <c r="S14" s="280">
        <f>IF(AND(S6&gt;=Assumptions!$N$41,R6&lt;Assumptions!$N$41),1/Assumptions!$N$41-Depreciation!$D$14,IF(S6&lt;Assumptions!$N$41,1/Assumptions!$N$41,0))</f>
        <v>0.05</v>
      </c>
      <c r="T14" s="280">
        <f>IF(AND(T6&gt;=Assumptions!$N$41,S6&lt;Assumptions!$N$41),1/Assumptions!$N$41-Depreciation!$D$14,IF(T6&lt;Assumptions!$N$41,1/Assumptions!$N$41,0))</f>
        <v>0.05</v>
      </c>
      <c r="U14" s="280">
        <f>IF(AND(U6&gt;=Assumptions!$N$41,T6&lt;Assumptions!$N$41),1/Assumptions!$N$41-Depreciation!$D$14,IF(U6&lt;Assumptions!$N$41,1/Assumptions!$N$41,0))</f>
        <v>0.05</v>
      </c>
      <c r="V14" s="280">
        <f>IF(AND(V6&gt;=Assumptions!$N$41,U6&lt;Assumptions!$N$41),1/Assumptions!$N$41-Depreciation!$D$14,IF(V6&lt;Assumptions!$N$41,1/Assumptions!$N$41,0))</f>
        <v>0.05</v>
      </c>
      <c r="W14" s="280">
        <f>IF(AND(W6&gt;=Assumptions!$N$41,V6&lt;Assumptions!$N$41),1/Assumptions!$N$41-Depreciation!$D$14,IF(W6&lt;Assumptions!$N$41,1/Assumptions!$N$41,0))</f>
        <v>0.05</v>
      </c>
      <c r="X14" s="280">
        <f>IF(AND(X6&gt;=Assumptions!$N$41,W6&lt;Assumptions!$N$41),1/Assumptions!$N$41-Depreciation!$D$14,IF(X6&lt;Assumptions!$N$41,1/Assumptions!$N$41,0))</f>
        <v>1.666666666666667E-2</v>
      </c>
      <c r="Y14" s="280">
        <f>IF(AND(Y6&gt;=Assumptions!$N$41,X6&lt;Assumptions!$N$41),1/Assumptions!$N$41-Depreciation!$D$14,IF(Y6&lt;Assumptions!$N$41,1/Assumptions!$N$41,0))</f>
        <v>0</v>
      </c>
      <c r="Z14" s="280">
        <f>IF(AND(Z6&gt;=Assumptions!$N$41,Y6&lt;Assumptions!$N$41),1/Assumptions!$N$41-Depreciation!$D$14,IF(Z6&lt;Assumptions!$N$41,1/Assumptions!$N$41,0))</f>
        <v>0</v>
      </c>
      <c r="AA14" s="280">
        <f>IF(AND(AA6&gt;=Assumptions!$N$41,Z6&lt;Assumptions!$N$41),1/Assumptions!$N$41-Depreciation!$D$14,IF(AA6&lt;Assumptions!$N$41,1/Assumptions!$N$41,0))</f>
        <v>0</v>
      </c>
      <c r="AB14" s="280">
        <f>IF(AND(AB6&gt;=Assumptions!$N$41,AA6&lt;Assumptions!$N$41),1/Assumptions!$N$41-Depreciation!$D$14,IF(AB6&lt;Assumptions!$N$41,1/Assumptions!$N$41,0))</f>
        <v>0</v>
      </c>
      <c r="AC14" s="280">
        <f>IF(AND(AC6&gt;=Assumptions!$N$41,AB6&lt;Assumptions!$N$41),1/Assumptions!$N$41-Depreciation!$D$14,IF(AC6&lt;Assumptions!$N$41,1/Assumptions!$N$41,0))</f>
        <v>0</v>
      </c>
      <c r="AD14" s="280">
        <f>IF(AND(AD6&gt;=Assumptions!$N$41,AC6&lt;Assumptions!$N$41),1/Assumptions!$N$41-Depreciation!$D$14,IF(AD6&lt;Assumptions!$N$41,1/Assumptions!$N$41,0))</f>
        <v>0</v>
      </c>
      <c r="AE14" s="280">
        <f>IF(AND(AE6&gt;=Assumptions!$N$41,AD6&lt;Assumptions!$N$41),1/Assumptions!$N$41-Depreciation!$D$14,IF(AE6&lt;Assumptions!$N$41,1/Assumptions!$N$41,0))</f>
        <v>0</v>
      </c>
      <c r="AF14" s="280">
        <f>IF(AND(AF6&gt;=Assumptions!$N$41,AE6&lt;Assumptions!$N$41),1/Assumptions!$N$41-Depreciation!$D$14,IF(AF6&lt;Assumptions!$N$41,1/Assumptions!$N$41,0))</f>
        <v>0</v>
      </c>
      <c r="AG14" s="280">
        <f>IF(AND(AG6&gt;=Assumptions!$N$41,AF6&lt;Assumptions!$N$41),1/Assumptions!$N$41-Depreciation!$D$14,IF(AG6&lt;Assumptions!$N$41,1/Assumptions!$N$41,0))</f>
        <v>0</v>
      </c>
      <c r="AH14" s="280">
        <f>IF(AND(AH6&gt;=Assumptions!$N$41,AG6&lt;Assumptions!$N$41),1/Assumptions!$N$41-Depreciation!$D$14,IF(AH6&lt;Assumptions!$N$41,1/Assumptions!$N$41,0))</f>
        <v>0</v>
      </c>
    </row>
    <row r="15" spans="1:34" s="10" customFormat="1">
      <c r="A15" s="12"/>
      <c r="B15" s="34"/>
      <c r="C15" s="24"/>
      <c r="D15" s="30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</row>
    <row r="16" spans="1:34" s="10" customFormat="1">
      <c r="A16" s="21" t="s">
        <v>251</v>
      </c>
      <c r="B16" s="377">
        <f>Assumptions!C34+Assumptions!C46+Assumptions!C38</f>
        <v>100002.00392639755</v>
      </c>
      <c r="C16" s="306"/>
      <c r="D16" s="18">
        <f>$B$16*D12</f>
        <v>5000.1001963198778</v>
      </c>
      <c r="E16" s="18">
        <f t="shared" ref="E16:Y16" si="0">$B$16*E12</f>
        <v>9500.1903730077665</v>
      </c>
      <c r="F16" s="18">
        <f t="shared" si="0"/>
        <v>8550.1713357069912</v>
      </c>
      <c r="G16" s="18">
        <f t="shared" si="0"/>
        <v>7700.1543023326112</v>
      </c>
      <c r="H16" s="18">
        <f t="shared" si="0"/>
        <v>6930.13887209935</v>
      </c>
      <c r="I16" s="18">
        <f t="shared" si="0"/>
        <v>6230.1248446145673</v>
      </c>
      <c r="J16" s="18">
        <f t="shared" si="0"/>
        <v>5900.118231657455</v>
      </c>
      <c r="K16" s="18">
        <f t="shared" si="0"/>
        <v>5910.1184320500952</v>
      </c>
      <c r="L16" s="18">
        <f t="shared" si="0"/>
        <v>5900.118231657455</v>
      </c>
      <c r="M16" s="18">
        <f t="shared" si="0"/>
        <v>5910.1184320500952</v>
      </c>
      <c r="N16" s="18">
        <f t="shared" si="0"/>
        <v>5900.118231657455</v>
      </c>
      <c r="O16" s="18">
        <f t="shared" si="0"/>
        <v>5910.1184320500952</v>
      </c>
      <c r="P16" s="18">
        <f t="shared" si="0"/>
        <v>5900.118231657455</v>
      </c>
      <c r="Q16" s="18">
        <f t="shared" si="0"/>
        <v>5910.1184320500952</v>
      </c>
      <c r="R16" s="18">
        <f t="shared" si="0"/>
        <v>5900.118231657455</v>
      </c>
      <c r="S16" s="18">
        <f t="shared" si="0"/>
        <v>2950.0591158287275</v>
      </c>
      <c r="T16" s="18">
        <f t="shared" si="0"/>
        <v>0</v>
      </c>
      <c r="U16" s="18">
        <f t="shared" si="0"/>
        <v>0</v>
      </c>
      <c r="V16" s="18">
        <f t="shared" si="0"/>
        <v>0</v>
      </c>
      <c r="W16" s="18">
        <f t="shared" si="0"/>
        <v>0</v>
      </c>
      <c r="X16" s="18">
        <f t="shared" si="0"/>
        <v>0</v>
      </c>
      <c r="Y16" s="18">
        <f t="shared" si="0"/>
        <v>0</v>
      </c>
      <c r="Z16" s="18">
        <f t="shared" ref="Z16:AH16" si="1">$B$16*Z12</f>
        <v>0</v>
      </c>
      <c r="AA16" s="18">
        <f t="shared" si="1"/>
        <v>0</v>
      </c>
      <c r="AB16" s="18">
        <f t="shared" si="1"/>
        <v>0</v>
      </c>
      <c r="AC16" s="18">
        <f t="shared" si="1"/>
        <v>0</v>
      </c>
      <c r="AD16" s="18">
        <f t="shared" si="1"/>
        <v>0</v>
      </c>
      <c r="AE16" s="18">
        <f t="shared" si="1"/>
        <v>0</v>
      </c>
      <c r="AF16" s="18">
        <f t="shared" si="1"/>
        <v>0</v>
      </c>
      <c r="AG16" s="18">
        <f t="shared" si="1"/>
        <v>0</v>
      </c>
      <c r="AH16" s="18">
        <f t="shared" si="1"/>
        <v>0</v>
      </c>
    </row>
    <row r="17" spans="1:36" s="10" customFormat="1">
      <c r="A17" s="21" t="s">
        <v>252</v>
      </c>
      <c r="B17" s="305">
        <f>Assumptions!C50-Assumptions!C46-Assumptions!C47</f>
        <v>3723.92</v>
      </c>
      <c r="C17" s="306"/>
      <c r="D17" s="303">
        <f>$B$17*D13</f>
        <v>496.52266666666668</v>
      </c>
      <c r="E17" s="303">
        <f t="shared" ref="E17:AH17" si="2">$B$17*E13</f>
        <v>744.78400000000011</v>
      </c>
      <c r="F17" s="303">
        <f t="shared" si="2"/>
        <v>744.78400000000011</v>
      </c>
      <c r="G17" s="303">
        <f t="shared" si="2"/>
        <v>744.78400000000011</v>
      </c>
      <c r="H17" s="303">
        <f t="shared" si="2"/>
        <v>744.78400000000011</v>
      </c>
      <c r="I17" s="303">
        <f t="shared" si="2"/>
        <v>248.2613333333334</v>
      </c>
      <c r="J17" s="303">
        <f t="shared" si="2"/>
        <v>0</v>
      </c>
      <c r="K17" s="303">
        <f t="shared" si="2"/>
        <v>0</v>
      </c>
      <c r="L17" s="303">
        <f t="shared" si="2"/>
        <v>0</v>
      </c>
      <c r="M17" s="303">
        <f t="shared" si="2"/>
        <v>0</v>
      </c>
      <c r="N17" s="303">
        <f t="shared" si="2"/>
        <v>0</v>
      </c>
      <c r="O17" s="303">
        <f t="shared" si="2"/>
        <v>0</v>
      </c>
      <c r="P17" s="303">
        <f t="shared" si="2"/>
        <v>0</v>
      </c>
      <c r="Q17" s="303">
        <f t="shared" si="2"/>
        <v>0</v>
      </c>
      <c r="R17" s="303">
        <f t="shared" si="2"/>
        <v>0</v>
      </c>
      <c r="S17" s="303">
        <f t="shared" si="2"/>
        <v>0</v>
      </c>
      <c r="T17" s="303">
        <f t="shared" si="2"/>
        <v>0</v>
      </c>
      <c r="U17" s="303">
        <f t="shared" si="2"/>
        <v>0</v>
      </c>
      <c r="V17" s="303">
        <f t="shared" si="2"/>
        <v>0</v>
      </c>
      <c r="W17" s="303">
        <f t="shared" si="2"/>
        <v>0</v>
      </c>
      <c r="X17" s="303">
        <f t="shared" si="2"/>
        <v>0</v>
      </c>
      <c r="Y17" s="303">
        <f t="shared" si="2"/>
        <v>0</v>
      </c>
      <c r="Z17" s="303">
        <f t="shared" si="2"/>
        <v>0</v>
      </c>
      <c r="AA17" s="303">
        <f t="shared" si="2"/>
        <v>0</v>
      </c>
      <c r="AB17" s="303">
        <f t="shared" si="2"/>
        <v>0</v>
      </c>
      <c r="AC17" s="303">
        <f t="shared" si="2"/>
        <v>0</v>
      </c>
      <c r="AD17" s="303">
        <f t="shared" si="2"/>
        <v>0</v>
      </c>
      <c r="AE17" s="303">
        <f t="shared" si="2"/>
        <v>0</v>
      </c>
      <c r="AF17" s="303">
        <f t="shared" si="2"/>
        <v>0</v>
      </c>
      <c r="AG17" s="303">
        <f t="shared" si="2"/>
        <v>0</v>
      </c>
      <c r="AH17" s="303">
        <f t="shared" si="2"/>
        <v>0</v>
      </c>
    </row>
    <row r="18" spans="1:36" s="10" customFormat="1" ht="15">
      <c r="A18" s="22" t="s">
        <v>320</v>
      </c>
      <c r="B18" s="378">
        <f>Assumptions!$C$56</f>
        <v>1000</v>
      </c>
      <c r="C18" s="306"/>
      <c r="D18" s="379">
        <f>$B$18*D14</f>
        <v>33.333333333333336</v>
      </c>
      <c r="E18" s="379">
        <f t="shared" ref="E18:Y18" si="3">$B$18*E14</f>
        <v>50</v>
      </c>
      <c r="F18" s="379">
        <f t="shared" si="3"/>
        <v>50</v>
      </c>
      <c r="G18" s="379">
        <f t="shared" si="3"/>
        <v>50</v>
      </c>
      <c r="H18" s="379">
        <f t="shared" si="3"/>
        <v>50</v>
      </c>
      <c r="I18" s="379">
        <f t="shared" si="3"/>
        <v>50</v>
      </c>
      <c r="J18" s="379">
        <f t="shared" si="3"/>
        <v>50</v>
      </c>
      <c r="K18" s="379">
        <f t="shared" si="3"/>
        <v>50</v>
      </c>
      <c r="L18" s="379">
        <f t="shared" si="3"/>
        <v>50</v>
      </c>
      <c r="M18" s="379">
        <f t="shared" si="3"/>
        <v>50</v>
      </c>
      <c r="N18" s="379">
        <f t="shared" si="3"/>
        <v>50</v>
      </c>
      <c r="O18" s="379">
        <f t="shared" si="3"/>
        <v>50</v>
      </c>
      <c r="P18" s="379">
        <f t="shared" si="3"/>
        <v>50</v>
      </c>
      <c r="Q18" s="379">
        <f t="shared" si="3"/>
        <v>50</v>
      </c>
      <c r="R18" s="379">
        <f t="shared" si="3"/>
        <v>50</v>
      </c>
      <c r="S18" s="379">
        <f t="shared" si="3"/>
        <v>50</v>
      </c>
      <c r="T18" s="379">
        <f t="shared" si="3"/>
        <v>50</v>
      </c>
      <c r="U18" s="379">
        <f t="shared" si="3"/>
        <v>50</v>
      </c>
      <c r="V18" s="379">
        <f t="shared" si="3"/>
        <v>50</v>
      </c>
      <c r="W18" s="379">
        <f t="shared" si="3"/>
        <v>50</v>
      </c>
      <c r="X18" s="379">
        <f t="shared" si="3"/>
        <v>16.666666666666671</v>
      </c>
      <c r="Y18" s="379">
        <f t="shared" si="3"/>
        <v>0</v>
      </c>
      <c r="Z18" s="379">
        <f t="shared" ref="Z18:AH18" si="4">$B$18*Z14</f>
        <v>0</v>
      </c>
      <c r="AA18" s="379">
        <f t="shared" si="4"/>
        <v>0</v>
      </c>
      <c r="AB18" s="379">
        <f t="shared" si="4"/>
        <v>0</v>
      </c>
      <c r="AC18" s="379">
        <f t="shared" si="4"/>
        <v>0</v>
      </c>
      <c r="AD18" s="379">
        <f t="shared" si="4"/>
        <v>0</v>
      </c>
      <c r="AE18" s="379">
        <f t="shared" si="4"/>
        <v>0</v>
      </c>
      <c r="AF18" s="379">
        <f t="shared" si="4"/>
        <v>0</v>
      </c>
      <c r="AG18" s="379">
        <f t="shared" si="4"/>
        <v>0</v>
      </c>
      <c r="AH18" s="379">
        <f t="shared" si="4"/>
        <v>0</v>
      </c>
    </row>
    <row r="19" spans="1:36" s="10" customFormat="1">
      <c r="A19" s="22" t="s">
        <v>63</v>
      </c>
      <c r="B19" s="18">
        <f>SUM(B16:B18)</f>
        <v>104725.92392639755</v>
      </c>
      <c r="C19" s="306"/>
      <c r="D19" s="18">
        <f t="shared" ref="D19:Y19" si="5">SUM(D16:D18)</f>
        <v>5529.9561963198776</v>
      </c>
      <c r="E19" s="18">
        <f t="shared" si="5"/>
        <v>10294.974373007766</v>
      </c>
      <c r="F19" s="18">
        <f t="shared" si="5"/>
        <v>9344.9553357069908</v>
      </c>
      <c r="G19" s="18">
        <f t="shared" si="5"/>
        <v>8494.9383023326118</v>
      </c>
      <c r="H19" s="18">
        <f t="shared" si="5"/>
        <v>7724.9228720993506</v>
      </c>
      <c r="I19" s="18">
        <f t="shared" si="5"/>
        <v>6528.3861779479012</v>
      </c>
      <c r="J19" s="18">
        <f t="shared" si="5"/>
        <v>5950.118231657455</v>
      </c>
      <c r="K19" s="18">
        <f t="shared" si="5"/>
        <v>5960.1184320500952</v>
      </c>
      <c r="L19" s="18">
        <f t="shared" si="5"/>
        <v>5950.118231657455</v>
      </c>
      <c r="M19" s="18">
        <f t="shared" si="5"/>
        <v>5960.1184320500952</v>
      </c>
      <c r="N19" s="18">
        <f t="shared" si="5"/>
        <v>5950.118231657455</v>
      </c>
      <c r="O19" s="18">
        <f t="shared" si="5"/>
        <v>5960.1184320500952</v>
      </c>
      <c r="P19" s="18">
        <f t="shared" si="5"/>
        <v>5950.118231657455</v>
      </c>
      <c r="Q19" s="18">
        <f t="shared" si="5"/>
        <v>5960.1184320500952</v>
      </c>
      <c r="R19" s="18">
        <f t="shared" si="5"/>
        <v>5950.118231657455</v>
      </c>
      <c r="S19" s="18">
        <f t="shared" si="5"/>
        <v>3000.0591158287275</v>
      </c>
      <c r="T19" s="18">
        <f t="shared" si="5"/>
        <v>50</v>
      </c>
      <c r="U19" s="18">
        <f t="shared" si="5"/>
        <v>50</v>
      </c>
      <c r="V19" s="18">
        <f t="shared" si="5"/>
        <v>50</v>
      </c>
      <c r="W19" s="18">
        <f t="shared" si="5"/>
        <v>50</v>
      </c>
      <c r="X19" s="18">
        <f t="shared" si="5"/>
        <v>16.666666666666671</v>
      </c>
      <c r="Y19" s="18">
        <f t="shared" si="5"/>
        <v>0</v>
      </c>
      <c r="Z19" s="18">
        <f t="shared" ref="Z19:AH19" si="6">SUM(Z16:Z18)</f>
        <v>0</v>
      </c>
      <c r="AA19" s="18">
        <f t="shared" si="6"/>
        <v>0</v>
      </c>
      <c r="AB19" s="18">
        <f t="shared" si="6"/>
        <v>0</v>
      </c>
      <c r="AC19" s="18">
        <f t="shared" si="6"/>
        <v>0</v>
      </c>
      <c r="AD19" s="18">
        <f t="shared" si="6"/>
        <v>0</v>
      </c>
      <c r="AE19" s="18">
        <f t="shared" si="6"/>
        <v>0</v>
      </c>
      <c r="AF19" s="18">
        <f t="shared" si="6"/>
        <v>0</v>
      </c>
      <c r="AG19" s="18">
        <f t="shared" si="6"/>
        <v>0</v>
      </c>
      <c r="AH19" s="18">
        <f t="shared" si="6"/>
        <v>0</v>
      </c>
    </row>
    <row r="20" spans="1:36" s="10" customFormat="1">
      <c r="B20" s="18"/>
      <c r="C20" s="306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</row>
    <row r="21" spans="1:36" s="10" customFormat="1">
      <c r="A21" s="11" t="s">
        <v>64</v>
      </c>
      <c r="B21" s="307">
        <f>B19</f>
        <v>104725.92392639755</v>
      </c>
      <c r="C21" s="380"/>
      <c r="D21" s="307">
        <f>B19-D19</f>
        <v>99195.967730077668</v>
      </c>
      <c r="E21" s="307">
        <f>D21-E19</f>
        <v>88900.993357069907</v>
      </c>
      <c r="F21" s="307">
        <f t="shared" ref="F21:X21" si="7">E21-F19</f>
        <v>79556.038021362911</v>
      </c>
      <c r="G21" s="307">
        <f t="shared" si="7"/>
        <v>71061.099719030302</v>
      </c>
      <c r="H21" s="307">
        <f t="shared" si="7"/>
        <v>63336.176846930954</v>
      </c>
      <c r="I21" s="307">
        <f t="shared" si="7"/>
        <v>56807.790668983056</v>
      </c>
      <c r="J21" s="307">
        <f t="shared" si="7"/>
        <v>50857.6724373256</v>
      </c>
      <c r="K21" s="307">
        <f t="shared" si="7"/>
        <v>44897.554005275502</v>
      </c>
      <c r="L21" s="307">
        <f t="shared" si="7"/>
        <v>38947.435773618046</v>
      </c>
      <c r="M21" s="307">
        <f t="shared" si="7"/>
        <v>32987.317341567948</v>
      </c>
      <c r="N21" s="307">
        <f t="shared" si="7"/>
        <v>27037.199109910493</v>
      </c>
      <c r="O21" s="307">
        <f t="shared" si="7"/>
        <v>21077.080677860398</v>
      </c>
      <c r="P21" s="307">
        <f t="shared" si="7"/>
        <v>15126.962446202942</v>
      </c>
      <c r="Q21" s="307">
        <f t="shared" si="7"/>
        <v>9166.8440141528481</v>
      </c>
      <c r="R21" s="307">
        <f t="shared" si="7"/>
        <v>3216.7257824953931</v>
      </c>
      <c r="S21" s="307">
        <f t="shared" si="7"/>
        <v>216.66666666666561</v>
      </c>
      <c r="T21" s="307">
        <f t="shared" si="7"/>
        <v>166.66666666666561</v>
      </c>
      <c r="U21" s="307">
        <f t="shared" si="7"/>
        <v>116.66666666666561</v>
      </c>
      <c r="V21" s="307">
        <f t="shared" si="7"/>
        <v>66.666666666665606</v>
      </c>
      <c r="W21" s="307">
        <f t="shared" si="7"/>
        <v>16.666666666665606</v>
      </c>
      <c r="X21" s="307">
        <f t="shared" si="7"/>
        <v>-1.0658141036401503E-12</v>
      </c>
      <c r="Y21" s="307">
        <f>X21-Y19</f>
        <v>-1.0658141036401503E-12</v>
      </c>
      <c r="Z21" s="307">
        <f t="shared" ref="Z21:AH21" si="8">Y21-Z19</f>
        <v>-1.0658141036401503E-12</v>
      </c>
      <c r="AA21" s="307">
        <f t="shared" si="8"/>
        <v>-1.0658141036401503E-12</v>
      </c>
      <c r="AB21" s="307">
        <f t="shared" si="8"/>
        <v>-1.0658141036401503E-12</v>
      </c>
      <c r="AC21" s="307">
        <f t="shared" si="8"/>
        <v>-1.0658141036401503E-12</v>
      </c>
      <c r="AD21" s="307">
        <f t="shared" si="8"/>
        <v>-1.0658141036401503E-12</v>
      </c>
      <c r="AE21" s="307">
        <f t="shared" si="8"/>
        <v>-1.0658141036401503E-12</v>
      </c>
      <c r="AF21" s="307">
        <f t="shared" si="8"/>
        <v>-1.0658141036401503E-12</v>
      </c>
      <c r="AG21" s="307">
        <f t="shared" si="8"/>
        <v>-1.0658141036401503E-12</v>
      </c>
      <c r="AH21" s="307">
        <f t="shared" si="8"/>
        <v>-1.0658141036401503E-12</v>
      </c>
      <c r="AI21" s="304"/>
      <c r="AJ21" s="304"/>
    </row>
    <row r="22" spans="1:36" s="10" customFormat="1">
      <c r="A22" s="12"/>
      <c r="B22" s="73"/>
      <c r="C22" s="72"/>
      <c r="D22" s="73"/>
      <c r="E22" s="73"/>
      <c r="F22" s="73"/>
      <c r="G22" s="73"/>
      <c r="H22" s="73"/>
      <c r="I22" s="73"/>
      <c r="J22" s="73"/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/>
      <c r="W22" s="73"/>
      <c r="X22" s="73"/>
      <c r="Y22" s="73"/>
      <c r="Z22" s="73"/>
      <c r="AA22" s="73"/>
      <c r="AB22" s="73"/>
      <c r="AC22" s="73"/>
      <c r="AD22" s="73"/>
      <c r="AE22" s="73"/>
      <c r="AF22" s="73"/>
      <c r="AG22" s="73"/>
      <c r="AH22" s="73"/>
    </row>
    <row r="23" spans="1:36" s="10" customFormat="1">
      <c r="A23" s="16"/>
      <c r="B23" s="17"/>
      <c r="C23" s="35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</row>
    <row r="24" spans="1:36" s="10" customFormat="1">
      <c r="A24" s="27" t="s">
        <v>65</v>
      </c>
      <c r="B24" s="36"/>
      <c r="C24" s="24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</row>
    <row r="25" spans="1:36" s="10" customFormat="1">
      <c r="A25" s="27"/>
      <c r="B25" s="29" t="s">
        <v>62</v>
      </c>
      <c r="C25" s="24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</row>
    <row r="26" spans="1:36" s="10" customFormat="1">
      <c r="A26" s="21" t="s">
        <v>251</v>
      </c>
      <c r="B26" s="31">
        <f>Assumptions!$N$39</f>
        <v>15</v>
      </c>
      <c r="C26" s="32"/>
      <c r="D26" s="33">
        <f>D12</f>
        <v>0.05</v>
      </c>
      <c r="E26" s="33">
        <f t="shared" ref="E26:Y26" si="9">E12</f>
        <v>9.5000000000000001E-2</v>
      </c>
      <c r="F26" s="33">
        <f t="shared" si="9"/>
        <v>8.5500000000000007E-2</v>
      </c>
      <c r="G26" s="33">
        <f t="shared" si="9"/>
        <v>7.6999999999999999E-2</v>
      </c>
      <c r="H26" s="33">
        <f t="shared" si="9"/>
        <v>6.93E-2</v>
      </c>
      <c r="I26" s="33">
        <f t="shared" si="9"/>
        <v>6.2300000000000001E-2</v>
      </c>
      <c r="J26" s="33">
        <f t="shared" si="9"/>
        <v>5.8999999999999997E-2</v>
      </c>
      <c r="K26" s="33">
        <f t="shared" si="9"/>
        <v>5.91E-2</v>
      </c>
      <c r="L26" s="33">
        <f t="shared" si="9"/>
        <v>5.8999999999999997E-2</v>
      </c>
      <c r="M26" s="33">
        <f t="shared" si="9"/>
        <v>5.91E-2</v>
      </c>
      <c r="N26" s="33">
        <f t="shared" si="9"/>
        <v>5.8999999999999997E-2</v>
      </c>
      <c r="O26" s="33">
        <f t="shared" si="9"/>
        <v>5.91E-2</v>
      </c>
      <c r="P26" s="33">
        <f t="shared" si="9"/>
        <v>5.8999999999999997E-2</v>
      </c>
      <c r="Q26" s="33">
        <f t="shared" si="9"/>
        <v>5.91E-2</v>
      </c>
      <c r="R26" s="33">
        <f t="shared" si="9"/>
        <v>5.8999999999999997E-2</v>
      </c>
      <c r="S26" s="33">
        <f t="shared" si="9"/>
        <v>2.9499999999999998E-2</v>
      </c>
      <c r="T26" s="33">
        <f t="shared" si="9"/>
        <v>0</v>
      </c>
      <c r="U26" s="33">
        <f t="shared" si="9"/>
        <v>0</v>
      </c>
      <c r="V26" s="33">
        <f t="shared" si="9"/>
        <v>0</v>
      </c>
      <c r="W26" s="33">
        <f t="shared" si="9"/>
        <v>0</v>
      </c>
      <c r="X26" s="33">
        <f t="shared" si="9"/>
        <v>0</v>
      </c>
      <c r="Y26" s="33">
        <f t="shared" si="9"/>
        <v>0</v>
      </c>
      <c r="Z26" s="33">
        <f t="shared" ref="Z26:AH26" si="10">Z12</f>
        <v>0</v>
      </c>
      <c r="AA26" s="33">
        <f t="shared" si="10"/>
        <v>0</v>
      </c>
      <c r="AB26" s="33">
        <f t="shared" si="10"/>
        <v>0</v>
      </c>
      <c r="AC26" s="33">
        <f t="shared" si="10"/>
        <v>0</v>
      </c>
      <c r="AD26" s="33">
        <f t="shared" si="10"/>
        <v>0</v>
      </c>
      <c r="AE26" s="33">
        <f t="shared" si="10"/>
        <v>0</v>
      </c>
      <c r="AF26" s="33">
        <f t="shared" si="10"/>
        <v>0</v>
      </c>
      <c r="AG26" s="33">
        <f t="shared" si="10"/>
        <v>0</v>
      </c>
      <c r="AH26" s="33">
        <f t="shared" si="10"/>
        <v>0</v>
      </c>
    </row>
    <row r="27" spans="1:36" s="10" customFormat="1">
      <c r="A27" s="21" t="s">
        <v>252</v>
      </c>
      <c r="B27" s="31">
        <f>Assumptions!$N$40</f>
        <v>5</v>
      </c>
      <c r="C27" s="32"/>
      <c r="D27" s="280">
        <f>D13</f>
        <v>0.13333333333333333</v>
      </c>
      <c r="E27" s="280">
        <f t="shared" ref="E27:AH27" si="11">E13</f>
        <v>0.2</v>
      </c>
      <c r="F27" s="280">
        <f t="shared" si="11"/>
        <v>0.2</v>
      </c>
      <c r="G27" s="280">
        <f t="shared" si="11"/>
        <v>0.2</v>
      </c>
      <c r="H27" s="280">
        <f t="shared" si="11"/>
        <v>0.2</v>
      </c>
      <c r="I27" s="280">
        <f t="shared" si="11"/>
        <v>6.666666666666668E-2</v>
      </c>
      <c r="J27" s="280">
        <f t="shared" si="11"/>
        <v>0</v>
      </c>
      <c r="K27" s="280">
        <f t="shared" si="11"/>
        <v>0</v>
      </c>
      <c r="L27" s="280">
        <f t="shared" si="11"/>
        <v>0</v>
      </c>
      <c r="M27" s="280">
        <f t="shared" si="11"/>
        <v>0</v>
      </c>
      <c r="N27" s="280">
        <f t="shared" si="11"/>
        <v>0</v>
      </c>
      <c r="O27" s="280">
        <f t="shared" si="11"/>
        <v>0</v>
      </c>
      <c r="P27" s="280">
        <f t="shared" si="11"/>
        <v>0</v>
      </c>
      <c r="Q27" s="280">
        <f t="shared" si="11"/>
        <v>0</v>
      </c>
      <c r="R27" s="280">
        <f t="shared" si="11"/>
        <v>0</v>
      </c>
      <c r="S27" s="280">
        <f t="shared" si="11"/>
        <v>0</v>
      </c>
      <c r="T27" s="280">
        <f t="shared" si="11"/>
        <v>0</v>
      </c>
      <c r="U27" s="280">
        <f t="shared" si="11"/>
        <v>0</v>
      </c>
      <c r="V27" s="280">
        <f t="shared" si="11"/>
        <v>0</v>
      </c>
      <c r="W27" s="280">
        <f t="shared" si="11"/>
        <v>0</v>
      </c>
      <c r="X27" s="280">
        <f t="shared" si="11"/>
        <v>0</v>
      </c>
      <c r="Y27" s="280">
        <f t="shared" si="11"/>
        <v>0</v>
      </c>
      <c r="Z27" s="280">
        <f t="shared" si="11"/>
        <v>0</v>
      </c>
      <c r="AA27" s="280">
        <f t="shared" si="11"/>
        <v>0</v>
      </c>
      <c r="AB27" s="280">
        <f t="shared" si="11"/>
        <v>0</v>
      </c>
      <c r="AC27" s="280">
        <f t="shared" si="11"/>
        <v>0</v>
      </c>
      <c r="AD27" s="280">
        <f t="shared" si="11"/>
        <v>0</v>
      </c>
      <c r="AE27" s="280">
        <f t="shared" si="11"/>
        <v>0</v>
      </c>
      <c r="AF27" s="280">
        <f t="shared" si="11"/>
        <v>0</v>
      </c>
      <c r="AG27" s="280">
        <f t="shared" si="11"/>
        <v>0</v>
      </c>
      <c r="AH27" s="280">
        <f t="shared" si="11"/>
        <v>0</v>
      </c>
    </row>
    <row r="28" spans="1:36" s="10" customFormat="1">
      <c r="A28" s="22" t="s">
        <v>320</v>
      </c>
      <c r="B28" s="68">
        <f>Assumptions!$N$41</f>
        <v>20</v>
      </c>
      <c r="C28" s="32"/>
      <c r="D28" s="33">
        <f>D14</f>
        <v>3.3333333333333333E-2</v>
      </c>
      <c r="E28" s="33">
        <f t="shared" ref="E28:Y28" si="12">E14</f>
        <v>0.05</v>
      </c>
      <c r="F28" s="33">
        <f t="shared" si="12"/>
        <v>0.05</v>
      </c>
      <c r="G28" s="33">
        <f t="shared" si="12"/>
        <v>0.05</v>
      </c>
      <c r="H28" s="33">
        <f t="shared" si="12"/>
        <v>0.05</v>
      </c>
      <c r="I28" s="33">
        <f t="shared" si="12"/>
        <v>0.05</v>
      </c>
      <c r="J28" s="33">
        <f t="shared" si="12"/>
        <v>0.05</v>
      </c>
      <c r="K28" s="33">
        <f t="shared" si="12"/>
        <v>0.05</v>
      </c>
      <c r="L28" s="33">
        <f t="shared" si="12"/>
        <v>0.05</v>
      </c>
      <c r="M28" s="33">
        <f t="shared" si="12"/>
        <v>0.05</v>
      </c>
      <c r="N28" s="33">
        <f t="shared" si="12"/>
        <v>0.05</v>
      </c>
      <c r="O28" s="33">
        <f t="shared" si="12"/>
        <v>0.05</v>
      </c>
      <c r="P28" s="33">
        <f t="shared" si="12"/>
        <v>0.05</v>
      </c>
      <c r="Q28" s="33">
        <f t="shared" si="12"/>
        <v>0.05</v>
      </c>
      <c r="R28" s="33">
        <f t="shared" si="12"/>
        <v>0.05</v>
      </c>
      <c r="S28" s="33">
        <f t="shared" si="12"/>
        <v>0.05</v>
      </c>
      <c r="T28" s="33">
        <f t="shared" si="12"/>
        <v>0.05</v>
      </c>
      <c r="U28" s="33">
        <f t="shared" si="12"/>
        <v>0.05</v>
      </c>
      <c r="V28" s="33">
        <f t="shared" si="12"/>
        <v>0.05</v>
      </c>
      <c r="W28" s="33">
        <f t="shared" si="12"/>
        <v>0.05</v>
      </c>
      <c r="X28" s="33">
        <f t="shared" si="12"/>
        <v>1.666666666666667E-2</v>
      </c>
      <c r="Y28" s="33">
        <f t="shared" si="12"/>
        <v>0</v>
      </c>
      <c r="Z28" s="33">
        <f t="shared" ref="Z28:AH28" si="13">Z14</f>
        <v>0</v>
      </c>
      <c r="AA28" s="33">
        <f t="shared" si="13"/>
        <v>0</v>
      </c>
      <c r="AB28" s="33">
        <f t="shared" si="13"/>
        <v>0</v>
      </c>
      <c r="AC28" s="33">
        <f t="shared" si="13"/>
        <v>0</v>
      </c>
      <c r="AD28" s="33">
        <f t="shared" si="13"/>
        <v>0</v>
      </c>
      <c r="AE28" s="33">
        <f t="shared" si="13"/>
        <v>0</v>
      </c>
      <c r="AF28" s="33">
        <f t="shared" si="13"/>
        <v>0</v>
      </c>
      <c r="AG28" s="33">
        <f t="shared" si="13"/>
        <v>0</v>
      </c>
      <c r="AH28" s="33">
        <f t="shared" si="13"/>
        <v>0</v>
      </c>
    </row>
    <row r="29" spans="1:36" s="10" customFormat="1">
      <c r="A29" s="16"/>
      <c r="B29" s="31"/>
      <c r="C29" s="24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</row>
    <row r="30" spans="1:36" s="10" customFormat="1">
      <c r="A30" s="12"/>
      <c r="B30" s="29"/>
      <c r="C30" s="24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</row>
    <row r="31" spans="1:36" s="20" customFormat="1">
      <c r="A31" s="21" t="s">
        <v>251</v>
      </c>
      <c r="B31" s="377">
        <f>B16</f>
        <v>100002.00392639755</v>
      </c>
      <c r="C31" s="306"/>
      <c r="D31" s="18">
        <f>$B$31*D26</f>
        <v>5000.1001963198778</v>
      </c>
      <c r="E31" s="18">
        <f t="shared" ref="E31:Y31" si="14">$B$31*E26</f>
        <v>9500.1903730077665</v>
      </c>
      <c r="F31" s="18">
        <f t="shared" si="14"/>
        <v>8550.1713357069912</v>
      </c>
      <c r="G31" s="18">
        <f t="shared" si="14"/>
        <v>7700.1543023326112</v>
      </c>
      <c r="H31" s="18">
        <f t="shared" si="14"/>
        <v>6930.13887209935</v>
      </c>
      <c r="I31" s="18">
        <f t="shared" si="14"/>
        <v>6230.1248446145673</v>
      </c>
      <c r="J31" s="18">
        <f t="shared" si="14"/>
        <v>5900.118231657455</v>
      </c>
      <c r="K31" s="18">
        <f t="shared" si="14"/>
        <v>5910.1184320500952</v>
      </c>
      <c r="L31" s="18">
        <f t="shared" si="14"/>
        <v>5900.118231657455</v>
      </c>
      <c r="M31" s="18">
        <f t="shared" si="14"/>
        <v>5910.1184320500952</v>
      </c>
      <c r="N31" s="18">
        <f t="shared" si="14"/>
        <v>5900.118231657455</v>
      </c>
      <c r="O31" s="18">
        <f t="shared" si="14"/>
        <v>5910.1184320500952</v>
      </c>
      <c r="P31" s="18">
        <f t="shared" si="14"/>
        <v>5900.118231657455</v>
      </c>
      <c r="Q31" s="18">
        <f t="shared" si="14"/>
        <v>5910.1184320500952</v>
      </c>
      <c r="R31" s="18">
        <f t="shared" si="14"/>
        <v>5900.118231657455</v>
      </c>
      <c r="S31" s="18">
        <f t="shared" si="14"/>
        <v>2950.0591158287275</v>
      </c>
      <c r="T31" s="18">
        <f t="shared" si="14"/>
        <v>0</v>
      </c>
      <c r="U31" s="18">
        <f t="shared" si="14"/>
        <v>0</v>
      </c>
      <c r="V31" s="18">
        <f t="shared" si="14"/>
        <v>0</v>
      </c>
      <c r="W31" s="18">
        <f t="shared" si="14"/>
        <v>0</v>
      </c>
      <c r="X31" s="18">
        <f t="shared" si="14"/>
        <v>0</v>
      </c>
      <c r="Y31" s="18">
        <f t="shared" si="14"/>
        <v>0</v>
      </c>
      <c r="Z31" s="18">
        <f t="shared" ref="Z31:AH31" si="15">$B$31*Z26</f>
        <v>0</v>
      </c>
      <c r="AA31" s="18">
        <f t="shared" si="15"/>
        <v>0</v>
      </c>
      <c r="AB31" s="18">
        <f t="shared" si="15"/>
        <v>0</v>
      </c>
      <c r="AC31" s="18">
        <f t="shared" si="15"/>
        <v>0</v>
      </c>
      <c r="AD31" s="18">
        <f t="shared" si="15"/>
        <v>0</v>
      </c>
      <c r="AE31" s="18">
        <f t="shared" si="15"/>
        <v>0</v>
      </c>
      <c r="AF31" s="18">
        <f t="shared" si="15"/>
        <v>0</v>
      </c>
      <c r="AG31" s="18">
        <f t="shared" si="15"/>
        <v>0</v>
      </c>
      <c r="AH31" s="18">
        <f t="shared" si="15"/>
        <v>0</v>
      </c>
    </row>
    <row r="32" spans="1:36" s="10" customFormat="1">
      <c r="A32" s="21" t="s">
        <v>252</v>
      </c>
      <c r="B32" s="305">
        <f>B17</f>
        <v>3723.92</v>
      </c>
      <c r="C32" s="306"/>
      <c r="D32" s="303">
        <f>D27*$B$32</f>
        <v>496.52266666666668</v>
      </c>
      <c r="E32" s="303">
        <f t="shared" ref="E32:AH32" si="16">E27*$B$32</f>
        <v>744.78400000000011</v>
      </c>
      <c r="F32" s="303">
        <f t="shared" si="16"/>
        <v>744.78400000000011</v>
      </c>
      <c r="G32" s="303">
        <f t="shared" si="16"/>
        <v>744.78400000000011</v>
      </c>
      <c r="H32" s="303">
        <f t="shared" si="16"/>
        <v>744.78400000000011</v>
      </c>
      <c r="I32" s="303">
        <f t="shared" si="16"/>
        <v>248.2613333333334</v>
      </c>
      <c r="J32" s="303">
        <f t="shared" si="16"/>
        <v>0</v>
      </c>
      <c r="K32" s="303">
        <f t="shared" si="16"/>
        <v>0</v>
      </c>
      <c r="L32" s="303">
        <f t="shared" si="16"/>
        <v>0</v>
      </c>
      <c r="M32" s="303">
        <f t="shared" si="16"/>
        <v>0</v>
      </c>
      <c r="N32" s="303">
        <f t="shared" si="16"/>
        <v>0</v>
      </c>
      <c r="O32" s="303">
        <f t="shared" si="16"/>
        <v>0</v>
      </c>
      <c r="P32" s="303">
        <f t="shared" si="16"/>
        <v>0</v>
      </c>
      <c r="Q32" s="303">
        <f t="shared" si="16"/>
        <v>0</v>
      </c>
      <c r="R32" s="303">
        <f t="shared" si="16"/>
        <v>0</v>
      </c>
      <c r="S32" s="303">
        <f t="shared" si="16"/>
        <v>0</v>
      </c>
      <c r="T32" s="303">
        <f t="shared" si="16"/>
        <v>0</v>
      </c>
      <c r="U32" s="303">
        <f t="shared" si="16"/>
        <v>0</v>
      </c>
      <c r="V32" s="303">
        <f t="shared" si="16"/>
        <v>0</v>
      </c>
      <c r="W32" s="303">
        <f t="shared" si="16"/>
        <v>0</v>
      </c>
      <c r="X32" s="303">
        <f t="shared" si="16"/>
        <v>0</v>
      </c>
      <c r="Y32" s="303">
        <f t="shared" si="16"/>
        <v>0</v>
      </c>
      <c r="Z32" s="303">
        <f t="shared" si="16"/>
        <v>0</v>
      </c>
      <c r="AA32" s="303">
        <f t="shared" si="16"/>
        <v>0</v>
      </c>
      <c r="AB32" s="303">
        <f t="shared" si="16"/>
        <v>0</v>
      </c>
      <c r="AC32" s="303">
        <f t="shared" si="16"/>
        <v>0</v>
      </c>
      <c r="AD32" s="303">
        <f t="shared" si="16"/>
        <v>0</v>
      </c>
      <c r="AE32" s="303">
        <f t="shared" si="16"/>
        <v>0</v>
      </c>
      <c r="AF32" s="303">
        <f t="shared" si="16"/>
        <v>0</v>
      </c>
      <c r="AG32" s="303">
        <f t="shared" si="16"/>
        <v>0</v>
      </c>
      <c r="AH32" s="303">
        <f t="shared" si="16"/>
        <v>0</v>
      </c>
    </row>
    <row r="33" spans="1:38" s="10" customFormat="1" ht="15">
      <c r="A33" s="22" t="s">
        <v>320</v>
      </c>
      <c r="B33" s="378">
        <f>B18</f>
        <v>1000</v>
      </c>
      <c r="C33" s="306"/>
      <c r="D33" s="379">
        <f t="shared" ref="D33:Y33" si="17">$B33*D28</f>
        <v>33.333333333333336</v>
      </c>
      <c r="E33" s="379">
        <f t="shared" si="17"/>
        <v>50</v>
      </c>
      <c r="F33" s="379">
        <f t="shared" si="17"/>
        <v>50</v>
      </c>
      <c r="G33" s="379">
        <f t="shared" si="17"/>
        <v>50</v>
      </c>
      <c r="H33" s="379">
        <f t="shared" si="17"/>
        <v>50</v>
      </c>
      <c r="I33" s="379">
        <f t="shared" si="17"/>
        <v>50</v>
      </c>
      <c r="J33" s="379">
        <f t="shared" si="17"/>
        <v>50</v>
      </c>
      <c r="K33" s="379">
        <f t="shared" si="17"/>
        <v>50</v>
      </c>
      <c r="L33" s="379">
        <f t="shared" si="17"/>
        <v>50</v>
      </c>
      <c r="M33" s="379">
        <f t="shared" si="17"/>
        <v>50</v>
      </c>
      <c r="N33" s="379">
        <f t="shared" si="17"/>
        <v>50</v>
      </c>
      <c r="O33" s="379">
        <f t="shared" si="17"/>
        <v>50</v>
      </c>
      <c r="P33" s="379">
        <f t="shared" si="17"/>
        <v>50</v>
      </c>
      <c r="Q33" s="379">
        <f t="shared" si="17"/>
        <v>50</v>
      </c>
      <c r="R33" s="379">
        <f t="shared" si="17"/>
        <v>50</v>
      </c>
      <c r="S33" s="379">
        <f t="shared" si="17"/>
        <v>50</v>
      </c>
      <c r="T33" s="379">
        <f t="shared" si="17"/>
        <v>50</v>
      </c>
      <c r="U33" s="379">
        <f t="shared" si="17"/>
        <v>50</v>
      </c>
      <c r="V33" s="379">
        <f t="shared" si="17"/>
        <v>50</v>
      </c>
      <c r="W33" s="379">
        <f t="shared" si="17"/>
        <v>50</v>
      </c>
      <c r="X33" s="379">
        <f t="shared" si="17"/>
        <v>16.666666666666671</v>
      </c>
      <c r="Y33" s="379">
        <f t="shared" si="17"/>
        <v>0</v>
      </c>
      <c r="Z33" s="379">
        <f t="shared" ref="Z33:AH33" si="18">$B33*Z28</f>
        <v>0</v>
      </c>
      <c r="AA33" s="379">
        <f t="shared" si="18"/>
        <v>0</v>
      </c>
      <c r="AB33" s="379">
        <f t="shared" si="18"/>
        <v>0</v>
      </c>
      <c r="AC33" s="379">
        <f t="shared" si="18"/>
        <v>0</v>
      </c>
      <c r="AD33" s="379">
        <f t="shared" si="18"/>
        <v>0</v>
      </c>
      <c r="AE33" s="379">
        <f t="shared" si="18"/>
        <v>0</v>
      </c>
      <c r="AF33" s="379">
        <f t="shared" si="18"/>
        <v>0</v>
      </c>
      <c r="AG33" s="379">
        <f t="shared" si="18"/>
        <v>0</v>
      </c>
      <c r="AH33" s="379">
        <f t="shared" si="18"/>
        <v>0</v>
      </c>
    </row>
    <row r="34" spans="1:38" s="10" customFormat="1">
      <c r="A34" s="16" t="s">
        <v>63</v>
      </c>
      <c r="B34" s="18">
        <f>SUM(B31:B33)</f>
        <v>104725.92392639755</v>
      </c>
      <c r="C34" s="306"/>
      <c r="D34" s="18">
        <f t="shared" ref="D34:Y34" si="19">SUM(D31:D33)</f>
        <v>5529.9561963198776</v>
      </c>
      <c r="E34" s="18">
        <f t="shared" si="19"/>
        <v>10294.974373007766</v>
      </c>
      <c r="F34" s="18">
        <f t="shared" si="19"/>
        <v>9344.9553357069908</v>
      </c>
      <c r="G34" s="18">
        <f t="shared" si="19"/>
        <v>8494.9383023326118</v>
      </c>
      <c r="H34" s="18">
        <f t="shared" si="19"/>
        <v>7724.9228720993506</v>
      </c>
      <c r="I34" s="18">
        <f t="shared" si="19"/>
        <v>6528.3861779479012</v>
      </c>
      <c r="J34" s="18">
        <f t="shared" si="19"/>
        <v>5950.118231657455</v>
      </c>
      <c r="K34" s="18">
        <f t="shared" si="19"/>
        <v>5960.1184320500952</v>
      </c>
      <c r="L34" s="18">
        <f t="shared" si="19"/>
        <v>5950.118231657455</v>
      </c>
      <c r="M34" s="18">
        <f t="shared" si="19"/>
        <v>5960.1184320500952</v>
      </c>
      <c r="N34" s="18">
        <f t="shared" si="19"/>
        <v>5950.118231657455</v>
      </c>
      <c r="O34" s="18">
        <f t="shared" si="19"/>
        <v>5960.1184320500952</v>
      </c>
      <c r="P34" s="18">
        <f t="shared" si="19"/>
        <v>5950.118231657455</v>
      </c>
      <c r="Q34" s="18">
        <f t="shared" si="19"/>
        <v>5960.1184320500952</v>
      </c>
      <c r="R34" s="18">
        <f t="shared" si="19"/>
        <v>5950.118231657455</v>
      </c>
      <c r="S34" s="18">
        <f t="shared" si="19"/>
        <v>3000.0591158287275</v>
      </c>
      <c r="T34" s="18">
        <f t="shared" si="19"/>
        <v>50</v>
      </c>
      <c r="U34" s="18">
        <f t="shared" si="19"/>
        <v>50</v>
      </c>
      <c r="V34" s="18">
        <f t="shared" si="19"/>
        <v>50</v>
      </c>
      <c r="W34" s="18">
        <f t="shared" si="19"/>
        <v>50</v>
      </c>
      <c r="X34" s="18">
        <f t="shared" si="19"/>
        <v>16.666666666666671</v>
      </c>
      <c r="Y34" s="18">
        <f t="shared" si="19"/>
        <v>0</v>
      </c>
      <c r="Z34" s="18">
        <f t="shared" ref="Z34:AH34" si="20">SUM(Z31:Z33)</f>
        <v>0</v>
      </c>
      <c r="AA34" s="18">
        <f t="shared" si="20"/>
        <v>0</v>
      </c>
      <c r="AB34" s="18">
        <f t="shared" si="20"/>
        <v>0</v>
      </c>
      <c r="AC34" s="18">
        <f t="shared" si="20"/>
        <v>0</v>
      </c>
      <c r="AD34" s="18">
        <f t="shared" si="20"/>
        <v>0</v>
      </c>
      <c r="AE34" s="18">
        <f t="shared" si="20"/>
        <v>0</v>
      </c>
      <c r="AF34" s="18">
        <f t="shared" si="20"/>
        <v>0</v>
      </c>
      <c r="AG34" s="18">
        <f t="shared" si="20"/>
        <v>0</v>
      </c>
      <c r="AH34" s="18">
        <f t="shared" si="20"/>
        <v>0</v>
      </c>
    </row>
    <row r="35" spans="1:38" s="10" customFormat="1">
      <c r="A35" s="16"/>
      <c r="B35" s="18"/>
      <c r="C35" s="381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</row>
    <row r="36" spans="1:38" s="10" customFormat="1">
      <c r="A36" s="11" t="s">
        <v>64</v>
      </c>
      <c r="B36" s="307">
        <f>B34</f>
        <v>104725.92392639755</v>
      </c>
      <c r="C36" s="382"/>
      <c r="D36" s="307">
        <f>B34-D34</f>
        <v>99195.967730077668</v>
      </c>
      <c r="E36" s="307">
        <f>D36-E34</f>
        <v>88900.993357069907</v>
      </c>
      <c r="F36" s="307">
        <f t="shared" ref="F36:W36" si="21">E36-F34</f>
        <v>79556.038021362911</v>
      </c>
      <c r="G36" s="307">
        <f t="shared" si="21"/>
        <v>71061.099719030302</v>
      </c>
      <c r="H36" s="307">
        <f t="shared" si="21"/>
        <v>63336.176846930954</v>
      </c>
      <c r="I36" s="307">
        <f t="shared" si="21"/>
        <v>56807.790668983056</v>
      </c>
      <c r="J36" s="307">
        <f t="shared" si="21"/>
        <v>50857.6724373256</v>
      </c>
      <c r="K36" s="307">
        <f t="shared" si="21"/>
        <v>44897.554005275502</v>
      </c>
      <c r="L36" s="307">
        <f t="shared" si="21"/>
        <v>38947.435773618046</v>
      </c>
      <c r="M36" s="307">
        <f t="shared" si="21"/>
        <v>32987.317341567948</v>
      </c>
      <c r="N36" s="307">
        <f t="shared" si="21"/>
        <v>27037.199109910493</v>
      </c>
      <c r="O36" s="307">
        <f t="shared" si="21"/>
        <v>21077.080677860398</v>
      </c>
      <c r="P36" s="307">
        <f t="shared" si="21"/>
        <v>15126.962446202942</v>
      </c>
      <c r="Q36" s="307">
        <f t="shared" si="21"/>
        <v>9166.8440141528481</v>
      </c>
      <c r="R36" s="307">
        <f t="shared" si="21"/>
        <v>3216.7257824953931</v>
      </c>
      <c r="S36" s="307">
        <f t="shared" si="21"/>
        <v>216.66666666666561</v>
      </c>
      <c r="T36" s="307">
        <f t="shared" si="21"/>
        <v>166.66666666666561</v>
      </c>
      <c r="U36" s="307">
        <f t="shared" si="21"/>
        <v>116.66666666666561</v>
      </c>
      <c r="V36" s="307">
        <f t="shared" si="21"/>
        <v>66.666666666665606</v>
      </c>
      <c r="W36" s="307">
        <f t="shared" si="21"/>
        <v>16.666666666665606</v>
      </c>
      <c r="X36" s="307">
        <f>W36-X34</f>
        <v>-1.0658141036401503E-12</v>
      </c>
      <c r="Y36" s="307">
        <f>X36-Y34</f>
        <v>-1.0658141036401503E-12</v>
      </c>
      <c r="Z36" s="307">
        <f t="shared" ref="Z36:AH36" si="22">Y36-Z34</f>
        <v>-1.0658141036401503E-12</v>
      </c>
      <c r="AA36" s="307">
        <f t="shared" si="22"/>
        <v>-1.0658141036401503E-12</v>
      </c>
      <c r="AB36" s="307">
        <f t="shared" si="22"/>
        <v>-1.0658141036401503E-12</v>
      </c>
      <c r="AC36" s="307">
        <f t="shared" si="22"/>
        <v>-1.0658141036401503E-12</v>
      </c>
      <c r="AD36" s="307">
        <f t="shared" si="22"/>
        <v>-1.0658141036401503E-12</v>
      </c>
      <c r="AE36" s="307">
        <f t="shared" si="22"/>
        <v>-1.0658141036401503E-12</v>
      </c>
      <c r="AF36" s="307">
        <f t="shared" si="22"/>
        <v>-1.0658141036401503E-12</v>
      </c>
      <c r="AG36" s="307">
        <f t="shared" si="22"/>
        <v>-1.0658141036401503E-12</v>
      </c>
      <c r="AH36" s="307">
        <f t="shared" si="22"/>
        <v>-1.0658141036401503E-12</v>
      </c>
      <c r="AI36" s="304"/>
      <c r="AJ36" s="304"/>
    </row>
    <row r="37" spans="1:38" s="10" customFormat="1">
      <c r="A37" s="12"/>
      <c r="B37" s="12"/>
      <c r="C37" s="24"/>
      <c r="D37" s="37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</row>
    <row r="38" spans="1:38" s="10" customFormat="1">
      <c r="A38" s="12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</row>
    <row r="39" spans="1:38" s="10" customFormat="1">
      <c r="A39" s="27" t="s">
        <v>66</v>
      </c>
    </row>
    <row r="40" spans="1:38" s="10" customFormat="1">
      <c r="A40" s="27"/>
      <c r="B40" s="29" t="s">
        <v>62</v>
      </c>
      <c r="C40" s="375" t="s">
        <v>67</v>
      </c>
    </row>
    <row r="41" spans="1:38" s="10" customFormat="1">
      <c r="A41" s="21" t="s">
        <v>375</v>
      </c>
      <c r="B41" s="31">
        <f>Assumptions!$N$44</f>
        <v>30</v>
      </c>
      <c r="C41" s="376">
        <f>Assumptions!P44</f>
        <v>0.1</v>
      </c>
      <c r="D41" s="280">
        <f>1/Assumptions!$N$44*D6*(1-$C$41)</f>
        <v>1.9999999999999997E-2</v>
      </c>
      <c r="E41" s="280">
        <f>IF(AND(E6&gt;=Assumptions!$N$44,D6&lt;Assumptions!$N$44),1/Assumptions!$N$44*(1-$C$41)-Depreciation!$D$41,IF(AND(D6&gt;Assumptions!$N$44,E6&lt;Assumptions!$N$44),0,1/Assumptions!$N$44*(1-$C$41)))</f>
        <v>0.03</v>
      </c>
      <c r="F41" s="280">
        <f>IF(AND(F6&gt;=Assumptions!$N$44,E6&lt;Assumptions!$N$44),1/Assumptions!$N$44*(1-$C$41)-Depreciation!$D$41,IF(AND(E6&gt;Assumptions!$N$44,F6&lt;Assumptions!$N$44),0,1/Assumptions!$N$44*(1-$C$41)))</f>
        <v>0.03</v>
      </c>
      <c r="G41" s="280">
        <f>IF(AND(G6&gt;=Assumptions!$N$44,F6&lt;Assumptions!$N$44),1/Assumptions!$N$44*(1-$C$41)-Depreciation!$D$41,IF(AND(F6&gt;Assumptions!$N$44,G6&lt;Assumptions!$N$44),0,1/Assumptions!$N$44*(1-$C$41)))</f>
        <v>0.03</v>
      </c>
      <c r="H41" s="280">
        <f>IF(AND(H6&gt;=Assumptions!$N$44,G6&lt;Assumptions!$N$44),1/Assumptions!$N$44*(1-$C$41)-Depreciation!$D$41,IF(AND(G6&gt;Assumptions!$N$44,H6&lt;Assumptions!$N$44),0,1/Assumptions!$N$44*(1-$C$41)))</f>
        <v>0.03</v>
      </c>
      <c r="I41" s="280">
        <f>IF(AND(I6&gt;=Assumptions!$N$44,H6&lt;Assumptions!$N$44),1/Assumptions!$N$44*(1-$C$41)-Depreciation!$D$41,IF(AND(H6&gt;Assumptions!$N$44,I6&lt;Assumptions!$N$44),0,1/Assumptions!$N$44*(1-$C$41)))</f>
        <v>0.03</v>
      </c>
      <c r="J41" s="280">
        <f>IF(AND(J6&gt;=Assumptions!$N$44,I6&lt;Assumptions!$N$44),1/Assumptions!$N$44*(1-$C$41)-Depreciation!$D$41,IF(AND(I6&gt;Assumptions!$N$44,J6&lt;Assumptions!$N$44),0,1/Assumptions!$N$44*(1-$C$41)))</f>
        <v>0.03</v>
      </c>
      <c r="K41" s="280">
        <f>IF(AND(K6&gt;=Assumptions!$N$44,J6&lt;Assumptions!$N$44),1/Assumptions!$N$44*(1-$C$41)-Depreciation!$D$41,IF(AND(J6&gt;Assumptions!$N$44,K6&lt;Assumptions!$N$44),0,1/Assumptions!$N$44*(1-$C$41)))</f>
        <v>0.03</v>
      </c>
      <c r="L41" s="280">
        <f>IF(AND(L6&gt;=Assumptions!$N$44,K6&lt;Assumptions!$N$44),1/Assumptions!$N$44*(1-$C$41)-Depreciation!$D$41,IF(AND(K6&gt;Assumptions!$N$44,L6&lt;Assumptions!$N$44),0,1/Assumptions!$N$44*(1-$C$41)))</f>
        <v>0.03</v>
      </c>
      <c r="M41" s="280">
        <f>IF(AND(M6&gt;=Assumptions!$N$44,L6&lt;Assumptions!$N$44),1/Assumptions!$N$44*(1-$C$41)-Depreciation!$D$41,IF(AND(L6&gt;Assumptions!$N$44,M6&lt;Assumptions!$N$44),0,1/Assumptions!$N$44*(1-$C$41)))</f>
        <v>0.03</v>
      </c>
      <c r="N41" s="280">
        <f>IF(AND(N6&gt;=Assumptions!$N$44,M6&lt;Assumptions!$N$44),1/Assumptions!$N$44*(1-$C$41)-Depreciation!$D$41,IF(AND(M6&gt;Assumptions!$N$44,N6&lt;Assumptions!$N$44),0,1/Assumptions!$N$44*(1-$C$41)))</f>
        <v>0.03</v>
      </c>
      <c r="O41" s="280">
        <f>IF(AND(O6&gt;=Assumptions!$N$44,N6&lt;Assumptions!$N$44),1/Assumptions!$N$44*(1-$C$41)-Depreciation!$D$41,IF(AND(N6&gt;Assumptions!$N$44,O6&lt;Assumptions!$N$44),0,1/Assumptions!$N$44*(1-$C$41)))</f>
        <v>0.03</v>
      </c>
      <c r="P41" s="280">
        <f>IF(AND(P6&gt;=Assumptions!$N$44,O6&lt;Assumptions!$N$44),1/Assumptions!$N$44*(1-$C$41)-Depreciation!$D$41,IF(AND(O6&gt;Assumptions!$N$44,P6&lt;Assumptions!$N$44),0,1/Assumptions!$N$44*(1-$C$41)))</f>
        <v>0.03</v>
      </c>
      <c r="Q41" s="280">
        <f>IF(AND(Q6&gt;=Assumptions!$N$44,P6&lt;Assumptions!$N$44),1/Assumptions!$N$44*(1-$C$41)-Depreciation!$D$41,IF(AND(P6&gt;Assumptions!$N$44,Q6&lt;Assumptions!$N$44),0,1/Assumptions!$N$44*(1-$C$41)))</f>
        <v>0.03</v>
      </c>
      <c r="R41" s="280">
        <f>IF(AND(R6&gt;=Assumptions!$N$44,Q6&lt;Assumptions!$N$44),1/Assumptions!$N$44*(1-$C$41)-Depreciation!$D$41,IF(AND(Q6&gt;Assumptions!$N$44,R6&lt;Assumptions!$N$44),0,1/Assumptions!$N$44*(1-$C$41)))</f>
        <v>0.03</v>
      </c>
      <c r="S41" s="280">
        <f>IF(AND(S6&gt;=Assumptions!$N$44,R6&lt;Assumptions!$N$44),1/Assumptions!$N$44*(1-$C$41)-Depreciation!$D$41,IF(AND(R6&gt;Assumptions!$N$44,S6&lt;Assumptions!$N$44),0,1/Assumptions!$N$44*(1-$C$41)))</f>
        <v>0.03</v>
      </c>
      <c r="T41" s="280">
        <f>IF(AND(T6&gt;=Assumptions!$N$44,S6&lt;Assumptions!$N$44),1/Assumptions!$N$44*(1-$C$41)-Depreciation!$D$41,IF(AND(S6&gt;Assumptions!$N$44,T6&lt;Assumptions!$N$44),0,1/Assumptions!$N$44*(1-$C$41)))</f>
        <v>0.03</v>
      </c>
      <c r="U41" s="280">
        <f>IF(AND(U6&gt;=Assumptions!$N$44,T6&lt;Assumptions!$N$44),1/Assumptions!$N$44*(1-$C$41)-Depreciation!$D$41,IF(AND(T6&gt;Assumptions!$N$44,U6&lt;Assumptions!$N$44),0,1/Assumptions!$N$44*(1-$C$41)))</f>
        <v>0.03</v>
      </c>
      <c r="V41" s="280">
        <f>IF(AND(V6&gt;=Assumptions!$N$44,U6&lt;Assumptions!$N$44),1/Assumptions!$N$44*(1-$C$41)-Depreciation!$D$41,IF(AND(U6&gt;Assumptions!$N$44,V6&lt;Assumptions!$N$44),0,1/Assumptions!$N$44*(1-$C$41)))</f>
        <v>0.03</v>
      </c>
      <c r="W41" s="280">
        <f>IF(AND(W6&gt;=Assumptions!$N$44,V6&lt;Assumptions!$N$44),1/Assumptions!$N$44*(1-$C$41)-Depreciation!$D$41,IF(AND(V6&gt;Assumptions!$N$44,W6&lt;Assumptions!$N$44),0,1/Assumptions!$N$44*(1-$C$41)))</f>
        <v>0.03</v>
      </c>
      <c r="X41" s="280">
        <f>IF(AND(X6&gt;=Assumptions!$N$44,W6&lt;Assumptions!$N$44),1/Assumptions!$N$44*(1-$C$41)-Depreciation!$D$41,IF(AND(W6&gt;Assumptions!$N$44,X6&lt;Assumptions!$N$44),0,1/Assumptions!$N$44*(1-$C$41)))</f>
        <v>0.03</v>
      </c>
      <c r="Y41" s="280">
        <f>IF(AND(Y6&gt;=Assumptions!$N$44,X6&lt;Assumptions!$N$44),1/Assumptions!$N$44*(1-$C$41)-Depreciation!$D$41,IF(AND(X6&gt;Assumptions!$N$44,Y6&lt;Assumptions!$N$44),0,1/Assumptions!$N$44*(1-$C$41)))</f>
        <v>0.03</v>
      </c>
      <c r="Z41" s="280">
        <f>IF(AND(Z6&gt;=Assumptions!$N$44,Y6&lt;Assumptions!$N$44),1/Assumptions!$N$44*(1-$C$41)-Depreciation!$D$41,IF(AND(Y6&gt;Assumptions!$N$44,Z6&lt;Assumptions!$N$44),0,1/Assumptions!$N$44*(1-$C$41)))</f>
        <v>0.03</v>
      </c>
      <c r="AA41" s="280">
        <f>IF(AND(AA6&gt;=Assumptions!$N$44,Z6&lt;Assumptions!$N$44),1/Assumptions!$N$44*(1-$C$41)-Depreciation!$D$41,IF(AND(Z6&gt;Assumptions!$N$44,AA6&lt;Assumptions!$N$44),0,1/Assumptions!$N$44*(1-$C$41)))</f>
        <v>0.03</v>
      </c>
      <c r="AB41" s="280">
        <f>IF(AND(AB6&gt;=Assumptions!$N$44,AA6&lt;Assumptions!$N$44),1/Assumptions!$N$44*(1-$C$41)-Depreciation!$D$41,IF(AND(AA6&gt;Assumptions!$N$44,AB6&lt;Assumptions!$N$44),0,1/Assumptions!$N$44*(1-$C$41)))</f>
        <v>0.03</v>
      </c>
      <c r="AC41" s="280">
        <f>IF(AND(AC6&gt;=Assumptions!$N$44,AB6&lt;Assumptions!$N$44),1/Assumptions!$N$44*(1-$C$41)-Depreciation!$D$41,IF(AND(AB6&gt;Assumptions!$N$44,AC6&lt;Assumptions!$N$44),0,1/Assumptions!$N$44*(1-$C$41)))</f>
        <v>0.03</v>
      </c>
      <c r="AD41" s="280">
        <f>IF(AND(AD6&gt;=Assumptions!$N$44,AC6&lt;Assumptions!$N$44),1/Assumptions!$N$44*(1-$C$41)-Depreciation!$D$41,IF(AND(AC6&gt;Assumptions!$N$44,AD6&lt;Assumptions!$N$44),0,1/Assumptions!$N$44*(1-$C$41)))</f>
        <v>0.03</v>
      </c>
      <c r="AE41" s="280">
        <f>IF(AND(AE6&gt;=Assumptions!$N$44,AD6&lt;Assumptions!$N$44),1/Assumptions!$N$44*(1-$C$41)-Depreciation!$D$41,IF(AND(AD6&gt;Assumptions!$N$44,AE6&lt;Assumptions!$N$44),0,1/Assumptions!$N$44*(1-$C$41)))</f>
        <v>0.03</v>
      </c>
      <c r="AF41" s="280">
        <f>IF(AND(AF6&gt;=Assumptions!$N$44,AE6&lt;Assumptions!$N$44),1/Assumptions!$N$44*(1-$C$41)-Depreciation!$D$41,IF(AND(AE6&gt;Assumptions!$N$44,AF6&lt;Assumptions!$N$44),0,1/Assumptions!$N$44*(1-$C$41)))</f>
        <v>0.03</v>
      </c>
      <c r="AG41" s="280">
        <f>IF(AND(AG6&gt;=Assumptions!$N$44,AF6&lt;Assumptions!$N$44),1/Assumptions!$N$44*(1-$C$41)-Depreciation!$D$41,IF(AND(AF6&gt;Assumptions!$N$44,AG6&lt;Assumptions!$N$44),0,1/Assumptions!$N$44*(1-$C$41)))</f>
        <v>0.03</v>
      </c>
      <c r="AH41" s="280">
        <f>IF(AND(AH6&gt;=Assumptions!$N$44,AG6&lt;Assumptions!$N$44),1/Assumptions!$N$44*(1-$C$41)-Depreciation!$D$41,IF(AND(AG6&gt;Assumptions!$N$44,AH6&lt;Assumptions!$N$44),0,1/Assumptions!$N$44*(1-$C$41)))</f>
        <v>1.0000000000000002E-2</v>
      </c>
    </row>
    <row r="42" spans="1:38" s="10" customFormat="1">
      <c r="A42" s="21" t="s">
        <v>252</v>
      </c>
      <c r="B42" s="31">
        <f>Assumptions!$N$40</f>
        <v>5</v>
      </c>
      <c r="C42" s="32"/>
      <c r="D42" s="280">
        <f>D13</f>
        <v>0.13333333333333333</v>
      </c>
      <c r="E42" s="280">
        <f t="shared" ref="E42:AH42" si="23">E13</f>
        <v>0.2</v>
      </c>
      <c r="F42" s="280">
        <f t="shared" si="23"/>
        <v>0.2</v>
      </c>
      <c r="G42" s="280">
        <f t="shared" si="23"/>
        <v>0.2</v>
      </c>
      <c r="H42" s="280">
        <f t="shared" si="23"/>
        <v>0.2</v>
      </c>
      <c r="I42" s="280">
        <f t="shared" si="23"/>
        <v>6.666666666666668E-2</v>
      </c>
      <c r="J42" s="280">
        <f t="shared" si="23"/>
        <v>0</v>
      </c>
      <c r="K42" s="280">
        <f t="shared" si="23"/>
        <v>0</v>
      </c>
      <c r="L42" s="280">
        <f t="shared" si="23"/>
        <v>0</v>
      </c>
      <c r="M42" s="280">
        <f t="shared" si="23"/>
        <v>0</v>
      </c>
      <c r="N42" s="280">
        <f t="shared" si="23"/>
        <v>0</v>
      </c>
      <c r="O42" s="280">
        <f t="shared" si="23"/>
        <v>0</v>
      </c>
      <c r="P42" s="280">
        <f t="shared" si="23"/>
        <v>0</v>
      </c>
      <c r="Q42" s="280">
        <f t="shared" si="23"/>
        <v>0</v>
      </c>
      <c r="R42" s="280">
        <f t="shared" si="23"/>
        <v>0</v>
      </c>
      <c r="S42" s="280">
        <f t="shared" si="23"/>
        <v>0</v>
      </c>
      <c r="T42" s="280">
        <f t="shared" si="23"/>
        <v>0</v>
      </c>
      <c r="U42" s="280">
        <f t="shared" si="23"/>
        <v>0</v>
      </c>
      <c r="V42" s="280">
        <f t="shared" si="23"/>
        <v>0</v>
      </c>
      <c r="W42" s="280">
        <f t="shared" si="23"/>
        <v>0</v>
      </c>
      <c r="X42" s="280">
        <f t="shared" si="23"/>
        <v>0</v>
      </c>
      <c r="Y42" s="280">
        <f t="shared" si="23"/>
        <v>0</v>
      </c>
      <c r="Z42" s="280">
        <f t="shared" si="23"/>
        <v>0</v>
      </c>
      <c r="AA42" s="280">
        <f t="shared" si="23"/>
        <v>0</v>
      </c>
      <c r="AB42" s="280">
        <f t="shared" si="23"/>
        <v>0</v>
      </c>
      <c r="AC42" s="280">
        <f t="shared" si="23"/>
        <v>0</v>
      </c>
      <c r="AD42" s="280">
        <f t="shared" si="23"/>
        <v>0</v>
      </c>
      <c r="AE42" s="280">
        <f t="shared" si="23"/>
        <v>0</v>
      </c>
      <c r="AF42" s="280">
        <f t="shared" si="23"/>
        <v>0</v>
      </c>
      <c r="AG42" s="280">
        <f t="shared" si="23"/>
        <v>0</v>
      </c>
      <c r="AH42" s="280">
        <f t="shared" si="23"/>
        <v>0</v>
      </c>
    </row>
    <row r="43" spans="1:38" s="10" customFormat="1">
      <c r="A43" s="22" t="s">
        <v>320</v>
      </c>
      <c r="B43" s="34">
        <f>Assumptions!$N$46</f>
        <v>20</v>
      </c>
      <c r="C43" s="24"/>
      <c r="D43" s="280">
        <f>1/Assumptions!$N$46*D6</f>
        <v>3.3333333333333333E-2</v>
      </c>
      <c r="E43" s="280">
        <f>IF(AND(E6&gt;=Assumptions!$N$46, D6&lt;Assumptions!$N$46),1/Assumptions!$N$46-Depreciation!$D$43,IF(E6&lt;Assumptions!$N$46,1/Assumptions!$N$46,0))</f>
        <v>0.05</v>
      </c>
      <c r="F43" s="280">
        <f>IF(AND(F6&gt;=Assumptions!$N$46, E6&lt;Assumptions!$N$46),1/Assumptions!$N$46-Depreciation!$D$43,IF(F6&lt;Assumptions!$N$46,1/Assumptions!$N$46,0))</f>
        <v>0.05</v>
      </c>
      <c r="G43" s="280">
        <f>IF(AND(G6&gt;=Assumptions!$N$46, F6&lt;Assumptions!$N$46),1/Assumptions!$N$46-Depreciation!$D$43,IF(G6&lt;Assumptions!$N$46,1/Assumptions!$N$46,0))</f>
        <v>0.05</v>
      </c>
      <c r="H43" s="280">
        <f>IF(AND(H6&gt;=Assumptions!$N$46, G6&lt;Assumptions!$N$46),1/Assumptions!$N$46-Depreciation!$D$43,IF(H6&lt;Assumptions!$N$46,1/Assumptions!$N$46,0))</f>
        <v>0.05</v>
      </c>
      <c r="I43" s="280">
        <f>IF(AND(I6&gt;=Assumptions!$N$46, H6&lt;Assumptions!$N$46),1/Assumptions!$N$46-Depreciation!$D$43,IF(I6&lt;Assumptions!$N$46,1/Assumptions!$N$46,0))</f>
        <v>0.05</v>
      </c>
      <c r="J43" s="280">
        <f>IF(AND(J6&gt;=Assumptions!$N$46, I6&lt;Assumptions!$N$46),1/Assumptions!$N$46-Depreciation!$D$43,IF(J6&lt;Assumptions!$N$46,1/Assumptions!$N$46,0))</f>
        <v>0.05</v>
      </c>
      <c r="K43" s="280">
        <f>IF(AND(K6&gt;=Assumptions!$N$46, J6&lt;Assumptions!$N$46),1/Assumptions!$N$46-Depreciation!$D$43,IF(K6&lt;Assumptions!$N$46,1/Assumptions!$N$46,0))</f>
        <v>0.05</v>
      </c>
      <c r="L43" s="280">
        <f>IF(AND(L6&gt;=Assumptions!$N$46, K6&lt;Assumptions!$N$46),1/Assumptions!$N$46-Depreciation!$D$43,IF(L6&lt;Assumptions!$N$46,1/Assumptions!$N$46,0))</f>
        <v>0.05</v>
      </c>
      <c r="M43" s="280">
        <f>IF(AND(M6&gt;=Assumptions!$N$46, L6&lt;Assumptions!$N$46),1/Assumptions!$N$46-Depreciation!$D$43,IF(M6&lt;Assumptions!$N$46,1/Assumptions!$N$46,0))</f>
        <v>0.05</v>
      </c>
      <c r="N43" s="280">
        <f>IF(AND(N6&gt;=Assumptions!$N$46, M6&lt;Assumptions!$N$46),1/Assumptions!$N$46-Depreciation!$D$43,IF(N6&lt;Assumptions!$N$46,1/Assumptions!$N$46,0))</f>
        <v>0.05</v>
      </c>
      <c r="O43" s="280">
        <f>IF(AND(O6&gt;=Assumptions!$N$46, N6&lt;Assumptions!$N$46),1/Assumptions!$N$46-Depreciation!$D$43,IF(O6&lt;Assumptions!$N$46,1/Assumptions!$N$46,0))</f>
        <v>0.05</v>
      </c>
      <c r="P43" s="280">
        <f>IF(AND(P6&gt;=Assumptions!$N$46, O6&lt;Assumptions!$N$46),1/Assumptions!$N$46-Depreciation!$D$43,IF(P6&lt;Assumptions!$N$46,1/Assumptions!$N$46,0))</f>
        <v>0.05</v>
      </c>
      <c r="Q43" s="280">
        <f>IF(AND(Q6&gt;=Assumptions!$N$46, P6&lt;Assumptions!$N$46),1/Assumptions!$N$46-Depreciation!$D$43,IF(Q6&lt;Assumptions!$N$46,1/Assumptions!$N$46,0))</f>
        <v>0.05</v>
      </c>
      <c r="R43" s="280">
        <f>IF(AND(R6&gt;=Assumptions!$N$46, Q6&lt;Assumptions!$N$46),1/Assumptions!$N$46-Depreciation!$D$43,IF(R6&lt;Assumptions!$N$46,1/Assumptions!$N$46,0))</f>
        <v>0.05</v>
      </c>
      <c r="S43" s="280">
        <f>IF(AND(S6&gt;=Assumptions!$N$46, R6&lt;Assumptions!$N$46),1/Assumptions!$N$46-Depreciation!$D$43,IF(S6&lt;Assumptions!$N$46,1/Assumptions!$N$46,0))</f>
        <v>0.05</v>
      </c>
      <c r="T43" s="280">
        <f>IF(AND(T6&gt;=Assumptions!$N$46, S6&lt;Assumptions!$N$46),1/Assumptions!$N$46-Depreciation!$D$43,IF(T6&lt;Assumptions!$N$46,1/Assumptions!$N$46,0))</f>
        <v>0.05</v>
      </c>
      <c r="U43" s="280">
        <f>IF(AND(U6&gt;=Assumptions!$N$46, T6&lt;Assumptions!$N$46),1/Assumptions!$N$46-Depreciation!$D$43,IF(U6&lt;Assumptions!$N$46,1/Assumptions!$N$46,0))</f>
        <v>0.05</v>
      </c>
      <c r="V43" s="280">
        <f>IF(AND(V6&gt;=Assumptions!$N$46, U6&lt;Assumptions!$N$46),1/Assumptions!$N$46-Depreciation!$D$43,IF(V6&lt;Assumptions!$N$46,1/Assumptions!$N$46,0))</f>
        <v>0.05</v>
      </c>
      <c r="W43" s="280">
        <f>IF(AND(W6&gt;=Assumptions!$N$46, V6&lt;Assumptions!$N$46),1/Assumptions!$N$46-Depreciation!$D$43,IF(W6&lt;Assumptions!$N$46,1/Assumptions!$N$46,0))</f>
        <v>0.05</v>
      </c>
      <c r="X43" s="280">
        <f>IF(AND(X6&gt;=Assumptions!$N$46, W6&lt;Assumptions!$N$46),1/Assumptions!$N$46-Depreciation!$D$43,IF(X6&lt;Assumptions!$N$46,1/Assumptions!$N$46,0))</f>
        <v>1.666666666666667E-2</v>
      </c>
      <c r="Y43" s="280">
        <f>IF(AND(Y6&gt;=Assumptions!$N$46, X6&lt;Assumptions!$N$46),1/Assumptions!$N$46-Depreciation!$D$43,IF(Y6&lt;Assumptions!$N$46,1/Assumptions!$N$46,0))</f>
        <v>0</v>
      </c>
      <c r="Z43" s="280">
        <f>IF(AND(Z6&gt;=Assumptions!$N$46, Y6&lt;Assumptions!$N$46),1/Assumptions!$N$46-Depreciation!$D$43,IF(Z6&lt;Assumptions!$N$46,1/Assumptions!$N$46,0))</f>
        <v>0</v>
      </c>
      <c r="AA43" s="280">
        <f>IF(AND(AA6&gt;=Assumptions!$N$46, Z6&lt;Assumptions!$N$46),1/Assumptions!$N$46-Depreciation!$D$43,IF(AA6&lt;Assumptions!$N$46,1/Assumptions!$N$46,0))</f>
        <v>0</v>
      </c>
      <c r="AB43" s="280">
        <f>IF(AND(AB6&gt;=Assumptions!$N$46, AA6&lt;Assumptions!$N$46),1/Assumptions!$N$46-Depreciation!$D$43,IF(AB6&lt;Assumptions!$N$46,1/Assumptions!$N$46,0))</f>
        <v>0</v>
      </c>
      <c r="AC43" s="280">
        <f>IF(AND(AC6&gt;=Assumptions!$N$46, AB6&lt;Assumptions!$N$46),1/Assumptions!$N$46-Depreciation!$D$43,IF(AC6&lt;Assumptions!$N$46,1/Assumptions!$N$46,0))</f>
        <v>0</v>
      </c>
      <c r="AD43" s="280">
        <f>IF(AND(AD6&gt;=Assumptions!$N$46, AC6&lt;Assumptions!$N$46),1/Assumptions!$N$46-Depreciation!$D$43,IF(AD6&lt;Assumptions!$N$46,1/Assumptions!$N$46,0))</f>
        <v>0</v>
      </c>
      <c r="AE43" s="280">
        <f>IF(AND(AE6&gt;=Assumptions!$N$46, AD6&lt;Assumptions!$N$46),1/Assumptions!$N$46-Depreciation!$D$43,IF(AE6&lt;Assumptions!$N$46,1/Assumptions!$N$46,0))</f>
        <v>0</v>
      </c>
      <c r="AF43" s="280">
        <f>IF(AND(AF6&gt;=Assumptions!$N$46, AE6&lt;Assumptions!$N$46),1/Assumptions!$N$46-Depreciation!$D$43,IF(AF6&lt;Assumptions!$N$46,1/Assumptions!$N$46,0))</f>
        <v>0</v>
      </c>
      <c r="AG43" s="280">
        <f>IF(AND(AG6&gt;=Assumptions!$N$46, AF6&lt;Assumptions!$N$46),1/Assumptions!$N$46-Depreciation!$D$43,IF(AG6&lt;Assumptions!$N$46,1/Assumptions!$N$46,0))</f>
        <v>0</v>
      </c>
      <c r="AH43" s="280">
        <f>IF(AND(AH6&gt;=Assumptions!$N$46, AG6&lt;Assumptions!$N$46),1/Assumptions!$N$46-Depreciation!$D$43,IF(AH6&lt;Assumptions!$N$46,1/Assumptions!$N$46,0))</f>
        <v>0</v>
      </c>
    </row>
    <row r="44" spans="1:38" s="10" customFormat="1">
      <c r="A44" s="12"/>
      <c r="B44" s="29"/>
      <c r="C44" s="24"/>
    </row>
    <row r="45" spans="1:38" s="10" customFormat="1">
      <c r="A45" s="21" t="s">
        <v>251</v>
      </c>
      <c r="B45" s="377">
        <f>B16</f>
        <v>100002.00392639755</v>
      </c>
      <c r="C45" s="306"/>
      <c r="D45" s="18">
        <f t="shared" ref="D45:Y45" si="24">D41*$B$45</f>
        <v>2000.0400785279508</v>
      </c>
      <c r="E45" s="18">
        <f t="shared" si="24"/>
        <v>3000.0601177919261</v>
      </c>
      <c r="F45" s="18">
        <f t="shared" si="24"/>
        <v>3000.0601177919261</v>
      </c>
      <c r="G45" s="18">
        <f t="shared" si="24"/>
        <v>3000.0601177919261</v>
      </c>
      <c r="H45" s="18">
        <f t="shared" si="24"/>
        <v>3000.0601177919261</v>
      </c>
      <c r="I45" s="18">
        <f t="shared" si="24"/>
        <v>3000.0601177919261</v>
      </c>
      <c r="J45" s="18">
        <f t="shared" si="24"/>
        <v>3000.0601177919261</v>
      </c>
      <c r="K45" s="18">
        <f t="shared" si="24"/>
        <v>3000.0601177919261</v>
      </c>
      <c r="L45" s="18">
        <f t="shared" si="24"/>
        <v>3000.0601177919261</v>
      </c>
      <c r="M45" s="18">
        <f t="shared" si="24"/>
        <v>3000.0601177919261</v>
      </c>
      <c r="N45" s="18">
        <f t="shared" si="24"/>
        <v>3000.0601177919261</v>
      </c>
      <c r="O45" s="18">
        <f t="shared" si="24"/>
        <v>3000.0601177919261</v>
      </c>
      <c r="P45" s="18">
        <f t="shared" si="24"/>
        <v>3000.0601177919261</v>
      </c>
      <c r="Q45" s="18">
        <f t="shared" si="24"/>
        <v>3000.0601177919261</v>
      </c>
      <c r="R45" s="18">
        <f t="shared" si="24"/>
        <v>3000.0601177919261</v>
      </c>
      <c r="S45" s="18">
        <f t="shared" si="24"/>
        <v>3000.0601177919261</v>
      </c>
      <c r="T45" s="18">
        <f t="shared" si="24"/>
        <v>3000.0601177919261</v>
      </c>
      <c r="U45" s="18">
        <f t="shared" si="24"/>
        <v>3000.0601177919261</v>
      </c>
      <c r="V45" s="18">
        <f t="shared" si="24"/>
        <v>3000.0601177919261</v>
      </c>
      <c r="W45" s="18">
        <f t="shared" si="24"/>
        <v>3000.0601177919261</v>
      </c>
      <c r="X45" s="18">
        <f t="shared" si="24"/>
        <v>3000.0601177919261</v>
      </c>
      <c r="Y45" s="18">
        <f t="shared" si="24"/>
        <v>3000.0601177919261</v>
      </c>
      <c r="Z45" s="18">
        <f t="shared" ref="Z45:AH45" si="25">Z41*$B$45</f>
        <v>3000.0601177919261</v>
      </c>
      <c r="AA45" s="18">
        <f t="shared" si="25"/>
        <v>3000.0601177919261</v>
      </c>
      <c r="AB45" s="18">
        <f t="shared" si="25"/>
        <v>3000.0601177919261</v>
      </c>
      <c r="AC45" s="18">
        <f t="shared" si="25"/>
        <v>3000.0601177919261</v>
      </c>
      <c r="AD45" s="18">
        <f t="shared" si="25"/>
        <v>3000.0601177919261</v>
      </c>
      <c r="AE45" s="18">
        <f t="shared" si="25"/>
        <v>3000.0601177919261</v>
      </c>
      <c r="AF45" s="18">
        <f t="shared" si="25"/>
        <v>3000.0601177919261</v>
      </c>
      <c r="AG45" s="18">
        <f t="shared" si="25"/>
        <v>3000.0601177919261</v>
      </c>
      <c r="AH45" s="18">
        <f t="shared" si="25"/>
        <v>1000.0200392639757</v>
      </c>
      <c r="AI45" s="20"/>
      <c r="AJ45" s="20"/>
      <c r="AK45" s="20"/>
      <c r="AL45" s="20"/>
    </row>
    <row r="46" spans="1:38" s="10" customFormat="1">
      <c r="A46" s="21" t="s">
        <v>252</v>
      </c>
      <c r="B46" s="305">
        <f>B17</f>
        <v>3723.92</v>
      </c>
      <c r="C46" s="306"/>
      <c r="D46" s="303">
        <f>D42*$B$46</f>
        <v>496.52266666666668</v>
      </c>
      <c r="E46" s="303">
        <f t="shared" ref="E46:AH46" si="26">E42*$B$46</f>
        <v>744.78400000000011</v>
      </c>
      <c r="F46" s="303">
        <f t="shared" si="26"/>
        <v>744.78400000000011</v>
      </c>
      <c r="G46" s="303">
        <f t="shared" si="26"/>
        <v>744.78400000000011</v>
      </c>
      <c r="H46" s="303">
        <f t="shared" si="26"/>
        <v>744.78400000000011</v>
      </c>
      <c r="I46" s="303">
        <f t="shared" si="26"/>
        <v>248.2613333333334</v>
      </c>
      <c r="J46" s="303">
        <f t="shared" si="26"/>
        <v>0</v>
      </c>
      <c r="K46" s="303">
        <f t="shared" si="26"/>
        <v>0</v>
      </c>
      <c r="L46" s="303">
        <f t="shared" si="26"/>
        <v>0</v>
      </c>
      <c r="M46" s="303">
        <f t="shared" si="26"/>
        <v>0</v>
      </c>
      <c r="N46" s="303">
        <f t="shared" si="26"/>
        <v>0</v>
      </c>
      <c r="O46" s="303">
        <f t="shared" si="26"/>
        <v>0</v>
      </c>
      <c r="P46" s="303">
        <f t="shared" si="26"/>
        <v>0</v>
      </c>
      <c r="Q46" s="303">
        <f t="shared" si="26"/>
        <v>0</v>
      </c>
      <c r="R46" s="303">
        <f t="shared" si="26"/>
        <v>0</v>
      </c>
      <c r="S46" s="303">
        <f t="shared" si="26"/>
        <v>0</v>
      </c>
      <c r="T46" s="303">
        <f t="shared" si="26"/>
        <v>0</v>
      </c>
      <c r="U46" s="303">
        <f t="shared" si="26"/>
        <v>0</v>
      </c>
      <c r="V46" s="303">
        <f t="shared" si="26"/>
        <v>0</v>
      </c>
      <c r="W46" s="303">
        <f t="shared" si="26"/>
        <v>0</v>
      </c>
      <c r="X46" s="303">
        <f t="shared" si="26"/>
        <v>0</v>
      </c>
      <c r="Y46" s="303">
        <f t="shared" si="26"/>
        <v>0</v>
      </c>
      <c r="Z46" s="303">
        <f t="shared" si="26"/>
        <v>0</v>
      </c>
      <c r="AA46" s="303">
        <f t="shared" si="26"/>
        <v>0</v>
      </c>
      <c r="AB46" s="303">
        <f t="shared" si="26"/>
        <v>0</v>
      </c>
      <c r="AC46" s="303">
        <f t="shared" si="26"/>
        <v>0</v>
      </c>
      <c r="AD46" s="303">
        <f t="shared" si="26"/>
        <v>0</v>
      </c>
      <c r="AE46" s="303">
        <f t="shared" si="26"/>
        <v>0</v>
      </c>
      <c r="AF46" s="303">
        <f t="shared" si="26"/>
        <v>0</v>
      </c>
      <c r="AG46" s="303">
        <f t="shared" si="26"/>
        <v>0</v>
      </c>
      <c r="AH46" s="303">
        <f t="shared" si="26"/>
        <v>0</v>
      </c>
      <c r="AI46" s="20"/>
      <c r="AJ46" s="20"/>
      <c r="AK46" s="20"/>
      <c r="AL46" s="20"/>
    </row>
    <row r="47" spans="1:38" s="10" customFormat="1" ht="15">
      <c r="A47" s="22" t="s">
        <v>320</v>
      </c>
      <c r="B47" s="378">
        <f>B18</f>
        <v>1000</v>
      </c>
      <c r="C47" s="306"/>
      <c r="D47" s="379">
        <f t="shared" ref="D47:Y47" si="27">D43*$B$47</f>
        <v>33.333333333333336</v>
      </c>
      <c r="E47" s="379">
        <f t="shared" si="27"/>
        <v>50</v>
      </c>
      <c r="F47" s="379">
        <f t="shared" si="27"/>
        <v>50</v>
      </c>
      <c r="G47" s="379">
        <f t="shared" si="27"/>
        <v>50</v>
      </c>
      <c r="H47" s="379">
        <f t="shared" si="27"/>
        <v>50</v>
      </c>
      <c r="I47" s="379">
        <f t="shared" si="27"/>
        <v>50</v>
      </c>
      <c r="J47" s="379">
        <f t="shared" si="27"/>
        <v>50</v>
      </c>
      <c r="K47" s="379">
        <f t="shared" si="27"/>
        <v>50</v>
      </c>
      <c r="L47" s="379">
        <f t="shared" si="27"/>
        <v>50</v>
      </c>
      <c r="M47" s="379">
        <f t="shared" si="27"/>
        <v>50</v>
      </c>
      <c r="N47" s="379">
        <f t="shared" si="27"/>
        <v>50</v>
      </c>
      <c r="O47" s="379">
        <f t="shared" si="27"/>
        <v>50</v>
      </c>
      <c r="P47" s="379">
        <f t="shared" si="27"/>
        <v>50</v>
      </c>
      <c r="Q47" s="379">
        <f t="shared" si="27"/>
        <v>50</v>
      </c>
      <c r="R47" s="379">
        <f t="shared" si="27"/>
        <v>50</v>
      </c>
      <c r="S47" s="379">
        <f t="shared" si="27"/>
        <v>50</v>
      </c>
      <c r="T47" s="379">
        <f t="shared" si="27"/>
        <v>50</v>
      </c>
      <c r="U47" s="379">
        <f t="shared" si="27"/>
        <v>50</v>
      </c>
      <c r="V47" s="379">
        <f t="shared" si="27"/>
        <v>50</v>
      </c>
      <c r="W47" s="379">
        <f t="shared" si="27"/>
        <v>50</v>
      </c>
      <c r="X47" s="379">
        <f t="shared" si="27"/>
        <v>16.666666666666671</v>
      </c>
      <c r="Y47" s="379">
        <f t="shared" si="27"/>
        <v>0</v>
      </c>
      <c r="Z47" s="379">
        <f t="shared" ref="Z47:AH47" si="28">Z43*$B$47</f>
        <v>0</v>
      </c>
      <c r="AA47" s="379">
        <f t="shared" si="28"/>
        <v>0</v>
      </c>
      <c r="AB47" s="379">
        <f t="shared" si="28"/>
        <v>0</v>
      </c>
      <c r="AC47" s="379">
        <f t="shared" si="28"/>
        <v>0</v>
      </c>
      <c r="AD47" s="379">
        <f t="shared" si="28"/>
        <v>0</v>
      </c>
      <c r="AE47" s="379">
        <f t="shared" si="28"/>
        <v>0</v>
      </c>
      <c r="AF47" s="379">
        <f t="shared" si="28"/>
        <v>0</v>
      </c>
      <c r="AG47" s="379">
        <f t="shared" si="28"/>
        <v>0</v>
      </c>
      <c r="AH47" s="379">
        <f t="shared" si="28"/>
        <v>0</v>
      </c>
      <c r="AI47" s="20"/>
      <c r="AJ47" s="20"/>
      <c r="AK47" s="20"/>
      <c r="AL47" s="20"/>
    </row>
    <row r="48" spans="1:38" s="10" customFormat="1">
      <c r="A48" s="16" t="s">
        <v>63</v>
      </c>
      <c r="B48" s="18">
        <f>SUM(B45:B47)</f>
        <v>104725.92392639755</v>
      </c>
      <c r="C48" s="306"/>
      <c r="D48" s="18">
        <f t="shared" ref="D48:Y48" si="29">SUM(D45:D47)</f>
        <v>2529.896078527951</v>
      </c>
      <c r="E48" s="18">
        <f t="shared" si="29"/>
        <v>3794.8441177919262</v>
      </c>
      <c r="F48" s="18">
        <f t="shared" si="29"/>
        <v>3794.8441177919262</v>
      </c>
      <c r="G48" s="18">
        <f t="shared" si="29"/>
        <v>3794.8441177919262</v>
      </c>
      <c r="H48" s="18">
        <f t="shared" si="29"/>
        <v>3794.8441177919262</v>
      </c>
      <c r="I48" s="18">
        <f t="shared" si="29"/>
        <v>3298.3214511252595</v>
      </c>
      <c r="J48" s="18">
        <f t="shared" si="29"/>
        <v>3050.0601177919261</v>
      </c>
      <c r="K48" s="18">
        <f t="shared" si="29"/>
        <v>3050.0601177919261</v>
      </c>
      <c r="L48" s="18">
        <f t="shared" si="29"/>
        <v>3050.0601177919261</v>
      </c>
      <c r="M48" s="18">
        <f t="shared" si="29"/>
        <v>3050.0601177919261</v>
      </c>
      <c r="N48" s="18">
        <f t="shared" si="29"/>
        <v>3050.0601177919261</v>
      </c>
      <c r="O48" s="18">
        <f t="shared" si="29"/>
        <v>3050.0601177919261</v>
      </c>
      <c r="P48" s="18">
        <f t="shared" si="29"/>
        <v>3050.0601177919261</v>
      </c>
      <c r="Q48" s="18">
        <f t="shared" si="29"/>
        <v>3050.0601177919261</v>
      </c>
      <c r="R48" s="18">
        <f t="shared" si="29"/>
        <v>3050.0601177919261</v>
      </c>
      <c r="S48" s="18">
        <f t="shared" si="29"/>
        <v>3050.0601177919261</v>
      </c>
      <c r="T48" s="18">
        <f t="shared" si="29"/>
        <v>3050.0601177919261</v>
      </c>
      <c r="U48" s="18">
        <f t="shared" si="29"/>
        <v>3050.0601177919261</v>
      </c>
      <c r="V48" s="18">
        <f t="shared" si="29"/>
        <v>3050.0601177919261</v>
      </c>
      <c r="W48" s="18">
        <f t="shared" si="29"/>
        <v>3050.0601177919261</v>
      </c>
      <c r="X48" s="18">
        <f t="shared" si="29"/>
        <v>3016.7267844585926</v>
      </c>
      <c r="Y48" s="18">
        <f t="shared" si="29"/>
        <v>3000.0601177919261</v>
      </c>
      <c r="Z48" s="18">
        <f t="shared" ref="Z48:AH48" si="30">SUM(Z45:Z47)</f>
        <v>3000.0601177919261</v>
      </c>
      <c r="AA48" s="18">
        <f t="shared" si="30"/>
        <v>3000.0601177919261</v>
      </c>
      <c r="AB48" s="18">
        <f t="shared" si="30"/>
        <v>3000.0601177919261</v>
      </c>
      <c r="AC48" s="18">
        <f t="shared" si="30"/>
        <v>3000.0601177919261</v>
      </c>
      <c r="AD48" s="18">
        <f t="shared" si="30"/>
        <v>3000.0601177919261</v>
      </c>
      <c r="AE48" s="18">
        <f t="shared" si="30"/>
        <v>3000.0601177919261</v>
      </c>
      <c r="AF48" s="18">
        <f t="shared" si="30"/>
        <v>3000.0601177919261</v>
      </c>
      <c r="AG48" s="18">
        <f t="shared" si="30"/>
        <v>3000.0601177919261</v>
      </c>
      <c r="AH48" s="18">
        <f t="shared" si="30"/>
        <v>1000.0200392639757</v>
      </c>
      <c r="AI48" s="20"/>
      <c r="AJ48" s="20"/>
      <c r="AK48" s="20"/>
      <c r="AL48" s="20"/>
    </row>
    <row r="49" spans="1:38">
      <c r="A49" s="22"/>
      <c r="B49" s="18"/>
      <c r="C49" s="381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</row>
    <row r="50" spans="1:38" s="25" customFormat="1">
      <c r="A50" s="308" t="s">
        <v>68</v>
      </c>
      <c r="B50" s="383">
        <f>B48</f>
        <v>104725.92392639755</v>
      </c>
      <c r="C50" s="382"/>
      <c r="D50" s="307">
        <f>B48-D48</f>
        <v>102196.0278478696</v>
      </c>
      <c r="E50" s="307">
        <f>D50-E48</f>
        <v>98401.183730077668</v>
      </c>
      <c r="F50" s="307">
        <f t="shared" ref="F50:Y50" si="31">E50-F48</f>
        <v>94606.339612285738</v>
      </c>
      <c r="G50" s="307">
        <f t="shared" si="31"/>
        <v>90811.495494493807</v>
      </c>
      <c r="H50" s="307">
        <f t="shared" si="31"/>
        <v>87016.651376701877</v>
      </c>
      <c r="I50" s="307">
        <f t="shared" si="31"/>
        <v>83718.329925576618</v>
      </c>
      <c r="J50" s="307">
        <f t="shared" si="31"/>
        <v>80668.269807784687</v>
      </c>
      <c r="K50" s="307">
        <f t="shared" si="31"/>
        <v>77618.209689992756</v>
      </c>
      <c r="L50" s="307">
        <f t="shared" si="31"/>
        <v>74568.149572200826</v>
      </c>
      <c r="M50" s="307">
        <f t="shared" si="31"/>
        <v>71518.089454408895</v>
      </c>
      <c r="N50" s="307">
        <f t="shared" si="31"/>
        <v>68468.029336616964</v>
      </c>
      <c r="O50" s="307">
        <f t="shared" si="31"/>
        <v>65417.969218825041</v>
      </c>
      <c r="P50" s="307">
        <f t="shared" si="31"/>
        <v>62367.909101033118</v>
      </c>
      <c r="Q50" s="307">
        <f t="shared" si="31"/>
        <v>59317.848983241194</v>
      </c>
      <c r="R50" s="307">
        <f t="shared" si="31"/>
        <v>56267.788865449271</v>
      </c>
      <c r="S50" s="307">
        <f t="shared" si="31"/>
        <v>53217.728747657347</v>
      </c>
      <c r="T50" s="307">
        <f t="shared" si="31"/>
        <v>50167.668629865424</v>
      </c>
      <c r="U50" s="307">
        <f t="shared" si="31"/>
        <v>47117.608512073501</v>
      </c>
      <c r="V50" s="307">
        <f t="shared" si="31"/>
        <v>44067.548394281577</v>
      </c>
      <c r="W50" s="307">
        <f t="shared" si="31"/>
        <v>41017.488276489654</v>
      </c>
      <c r="X50" s="307">
        <f t="shared" si="31"/>
        <v>38000.761492031059</v>
      </c>
      <c r="Y50" s="307">
        <f t="shared" si="31"/>
        <v>35000.701374239135</v>
      </c>
      <c r="Z50" s="307">
        <f t="shared" ref="Z50:AH50" si="32">Y50-Z48</f>
        <v>32000.641256447208</v>
      </c>
      <c r="AA50" s="307">
        <f t="shared" si="32"/>
        <v>29000.581138655281</v>
      </c>
      <c r="AB50" s="307">
        <f t="shared" si="32"/>
        <v>26000.521020863354</v>
      </c>
      <c r="AC50" s="307">
        <f t="shared" si="32"/>
        <v>23000.460903071427</v>
      </c>
      <c r="AD50" s="307">
        <f t="shared" si="32"/>
        <v>20000.4007852795</v>
      </c>
      <c r="AE50" s="307">
        <f t="shared" si="32"/>
        <v>17000.340667487573</v>
      </c>
      <c r="AF50" s="307">
        <f t="shared" si="32"/>
        <v>14000.280549695646</v>
      </c>
      <c r="AG50" s="307">
        <f t="shared" si="32"/>
        <v>11000.220431903719</v>
      </c>
      <c r="AH50" s="307">
        <f t="shared" si="32"/>
        <v>10000.200392639743</v>
      </c>
      <c r="AI50" s="240"/>
      <c r="AJ50" s="240"/>
      <c r="AK50" s="240"/>
      <c r="AL50" s="240"/>
    </row>
    <row r="52" spans="1:38">
      <c r="B52" s="65"/>
    </row>
  </sheetData>
  <pageMargins left="0.45" right="0.45" top="0.5" bottom="0.5" header="0.25" footer="0.25"/>
  <pageSetup scale="52" fitToWidth="2" orientation="landscape" r:id="rId1"/>
  <headerFooter alignWithMargins="0">
    <oddFooter xml:space="preserve">&amp;L&amp;T, &amp;D&amp;C&amp;F&amp;R&amp;P </oddFooter>
  </headerFooter>
  <colBreaks count="1" manualBreakCount="1">
    <brk id="18" min="1" max="51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2:AF54"/>
  <sheetViews>
    <sheetView zoomScale="75" zoomScaleNormal="75" workbookViewId="0"/>
  </sheetViews>
  <sheetFormatPr defaultRowHeight="12.75"/>
  <cols>
    <col min="1" max="1" width="51.7109375" style="12" customWidth="1"/>
    <col min="2" max="21" width="10.5703125" style="12" customWidth="1"/>
    <col min="22" max="23" width="10.85546875" style="12" customWidth="1"/>
    <col min="24" max="32" width="10.85546875" style="5" customWidth="1"/>
    <col min="33" max="16384" width="9.140625" style="5"/>
  </cols>
  <sheetData>
    <row r="2" spans="1:32" ht="18.75">
      <c r="A2" s="87" t="str">
        <f>Assumptions!A3</f>
        <v>PROJECT NAME:  Retail Shorts</v>
      </c>
    </row>
    <row r="4" spans="1:32" ht="18.75">
      <c r="A4" s="61" t="s">
        <v>96</v>
      </c>
      <c r="B4" s="78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70"/>
      <c r="Y4" s="70"/>
    </row>
    <row r="5" spans="1:32">
      <c r="A5" s="63"/>
      <c r="B5" s="79"/>
      <c r="C5" s="14"/>
      <c r="D5" s="14"/>
      <c r="E5" s="14"/>
      <c r="F5" s="14"/>
      <c r="G5" s="14"/>
      <c r="H5" s="14"/>
      <c r="I5" s="76"/>
      <c r="J5" s="14"/>
      <c r="K5" s="14"/>
      <c r="L5" s="14"/>
      <c r="M5" s="14"/>
      <c r="N5" s="14"/>
      <c r="O5" s="76"/>
      <c r="P5" s="14"/>
      <c r="Q5" s="14"/>
      <c r="R5" s="14"/>
      <c r="S5" s="14"/>
      <c r="T5" s="14"/>
      <c r="U5" s="76"/>
      <c r="V5" s="14"/>
      <c r="W5" s="14"/>
      <c r="X5" s="90"/>
      <c r="Y5" s="90"/>
    </row>
    <row r="6" spans="1:32">
      <c r="A6" s="128"/>
      <c r="B6" s="215">
        <f>'Price_Technical Assumption'!D7</f>
        <v>0.66666666666666663</v>
      </c>
      <c r="C6" s="215">
        <f>'Price_Technical Assumption'!E7</f>
        <v>1.6666666666666665</v>
      </c>
      <c r="D6" s="215">
        <f>'Price_Technical Assumption'!F7</f>
        <v>2.6666666666666665</v>
      </c>
      <c r="E6" s="215">
        <f>'Price_Technical Assumption'!G7</f>
        <v>3.6666666666666665</v>
      </c>
      <c r="F6" s="215">
        <f>'Price_Technical Assumption'!H7</f>
        <v>4.6666666666666661</v>
      </c>
      <c r="G6" s="215">
        <f>'Price_Technical Assumption'!I7</f>
        <v>5.6666666666666661</v>
      </c>
      <c r="H6" s="215">
        <f>'Price_Technical Assumption'!J7</f>
        <v>6.6666666666666661</v>
      </c>
      <c r="I6" s="215">
        <f>'Price_Technical Assumption'!K7</f>
        <v>7.6666666666666661</v>
      </c>
      <c r="J6" s="215">
        <f>'Price_Technical Assumption'!L7</f>
        <v>8.6666666666666661</v>
      </c>
      <c r="K6" s="215">
        <f>'Price_Technical Assumption'!M7</f>
        <v>9.6666666666666661</v>
      </c>
      <c r="L6" s="215">
        <f>'Price_Technical Assumption'!N7</f>
        <v>10.666666666666666</v>
      </c>
      <c r="M6" s="215">
        <f>'Price_Technical Assumption'!O7</f>
        <v>11.666666666666666</v>
      </c>
      <c r="N6" s="215">
        <f>'Price_Technical Assumption'!P7</f>
        <v>12.666666666666666</v>
      </c>
      <c r="O6" s="215">
        <f>'Price_Technical Assumption'!Q7</f>
        <v>13.666666666666666</v>
      </c>
      <c r="P6" s="215">
        <f>'Price_Technical Assumption'!R7</f>
        <v>14.666666666666666</v>
      </c>
      <c r="Q6" s="215">
        <f>'Price_Technical Assumption'!S7</f>
        <v>15.666666666666666</v>
      </c>
      <c r="R6" s="215">
        <f>'Price_Technical Assumption'!T7</f>
        <v>16.666666666666664</v>
      </c>
      <c r="S6" s="215">
        <f>'Price_Technical Assumption'!U7</f>
        <v>17.666666666666664</v>
      </c>
      <c r="T6" s="215">
        <f>'Price_Technical Assumption'!V7</f>
        <v>18.666666666666664</v>
      </c>
      <c r="U6" s="215">
        <f>'Price_Technical Assumption'!W7</f>
        <v>19.666666666666664</v>
      </c>
      <c r="V6" s="215">
        <f>'Price_Technical Assumption'!X7</f>
        <v>20.666666666666664</v>
      </c>
      <c r="W6" s="215">
        <f>'Price_Technical Assumption'!Y7</f>
        <v>21.666666666666664</v>
      </c>
      <c r="X6" s="215">
        <f>'Price_Technical Assumption'!Z7</f>
        <v>22.666666666666664</v>
      </c>
      <c r="Y6" s="215">
        <f>'Price_Technical Assumption'!AA7</f>
        <v>23.666666666666664</v>
      </c>
      <c r="Z6" s="215">
        <f>'Price_Technical Assumption'!AB7</f>
        <v>24.666666666666664</v>
      </c>
      <c r="AA6" s="215">
        <f>'Price_Technical Assumption'!AC7</f>
        <v>25.666666666666664</v>
      </c>
      <c r="AB6" s="215">
        <f>'Price_Technical Assumption'!AD7</f>
        <v>26.666666666666664</v>
      </c>
      <c r="AC6" s="215">
        <f>'Price_Technical Assumption'!AE7</f>
        <v>27.666666666666664</v>
      </c>
      <c r="AD6" s="215">
        <f>'Price_Technical Assumption'!AF7</f>
        <v>28.666666666666664</v>
      </c>
      <c r="AE6" s="215">
        <f>'Price_Technical Assumption'!AG7</f>
        <v>29.666666666666664</v>
      </c>
      <c r="AF6" s="215">
        <f>'Price_Technical Assumption'!AH7</f>
        <v>30.666666666666664</v>
      </c>
    </row>
    <row r="7" spans="1:32" ht="13.5" thickBot="1">
      <c r="A7" s="123" t="s">
        <v>40</v>
      </c>
      <c r="B7" s="7">
        <f>'Price_Technical Assumption'!D8</f>
        <v>2001</v>
      </c>
      <c r="C7" s="7">
        <f>'Price_Technical Assumption'!E8</f>
        <v>2002</v>
      </c>
      <c r="D7" s="7">
        <f>'Price_Technical Assumption'!F8</f>
        <v>2003</v>
      </c>
      <c r="E7" s="7">
        <f>'Price_Technical Assumption'!G8</f>
        <v>2004</v>
      </c>
      <c r="F7" s="7">
        <f>'Price_Technical Assumption'!H8</f>
        <v>2005</v>
      </c>
      <c r="G7" s="7">
        <f>'Price_Technical Assumption'!I8</f>
        <v>2006</v>
      </c>
      <c r="H7" s="7">
        <f>'Price_Technical Assumption'!J8</f>
        <v>2007</v>
      </c>
      <c r="I7" s="7">
        <f>'Price_Technical Assumption'!K8</f>
        <v>2008</v>
      </c>
      <c r="J7" s="7">
        <f>'Price_Technical Assumption'!L8</f>
        <v>2009</v>
      </c>
      <c r="K7" s="7">
        <f>'Price_Technical Assumption'!M8</f>
        <v>2010</v>
      </c>
      <c r="L7" s="7">
        <f>'Price_Technical Assumption'!N8</f>
        <v>2011</v>
      </c>
      <c r="M7" s="7">
        <f>'Price_Technical Assumption'!O8</f>
        <v>2012</v>
      </c>
      <c r="N7" s="7">
        <f>'Price_Technical Assumption'!P8</f>
        <v>2013</v>
      </c>
      <c r="O7" s="7">
        <f>'Price_Technical Assumption'!Q8</f>
        <v>2014</v>
      </c>
      <c r="P7" s="7">
        <f>'Price_Technical Assumption'!R8</f>
        <v>2015</v>
      </c>
      <c r="Q7" s="7">
        <f>'Price_Technical Assumption'!S8</f>
        <v>2016</v>
      </c>
      <c r="R7" s="7">
        <f>'Price_Technical Assumption'!T8</f>
        <v>2017</v>
      </c>
      <c r="S7" s="7">
        <f>'Price_Technical Assumption'!U8</f>
        <v>2018</v>
      </c>
      <c r="T7" s="7">
        <f>'Price_Technical Assumption'!V8</f>
        <v>2019</v>
      </c>
      <c r="U7" s="7">
        <f>'Price_Technical Assumption'!W8</f>
        <v>2020</v>
      </c>
      <c r="V7" s="7">
        <f>'Price_Technical Assumption'!X8</f>
        <v>2021</v>
      </c>
      <c r="W7" s="7">
        <f>'Price_Technical Assumption'!Y8</f>
        <v>2022</v>
      </c>
      <c r="X7" s="7">
        <f>'Price_Technical Assumption'!Z8</f>
        <v>2023</v>
      </c>
      <c r="Y7" s="7">
        <f>'Price_Technical Assumption'!AA8</f>
        <v>2024</v>
      </c>
      <c r="Z7" s="7">
        <f>'Price_Technical Assumption'!AB8</f>
        <v>2025</v>
      </c>
      <c r="AA7" s="7">
        <f>'Price_Technical Assumption'!AC8</f>
        <v>2026</v>
      </c>
      <c r="AB7" s="7">
        <f>'Price_Technical Assumption'!AD8</f>
        <v>2027</v>
      </c>
      <c r="AC7" s="7">
        <f>'Price_Technical Assumption'!AE8</f>
        <v>2028</v>
      </c>
      <c r="AD7" s="7">
        <f>'Price_Technical Assumption'!AF8</f>
        <v>2029</v>
      </c>
      <c r="AE7" s="7">
        <f>'Price_Technical Assumption'!AG8</f>
        <v>2030</v>
      </c>
      <c r="AF7" s="7">
        <f>'Price_Technical Assumption'!AH8</f>
        <v>2031</v>
      </c>
    </row>
    <row r="8" spans="1:32">
      <c r="A8" s="128"/>
      <c r="B8" s="206">
        <f>Depreciation!D8</f>
        <v>37256</v>
      </c>
      <c r="C8" s="206">
        <f>Depreciation!E8</f>
        <v>37621</v>
      </c>
      <c r="D8" s="206">
        <f>Depreciation!F8</f>
        <v>37986</v>
      </c>
      <c r="E8" s="206">
        <f>Depreciation!G8</f>
        <v>38352</v>
      </c>
      <c r="F8" s="206">
        <f>Depreciation!H8</f>
        <v>38717</v>
      </c>
      <c r="G8" s="206">
        <f>Depreciation!I8</f>
        <v>39082</v>
      </c>
      <c r="H8" s="206">
        <f>Depreciation!J8</f>
        <v>39447</v>
      </c>
      <c r="I8" s="206">
        <f>Depreciation!K8</f>
        <v>39813</v>
      </c>
      <c r="J8" s="206">
        <f>Depreciation!L8</f>
        <v>40178</v>
      </c>
      <c r="K8" s="206">
        <f>Depreciation!M8</f>
        <v>40543</v>
      </c>
      <c r="L8" s="206">
        <f>Depreciation!N8</f>
        <v>40908</v>
      </c>
      <c r="M8" s="206">
        <f>Depreciation!O8</f>
        <v>41274</v>
      </c>
      <c r="N8" s="206">
        <f>Depreciation!P8</f>
        <v>41639</v>
      </c>
      <c r="O8" s="206">
        <f>Depreciation!Q8</f>
        <v>42004</v>
      </c>
      <c r="P8" s="206">
        <f>Depreciation!R8</f>
        <v>42369</v>
      </c>
      <c r="Q8" s="206">
        <f>Depreciation!S8</f>
        <v>42735</v>
      </c>
      <c r="R8" s="206">
        <f>Depreciation!T8</f>
        <v>43100</v>
      </c>
      <c r="S8" s="206">
        <f>Depreciation!U8</f>
        <v>43465</v>
      </c>
      <c r="T8" s="206">
        <f>Depreciation!V8</f>
        <v>43830</v>
      </c>
      <c r="U8" s="206">
        <f>Depreciation!W8</f>
        <v>44196</v>
      </c>
      <c r="V8" s="206">
        <f>Depreciation!X8</f>
        <v>44561</v>
      </c>
      <c r="W8" s="206">
        <f>Depreciation!Y8</f>
        <v>44926</v>
      </c>
      <c r="X8" s="206">
        <f>Depreciation!Z8</f>
        <v>45291</v>
      </c>
      <c r="Y8" s="206">
        <f>Depreciation!AA8</f>
        <v>45657</v>
      </c>
      <c r="Z8" s="206">
        <f>Depreciation!AB8</f>
        <v>46022</v>
      </c>
      <c r="AA8" s="206">
        <f>Depreciation!AC8</f>
        <v>46387</v>
      </c>
      <c r="AB8" s="206">
        <f>Depreciation!AD8</f>
        <v>46752</v>
      </c>
      <c r="AC8" s="206">
        <f>Depreciation!AE8</f>
        <v>47118</v>
      </c>
      <c r="AD8" s="206">
        <f>Depreciation!AF8</f>
        <v>47483</v>
      </c>
      <c r="AE8" s="206">
        <f>Depreciation!AG8</f>
        <v>47848</v>
      </c>
      <c r="AF8" s="206">
        <f>Depreciation!AH8</f>
        <v>48213</v>
      </c>
    </row>
    <row r="9" spans="1:32">
      <c r="A9" s="129" t="s">
        <v>69</v>
      </c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</row>
    <row r="10" spans="1:32">
      <c r="A10" s="21" t="s">
        <v>212</v>
      </c>
      <c r="B10" s="19">
        <f>IS!C42</f>
        <v>10038.757794931153</v>
      </c>
      <c r="C10" s="19">
        <f>IS!D42</f>
        <v>6975.7751003661597</v>
      </c>
      <c r="D10" s="19">
        <f>IS!E42</f>
        <v>7156.5273720649411</v>
      </c>
      <c r="E10" s="19">
        <f>IS!F42</f>
        <v>7785.0035970755252</v>
      </c>
      <c r="F10" s="19">
        <f>IS!G42</f>
        <v>8382.6728357604952</v>
      </c>
      <c r="G10" s="19">
        <f>IS!H42</f>
        <v>9461.8444309067072</v>
      </c>
      <c r="H10" s="19">
        <f>IS!I42</f>
        <v>10742.607803893177</v>
      </c>
      <c r="I10" s="19">
        <f>IS!J42</f>
        <v>11332.264805886831</v>
      </c>
      <c r="J10" s="19">
        <f>IS!K42</f>
        <v>11946.094879819248</v>
      </c>
      <c r="K10" s="19">
        <f>IS!L42</f>
        <v>12673.932195718377</v>
      </c>
      <c r="L10" s="19">
        <f>IS!M42</f>
        <v>-330.94468435706688</v>
      </c>
      <c r="M10" s="19">
        <f>IS!N42</f>
        <v>-355.89940091203516</v>
      </c>
      <c r="N10" s="19">
        <f>IS!O42</f>
        <v>-424.60703052616645</v>
      </c>
      <c r="O10" s="19">
        <f>IS!P42</f>
        <v>-495.50517359288915</v>
      </c>
      <c r="P10" s="19">
        <f>IS!Q42</f>
        <v>-568.65755611687837</v>
      </c>
      <c r="Q10" s="19">
        <f>IS!R42</f>
        <v>-644.12977609498739</v>
      </c>
      <c r="R10" s="19">
        <f>IS!S42</f>
        <v>-721.98935888022879</v>
      </c>
      <c r="S10" s="19">
        <f>IS!T42</f>
        <v>-802.3058141907959</v>
      </c>
      <c r="T10" s="19">
        <f>IS!U42</f>
        <v>-885.15069481310638</v>
      </c>
      <c r="U10" s="19">
        <f>IS!V42</f>
        <v>-970.59765704938673</v>
      </c>
      <c r="V10" s="19">
        <f>IS!W42</f>
        <v>-1025.4725229617829</v>
      </c>
      <c r="W10" s="19">
        <f>IS!X42</f>
        <v>-1099.8116777999157</v>
      </c>
      <c r="X10" s="19">
        <f>IS!Y42</f>
        <v>-1193.653802667015</v>
      </c>
      <c r="Y10" s="19">
        <f>IS!Z42</f>
        <v>-1290.4149424814523</v>
      </c>
      <c r="Z10" s="19">
        <f>IS!AA42</f>
        <v>-1390.1802426254935</v>
      </c>
      <c r="AA10" s="19">
        <f>IS!AB42</f>
        <v>-1493.0373543415553</v>
      </c>
      <c r="AB10" s="19">
        <f>IS!AC42</f>
        <v>-1599.0765089379756</v>
      </c>
      <c r="AC10" s="19">
        <f>IS!AD42</f>
        <v>-1708.3905942015635</v>
      </c>
      <c r="AD10" s="19">
        <f>IS!AE42</f>
        <v>-1821.0752330827481</v>
      </c>
      <c r="AE10" s="19">
        <f>IS!AF42</f>
        <v>-1937.2288647210689</v>
      </c>
      <c r="AF10" s="19">
        <f>IS!AG42</f>
        <v>-10058.590488062806</v>
      </c>
    </row>
    <row r="11" spans="1:32">
      <c r="A11" s="21" t="s">
        <v>70</v>
      </c>
      <c r="B11" s="19">
        <f>IS!C36</f>
        <v>2529.896078527951</v>
      </c>
      <c r="C11" s="19">
        <f>IS!D36</f>
        <v>3794.8441177919262</v>
      </c>
      <c r="D11" s="19">
        <f>IS!E36</f>
        <v>3794.8441177919262</v>
      </c>
      <c r="E11" s="19">
        <f>IS!F36</f>
        <v>3794.8441177919262</v>
      </c>
      <c r="F11" s="19">
        <f>IS!G36</f>
        <v>3794.8441177919262</v>
      </c>
      <c r="G11" s="19">
        <f>IS!H36</f>
        <v>3298.3214511252595</v>
      </c>
      <c r="H11" s="19">
        <f>IS!I36</f>
        <v>3050.0601177919261</v>
      </c>
      <c r="I11" s="19">
        <f>IS!J36</f>
        <v>3050.0601177919261</v>
      </c>
      <c r="J11" s="19">
        <f>IS!K36</f>
        <v>3050.0601177919261</v>
      </c>
      <c r="K11" s="19">
        <f>IS!L36</f>
        <v>3050.0601177919261</v>
      </c>
      <c r="L11" s="19">
        <f>IS!M36</f>
        <v>3050.0601177919261</v>
      </c>
      <c r="M11" s="19">
        <f>IS!N36</f>
        <v>3050.0601177919261</v>
      </c>
      <c r="N11" s="19">
        <f>IS!O36</f>
        <v>3050.0601177919261</v>
      </c>
      <c r="O11" s="19">
        <f>IS!P36</f>
        <v>3050.0601177919261</v>
      </c>
      <c r="P11" s="19">
        <f>IS!Q36</f>
        <v>3050.0601177919261</v>
      </c>
      <c r="Q11" s="19">
        <f>IS!R36</f>
        <v>3050.0601177919261</v>
      </c>
      <c r="R11" s="19">
        <f>IS!S36</f>
        <v>3050.0601177919261</v>
      </c>
      <c r="S11" s="19">
        <f>IS!T36</f>
        <v>3050.0601177919261</v>
      </c>
      <c r="T11" s="19">
        <f>IS!U36</f>
        <v>3050.0601177919261</v>
      </c>
      <c r="U11" s="19">
        <f>IS!V36</f>
        <v>3050.0601177919261</v>
      </c>
      <c r="V11" s="19">
        <f>IS!W36</f>
        <v>3016.7267844585926</v>
      </c>
      <c r="W11" s="19">
        <f>IS!X36</f>
        <v>3000.0601177919261</v>
      </c>
      <c r="X11" s="19">
        <f>IS!Y36</f>
        <v>3000.0601177919261</v>
      </c>
      <c r="Y11" s="19">
        <f>IS!Z36</f>
        <v>3000.0601177919261</v>
      </c>
      <c r="Z11" s="19">
        <f>IS!AA36</f>
        <v>3000.0601177919261</v>
      </c>
      <c r="AA11" s="19">
        <f>IS!AB36</f>
        <v>3000.0601177919261</v>
      </c>
      <c r="AB11" s="19">
        <f>IS!AC36</f>
        <v>3000.0601177919261</v>
      </c>
      <c r="AC11" s="19">
        <f>IS!AD36</f>
        <v>3000.0601177919261</v>
      </c>
      <c r="AD11" s="19">
        <f>IS!AE36</f>
        <v>3000.0601177919261</v>
      </c>
      <c r="AE11" s="19">
        <f>IS!AF36</f>
        <v>3000.0601177919261</v>
      </c>
      <c r="AF11" s="19">
        <f>IS!AG36</f>
        <v>1000.0200392639757</v>
      </c>
    </row>
    <row r="12" spans="1:32" ht="15">
      <c r="A12" s="21" t="s">
        <v>71</v>
      </c>
      <c r="B12" s="131">
        <f>-Depreciation!D34</f>
        <v>-5529.9561963198776</v>
      </c>
      <c r="C12" s="131">
        <f>-Depreciation!E34</f>
        <v>-10294.974373007766</v>
      </c>
      <c r="D12" s="131">
        <f>-Depreciation!F34</f>
        <v>-9344.9553357069908</v>
      </c>
      <c r="E12" s="131">
        <f>-Depreciation!G34</f>
        <v>-8494.9383023326118</v>
      </c>
      <c r="F12" s="131">
        <f>-Depreciation!H34</f>
        <v>-7724.9228720993506</v>
      </c>
      <c r="G12" s="131">
        <f>-Depreciation!I34</f>
        <v>-6528.3861779479012</v>
      </c>
      <c r="H12" s="131">
        <f>-Depreciation!J34</f>
        <v>-5950.118231657455</v>
      </c>
      <c r="I12" s="131">
        <f>-Depreciation!K34</f>
        <v>-5960.1184320500952</v>
      </c>
      <c r="J12" s="131">
        <f>-Depreciation!L34</f>
        <v>-5950.118231657455</v>
      </c>
      <c r="K12" s="131">
        <f>-Depreciation!M34</f>
        <v>-5960.1184320500952</v>
      </c>
      <c r="L12" s="131">
        <f>-Depreciation!N34</f>
        <v>-5950.118231657455</v>
      </c>
      <c r="M12" s="131">
        <f>-Depreciation!O34</f>
        <v>-5960.1184320500952</v>
      </c>
      <c r="N12" s="131">
        <f>-Depreciation!P34</f>
        <v>-5950.118231657455</v>
      </c>
      <c r="O12" s="131">
        <f>-Depreciation!Q34</f>
        <v>-5960.1184320500952</v>
      </c>
      <c r="P12" s="131">
        <f>-Depreciation!R34</f>
        <v>-5950.118231657455</v>
      </c>
      <c r="Q12" s="131">
        <f>-Depreciation!S34</f>
        <v>-3000.0591158287275</v>
      </c>
      <c r="R12" s="131">
        <f>-Depreciation!T34</f>
        <v>-50</v>
      </c>
      <c r="S12" s="131">
        <f>-Depreciation!U34</f>
        <v>-50</v>
      </c>
      <c r="T12" s="131">
        <f>-Depreciation!V34</f>
        <v>-50</v>
      </c>
      <c r="U12" s="131">
        <f>-Depreciation!W34</f>
        <v>-50</v>
      </c>
      <c r="V12" s="131">
        <f>-Depreciation!X34</f>
        <v>-16.666666666666671</v>
      </c>
      <c r="W12" s="131">
        <f>-Depreciation!Y34</f>
        <v>0</v>
      </c>
      <c r="X12" s="131">
        <f>-Depreciation!Z34</f>
        <v>0</v>
      </c>
      <c r="Y12" s="131">
        <f>-Depreciation!AA34</f>
        <v>0</v>
      </c>
      <c r="Z12" s="131">
        <f>-Depreciation!AB34</f>
        <v>0</v>
      </c>
      <c r="AA12" s="131">
        <f>-Depreciation!AC34</f>
        <v>0</v>
      </c>
      <c r="AB12" s="131">
        <f>-Depreciation!AD34</f>
        <v>0</v>
      </c>
      <c r="AC12" s="131">
        <f>-Depreciation!AE34</f>
        <v>0</v>
      </c>
      <c r="AD12" s="131">
        <f>-Depreciation!AF34</f>
        <v>0</v>
      </c>
      <c r="AE12" s="131">
        <f>-Depreciation!AG34</f>
        <v>0</v>
      </c>
      <c r="AF12" s="131">
        <f>-Depreciation!AH34</f>
        <v>0</v>
      </c>
    </row>
    <row r="13" spans="1:32">
      <c r="A13" s="130" t="s">
        <v>72</v>
      </c>
      <c r="B13" s="23">
        <f>SUM(B10:B12)</f>
        <v>7038.6976771392256</v>
      </c>
      <c r="C13" s="23">
        <f t="shared" ref="C13:W13" si="0">SUM(C10:C12)</f>
        <v>475.64484515032018</v>
      </c>
      <c r="D13" s="23">
        <f t="shared" si="0"/>
        <v>1606.4161541498761</v>
      </c>
      <c r="E13" s="23">
        <f t="shared" si="0"/>
        <v>3084.9094125348402</v>
      </c>
      <c r="F13" s="23">
        <f t="shared" si="0"/>
        <v>4452.5940814530713</v>
      </c>
      <c r="G13" s="23">
        <f t="shared" si="0"/>
        <v>6231.7797040840651</v>
      </c>
      <c r="H13" s="23">
        <f t="shared" si="0"/>
        <v>7842.5496900276494</v>
      </c>
      <c r="I13" s="23">
        <f t="shared" si="0"/>
        <v>8422.2064916286618</v>
      </c>
      <c r="J13" s="23">
        <f t="shared" si="0"/>
        <v>9046.0367659537187</v>
      </c>
      <c r="K13" s="23">
        <f t="shared" si="0"/>
        <v>9763.8738814602075</v>
      </c>
      <c r="L13" s="23">
        <f t="shared" si="0"/>
        <v>-3231.0027982225956</v>
      </c>
      <c r="M13" s="23">
        <f t="shared" si="0"/>
        <v>-3265.9577151702042</v>
      </c>
      <c r="N13" s="23">
        <f t="shared" si="0"/>
        <v>-3324.6651443916953</v>
      </c>
      <c r="O13" s="23">
        <f t="shared" si="0"/>
        <v>-3405.5634878510582</v>
      </c>
      <c r="P13" s="23">
        <f t="shared" si="0"/>
        <v>-3468.7156699824072</v>
      </c>
      <c r="Q13" s="23">
        <f t="shared" si="0"/>
        <v>-594.12877413178876</v>
      </c>
      <c r="R13" s="23">
        <f t="shared" si="0"/>
        <v>2278.0707589116973</v>
      </c>
      <c r="S13" s="23">
        <f t="shared" si="0"/>
        <v>2197.7543036011302</v>
      </c>
      <c r="T13" s="23">
        <f t="shared" si="0"/>
        <v>2114.9094229788197</v>
      </c>
      <c r="U13" s="23">
        <f t="shared" si="0"/>
        <v>2029.4624607425394</v>
      </c>
      <c r="V13" s="23">
        <f t="shared" si="0"/>
        <v>1974.587594830143</v>
      </c>
      <c r="W13" s="23">
        <f t="shared" si="0"/>
        <v>1900.2484399920104</v>
      </c>
      <c r="X13" s="23">
        <f t="shared" ref="X13:AF13" si="1">SUM(X10:X12)</f>
        <v>1806.4063151249111</v>
      </c>
      <c r="Y13" s="23">
        <f t="shared" si="1"/>
        <v>1709.6451753104739</v>
      </c>
      <c r="Z13" s="23">
        <f t="shared" si="1"/>
        <v>1609.8798751664326</v>
      </c>
      <c r="AA13" s="23">
        <f t="shared" si="1"/>
        <v>1507.0227634503708</v>
      </c>
      <c r="AB13" s="23">
        <f t="shared" si="1"/>
        <v>1400.9836088539505</v>
      </c>
      <c r="AC13" s="23">
        <f t="shared" si="1"/>
        <v>1291.6695235903626</v>
      </c>
      <c r="AD13" s="23">
        <f t="shared" si="1"/>
        <v>1178.984884709178</v>
      </c>
      <c r="AE13" s="23">
        <f t="shared" si="1"/>
        <v>1062.8312530708572</v>
      </c>
      <c r="AF13" s="23">
        <f t="shared" si="1"/>
        <v>-9058.5704487988296</v>
      </c>
    </row>
    <row r="14" spans="1:32">
      <c r="A14" s="21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</row>
    <row r="15" spans="1:32">
      <c r="A15" s="21" t="s">
        <v>98</v>
      </c>
      <c r="B15" s="132">
        <f>Assumptions!$N$51</f>
        <v>7.0000000000000007E-2</v>
      </c>
      <c r="C15" s="132">
        <f>Assumptions!$N$51</f>
        <v>7.0000000000000007E-2</v>
      </c>
      <c r="D15" s="132">
        <f>Assumptions!$N$51</f>
        <v>7.0000000000000007E-2</v>
      </c>
      <c r="E15" s="132">
        <f>Assumptions!$N$51</f>
        <v>7.0000000000000007E-2</v>
      </c>
      <c r="F15" s="132">
        <f>Assumptions!$N$51</f>
        <v>7.0000000000000007E-2</v>
      </c>
      <c r="G15" s="132">
        <f>Assumptions!$N$51</f>
        <v>7.0000000000000007E-2</v>
      </c>
      <c r="H15" s="132">
        <f>Assumptions!$N$51</f>
        <v>7.0000000000000007E-2</v>
      </c>
      <c r="I15" s="132">
        <f>Assumptions!$N$51</f>
        <v>7.0000000000000007E-2</v>
      </c>
      <c r="J15" s="132">
        <f>Assumptions!$N$51</f>
        <v>7.0000000000000007E-2</v>
      </c>
      <c r="K15" s="132">
        <f>Assumptions!$N$51</f>
        <v>7.0000000000000007E-2</v>
      </c>
      <c r="L15" s="132">
        <f>Assumptions!$N$51</f>
        <v>7.0000000000000007E-2</v>
      </c>
      <c r="M15" s="132">
        <f>Assumptions!$N$51</f>
        <v>7.0000000000000007E-2</v>
      </c>
      <c r="N15" s="132">
        <f>Assumptions!$N$51</f>
        <v>7.0000000000000007E-2</v>
      </c>
      <c r="O15" s="132">
        <f>Assumptions!$N$51</f>
        <v>7.0000000000000007E-2</v>
      </c>
      <c r="P15" s="132">
        <f>Assumptions!$N$51</f>
        <v>7.0000000000000007E-2</v>
      </c>
      <c r="Q15" s="132">
        <f>Assumptions!$N$51</f>
        <v>7.0000000000000007E-2</v>
      </c>
      <c r="R15" s="132">
        <f>Assumptions!$N$51</f>
        <v>7.0000000000000007E-2</v>
      </c>
      <c r="S15" s="132">
        <f>Assumptions!$N$51</f>
        <v>7.0000000000000007E-2</v>
      </c>
      <c r="T15" s="132">
        <f>Assumptions!$N$51</f>
        <v>7.0000000000000007E-2</v>
      </c>
      <c r="U15" s="132">
        <f>Assumptions!$N$51</f>
        <v>7.0000000000000007E-2</v>
      </c>
      <c r="V15" s="132">
        <f>Assumptions!$N$51</f>
        <v>7.0000000000000007E-2</v>
      </c>
      <c r="W15" s="132">
        <f>Assumptions!$N$51</f>
        <v>7.0000000000000007E-2</v>
      </c>
      <c r="X15" s="132">
        <f>Assumptions!$N$51</f>
        <v>7.0000000000000007E-2</v>
      </c>
      <c r="Y15" s="132">
        <f>Assumptions!$N$51</f>
        <v>7.0000000000000007E-2</v>
      </c>
      <c r="Z15" s="132">
        <f>Assumptions!$N$51</f>
        <v>7.0000000000000007E-2</v>
      </c>
      <c r="AA15" s="132">
        <f>Assumptions!$N$51</f>
        <v>7.0000000000000007E-2</v>
      </c>
      <c r="AB15" s="132">
        <f>Assumptions!$N$51</f>
        <v>7.0000000000000007E-2</v>
      </c>
      <c r="AC15" s="132">
        <f>Assumptions!$N$51</f>
        <v>7.0000000000000007E-2</v>
      </c>
      <c r="AD15" s="132">
        <f>Assumptions!$N$51</f>
        <v>7.0000000000000007E-2</v>
      </c>
      <c r="AE15" s="132">
        <f>Assumptions!$N$51</f>
        <v>7.0000000000000007E-2</v>
      </c>
      <c r="AF15" s="132">
        <f>Assumptions!$N$51</f>
        <v>7.0000000000000007E-2</v>
      </c>
    </row>
    <row r="16" spans="1:32">
      <c r="A16" s="21" t="s">
        <v>73</v>
      </c>
      <c r="B16" s="19">
        <f t="shared" ref="B16:AF16" si="2">B13*B15</f>
        <v>492.70883739974585</v>
      </c>
      <c r="C16" s="19">
        <f t="shared" si="2"/>
        <v>33.295139160522417</v>
      </c>
      <c r="D16" s="19">
        <f t="shared" si="2"/>
        <v>112.44913079049134</v>
      </c>
      <c r="E16" s="19">
        <f t="shared" si="2"/>
        <v>215.94365887743882</v>
      </c>
      <c r="F16" s="19">
        <f t="shared" si="2"/>
        <v>311.68158570171505</v>
      </c>
      <c r="G16" s="19">
        <f t="shared" si="2"/>
        <v>436.2245792858846</v>
      </c>
      <c r="H16" s="19">
        <f t="shared" si="2"/>
        <v>548.97847830193552</v>
      </c>
      <c r="I16" s="19">
        <f t="shared" si="2"/>
        <v>589.55445441400639</v>
      </c>
      <c r="J16" s="19">
        <f t="shared" si="2"/>
        <v>633.22257361676031</v>
      </c>
      <c r="K16" s="19">
        <f t="shared" si="2"/>
        <v>683.47117170221463</v>
      </c>
      <c r="L16" s="19">
        <f t="shared" si="2"/>
        <v>-226.17019587558173</v>
      </c>
      <c r="M16" s="19">
        <f t="shared" si="2"/>
        <v>-228.61704006191431</v>
      </c>
      <c r="N16" s="19">
        <f t="shared" si="2"/>
        <v>-232.72656010741869</v>
      </c>
      <c r="O16" s="19">
        <f t="shared" si="2"/>
        <v>-238.3894441495741</v>
      </c>
      <c r="P16" s="19">
        <f t="shared" si="2"/>
        <v>-242.81009689876853</v>
      </c>
      <c r="Q16" s="19">
        <f t="shared" si="2"/>
        <v>-41.589014189225217</v>
      </c>
      <c r="R16" s="19">
        <f t="shared" si="2"/>
        <v>159.46495312381882</v>
      </c>
      <c r="S16" s="19">
        <f t="shared" si="2"/>
        <v>153.84280125207914</v>
      </c>
      <c r="T16" s="19">
        <f t="shared" si="2"/>
        <v>148.0436596085174</v>
      </c>
      <c r="U16" s="19">
        <f t="shared" si="2"/>
        <v>142.06237225197776</v>
      </c>
      <c r="V16" s="19">
        <f t="shared" si="2"/>
        <v>138.22113163811002</v>
      </c>
      <c r="W16" s="19">
        <f t="shared" si="2"/>
        <v>133.01739079944073</v>
      </c>
      <c r="X16" s="19">
        <f t="shared" si="2"/>
        <v>126.44844205874379</v>
      </c>
      <c r="Y16" s="19">
        <f t="shared" si="2"/>
        <v>119.67516227173319</v>
      </c>
      <c r="Z16" s="19">
        <f t="shared" si="2"/>
        <v>112.69159126165029</v>
      </c>
      <c r="AA16" s="19">
        <f t="shared" si="2"/>
        <v>105.49159344152596</v>
      </c>
      <c r="AB16" s="19">
        <f t="shared" si="2"/>
        <v>98.06885261977655</v>
      </c>
      <c r="AC16" s="19">
        <f t="shared" si="2"/>
        <v>90.416866651325392</v>
      </c>
      <c r="AD16" s="19">
        <f t="shared" si="2"/>
        <v>82.528941929642471</v>
      </c>
      <c r="AE16" s="19">
        <f t="shared" si="2"/>
        <v>74.398187714960017</v>
      </c>
      <c r="AF16" s="19">
        <f t="shared" si="2"/>
        <v>-634.09993141591815</v>
      </c>
    </row>
    <row r="17" spans="1:32">
      <c r="A17" s="21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</row>
    <row r="18" spans="1:32">
      <c r="A18" s="21" t="s">
        <v>74</v>
      </c>
      <c r="B18" s="19">
        <v>0</v>
      </c>
      <c r="C18" s="19">
        <f>B22</f>
        <v>0</v>
      </c>
      <c r="D18" s="19">
        <f t="shared" ref="D18:W18" si="3">C22</f>
        <v>0</v>
      </c>
      <c r="E18" s="19">
        <f t="shared" si="3"/>
        <v>0</v>
      </c>
      <c r="F18" s="19">
        <f t="shared" si="3"/>
        <v>0</v>
      </c>
      <c r="G18" s="19">
        <f t="shared" si="3"/>
        <v>0</v>
      </c>
      <c r="H18" s="19">
        <f t="shared" si="3"/>
        <v>0</v>
      </c>
      <c r="I18" s="19">
        <f t="shared" si="3"/>
        <v>0</v>
      </c>
      <c r="J18" s="19">
        <f t="shared" si="3"/>
        <v>0</v>
      </c>
      <c r="K18" s="19">
        <f t="shared" si="3"/>
        <v>0</v>
      </c>
      <c r="L18" s="19">
        <f t="shared" si="3"/>
        <v>0</v>
      </c>
      <c r="M18" s="19">
        <f t="shared" si="3"/>
        <v>226.17019587558173</v>
      </c>
      <c r="N18" s="19">
        <f t="shared" si="3"/>
        <v>454.78723593749601</v>
      </c>
      <c r="O18" s="19">
        <f t="shared" si="3"/>
        <v>687.51379604491467</v>
      </c>
      <c r="P18" s="19">
        <f>O22</f>
        <v>925.90324019448872</v>
      </c>
      <c r="Q18" s="19">
        <f t="shared" si="3"/>
        <v>1168.7133370932572</v>
      </c>
      <c r="R18" s="19">
        <f t="shared" si="3"/>
        <v>1210.3023512824825</v>
      </c>
      <c r="S18" s="19">
        <f t="shared" si="3"/>
        <v>1050.8373981586637</v>
      </c>
      <c r="T18" s="19">
        <v>0</v>
      </c>
      <c r="U18" s="19">
        <f t="shared" si="3"/>
        <v>0</v>
      </c>
      <c r="V18" s="19">
        <f t="shared" si="3"/>
        <v>0</v>
      </c>
      <c r="W18" s="19">
        <f t="shared" si="3"/>
        <v>0</v>
      </c>
      <c r="X18" s="19">
        <f t="shared" ref="X18:AF18" si="4">W22</f>
        <v>0</v>
      </c>
      <c r="Y18" s="19">
        <f t="shared" si="4"/>
        <v>0</v>
      </c>
      <c r="Z18" s="19">
        <f t="shared" si="4"/>
        <v>0</v>
      </c>
      <c r="AA18" s="19">
        <f t="shared" si="4"/>
        <v>0</v>
      </c>
      <c r="AB18" s="19">
        <f t="shared" si="4"/>
        <v>0</v>
      </c>
      <c r="AC18" s="19">
        <f t="shared" si="4"/>
        <v>0</v>
      </c>
      <c r="AD18" s="19">
        <f t="shared" si="4"/>
        <v>0</v>
      </c>
      <c r="AE18" s="19">
        <f t="shared" si="4"/>
        <v>0</v>
      </c>
      <c r="AF18" s="19">
        <f t="shared" si="4"/>
        <v>0</v>
      </c>
    </row>
    <row r="19" spans="1:32">
      <c r="A19" s="21" t="s">
        <v>75</v>
      </c>
      <c r="B19" s="140">
        <f>IF(B16&lt;0,-B16,0)</f>
        <v>0</v>
      </c>
      <c r="C19" s="140">
        <f t="shared" ref="C19:W19" si="5">IF(C16&lt;0,-C16,0)</f>
        <v>0</v>
      </c>
      <c r="D19" s="140">
        <f t="shared" si="5"/>
        <v>0</v>
      </c>
      <c r="E19" s="140">
        <f t="shared" si="5"/>
        <v>0</v>
      </c>
      <c r="F19" s="140">
        <f t="shared" si="5"/>
        <v>0</v>
      </c>
      <c r="G19" s="140">
        <f t="shared" si="5"/>
        <v>0</v>
      </c>
      <c r="H19" s="140">
        <f t="shared" si="5"/>
        <v>0</v>
      </c>
      <c r="I19" s="140">
        <f t="shared" si="5"/>
        <v>0</v>
      </c>
      <c r="J19" s="140">
        <f t="shared" si="5"/>
        <v>0</v>
      </c>
      <c r="K19" s="140">
        <f t="shared" si="5"/>
        <v>0</v>
      </c>
      <c r="L19" s="140">
        <f t="shared" si="5"/>
        <v>226.17019587558173</v>
      </c>
      <c r="M19" s="140">
        <f t="shared" si="5"/>
        <v>228.61704006191431</v>
      </c>
      <c r="N19" s="140">
        <f t="shared" si="5"/>
        <v>232.72656010741869</v>
      </c>
      <c r="O19" s="140">
        <f t="shared" si="5"/>
        <v>238.3894441495741</v>
      </c>
      <c r="P19" s="140">
        <f t="shared" si="5"/>
        <v>242.81009689876853</v>
      </c>
      <c r="Q19" s="140">
        <f t="shared" si="5"/>
        <v>41.589014189225217</v>
      </c>
      <c r="R19" s="140">
        <f t="shared" si="5"/>
        <v>0</v>
      </c>
      <c r="S19" s="140">
        <f t="shared" si="5"/>
        <v>0</v>
      </c>
      <c r="T19" s="140">
        <f t="shared" si="5"/>
        <v>0</v>
      </c>
      <c r="U19" s="140">
        <f t="shared" si="5"/>
        <v>0</v>
      </c>
      <c r="V19" s="140">
        <f t="shared" si="5"/>
        <v>0</v>
      </c>
      <c r="W19" s="140">
        <f t="shared" si="5"/>
        <v>0</v>
      </c>
      <c r="X19" s="140">
        <f t="shared" ref="X19:AF19" si="6">IF(X16&lt;0,-X16,0)</f>
        <v>0</v>
      </c>
      <c r="Y19" s="140">
        <f t="shared" si="6"/>
        <v>0</v>
      </c>
      <c r="Z19" s="140">
        <f t="shared" si="6"/>
        <v>0</v>
      </c>
      <c r="AA19" s="140">
        <f t="shared" si="6"/>
        <v>0</v>
      </c>
      <c r="AB19" s="140">
        <f t="shared" si="6"/>
        <v>0</v>
      </c>
      <c r="AC19" s="140">
        <f t="shared" si="6"/>
        <v>0</v>
      </c>
      <c r="AD19" s="140">
        <f t="shared" si="6"/>
        <v>0</v>
      </c>
      <c r="AE19" s="140">
        <f t="shared" si="6"/>
        <v>0</v>
      </c>
      <c r="AF19" s="140">
        <f t="shared" si="6"/>
        <v>634.09993141591815</v>
      </c>
    </row>
    <row r="20" spans="1:32">
      <c r="A20" s="13" t="s">
        <v>291</v>
      </c>
      <c r="B20" s="469">
        <v>0</v>
      </c>
      <c r="C20" s="470">
        <v>0</v>
      </c>
      <c r="D20" s="470">
        <v>0</v>
      </c>
      <c r="E20" s="470">
        <v>0</v>
      </c>
      <c r="F20" s="470">
        <v>0</v>
      </c>
      <c r="G20" s="470">
        <v>0</v>
      </c>
      <c r="H20" s="470">
        <v>0</v>
      </c>
      <c r="I20" s="471">
        <v>0</v>
      </c>
      <c r="J20" s="472">
        <f>IF(-SUM(B21:I21, B20:I20)&gt;B19,0,-B19-SUM(B21:I21,B20:I20))</f>
        <v>0</v>
      </c>
      <c r="K20" s="472">
        <f t="shared" ref="K20:AF20" si="7">IF(-SUM(C21:J21, C20:J20)&gt;C19,0,-C19-SUM(C21:J21,C20:J20))</f>
        <v>0</v>
      </c>
      <c r="L20" s="472">
        <f t="shared" si="7"/>
        <v>0</v>
      </c>
      <c r="M20" s="472">
        <f t="shared" si="7"/>
        <v>0</v>
      </c>
      <c r="N20" s="472">
        <f t="shared" si="7"/>
        <v>0</v>
      </c>
      <c r="O20" s="472">
        <f t="shared" si="7"/>
        <v>0</v>
      </c>
      <c r="P20" s="472">
        <f t="shared" si="7"/>
        <v>0</v>
      </c>
      <c r="Q20" s="472">
        <f t="shared" si="7"/>
        <v>0</v>
      </c>
      <c r="R20" s="472">
        <f t="shared" si="7"/>
        <v>0</v>
      </c>
      <c r="S20" s="472">
        <f t="shared" si="7"/>
        <v>0</v>
      </c>
      <c r="T20" s="472">
        <f t="shared" si="7"/>
        <v>0</v>
      </c>
      <c r="U20" s="472">
        <f t="shared" si="7"/>
        <v>0</v>
      </c>
      <c r="V20" s="472">
        <f t="shared" si="7"/>
        <v>0</v>
      </c>
      <c r="W20" s="472">
        <f t="shared" si="7"/>
        <v>0</v>
      </c>
      <c r="X20" s="472">
        <f t="shared" si="7"/>
        <v>0</v>
      </c>
      <c r="Y20" s="472">
        <f t="shared" si="7"/>
        <v>0</v>
      </c>
      <c r="Z20" s="472">
        <f t="shared" si="7"/>
        <v>0</v>
      </c>
      <c r="AA20" s="472">
        <f t="shared" si="7"/>
        <v>0</v>
      </c>
      <c r="AB20" s="472">
        <f t="shared" si="7"/>
        <v>0</v>
      </c>
      <c r="AC20" s="472">
        <f t="shared" si="7"/>
        <v>0</v>
      </c>
      <c r="AD20" s="472">
        <f t="shared" si="7"/>
        <v>0</v>
      </c>
      <c r="AE20" s="472">
        <f t="shared" si="7"/>
        <v>0</v>
      </c>
      <c r="AF20" s="472">
        <f t="shared" si="7"/>
        <v>0</v>
      </c>
    </row>
    <row r="21" spans="1:32">
      <c r="A21" s="13" t="s">
        <v>290</v>
      </c>
      <c r="B21" s="133">
        <f>IF(B16&lt;0,0,IF(B18&gt;B16,-B16,-B18))</f>
        <v>0</v>
      </c>
      <c r="C21" s="133">
        <f t="shared" ref="C21:V21" si="8">IF(C16&lt;0,0,IF(C18&gt;C16,-C16,-C18))</f>
        <v>0</v>
      </c>
      <c r="D21" s="133">
        <f t="shared" si="8"/>
        <v>0</v>
      </c>
      <c r="E21" s="133">
        <f t="shared" si="8"/>
        <v>0</v>
      </c>
      <c r="F21" s="133">
        <f t="shared" si="8"/>
        <v>0</v>
      </c>
      <c r="G21" s="133">
        <f t="shared" si="8"/>
        <v>0</v>
      </c>
      <c r="H21" s="133">
        <f t="shared" si="8"/>
        <v>0</v>
      </c>
      <c r="I21" s="133">
        <f t="shared" si="8"/>
        <v>0</v>
      </c>
      <c r="J21" s="133">
        <f t="shared" si="8"/>
        <v>0</v>
      </c>
      <c r="K21" s="133">
        <f t="shared" si="8"/>
        <v>0</v>
      </c>
      <c r="L21" s="133">
        <f t="shared" si="8"/>
        <v>0</v>
      </c>
      <c r="M21" s="133">
        <f t="shared" si="8"/>
        <v>0</v>
      </c>
      <c r="N21" s="133">
        <f t="shared" si="8"/>
        <v>0</v>
      </c>
      <c r="O21" s="133">
        <f t="shared" si="8"/>
        <v>0</v>
      </c>
      <c r="P21" s="133">
        <f t="shared" si="8"/>
        <v>0</v>
      </c>
      <c r="Q21" s="133">
        <f t="shared" si="8"/>
        <v>0</v>
      </c>
      <c r="R21" s="133">
        <f t="shared" si="8"/>
        <v>-159.46495312381882</v>
      </c>
      <c r="S21" s="133">
        <f t="shared" si="8"/>
        <v>-153.84280125207914</v>
      </c>
      <c r="T21" s="133">
        <f t="shared" si="8"/>
        <v>0</v>
      </c>
      <c r="U21" s="133">
        <f t="shared" si="8"/>
        <v>0</v>
      </c>
      <c r="V21" s="133">
        <f t="shared" si="8"/>
        <v>0</v>
      </c>
      <c r="W21" s="133">
        <f>IF(W16&lt;0,0,IF(W18&gt;W16,-W16,-W18))</f>
        <v>0</v>
      </c>
      <c r="X21" s="133">
        <f t="shared" ref="X21:AF21" si="9">IF(X16&lt;0,0,IF(X18&gt;X16,-X16,-X18))</f>
        <v>0</v>
      </c>
      <c r="Y21" s="133">
        <f t="shared" si="9"/>
        <v>0</v>
      </c>
      <c r="Z21" s="133">
        <f t="shared" si="9"/>
        <v>0</v>
      </c>
      <c r="AA21" s="133">
        <f t="shared" si="9"/>
        <v>0</v>
      </c>
      <c r="AB21" s="133">
        <f t="shared" si="9"/>
        <v>0</v>
      </c>
      <c r="AC21" s="133">
        <f t="shared" si="9"/>
        <v>0</v>
      </c>
      <c r="AD21" s="133">
        <f t="shared" si="9"/>
        <v>0</v>
      </c>
      <c r="AE21" s="133">
        <f t="shared" si="9"/>
        <v>0</v>
      </c>
      <c r="AF21" s="133">
        <f t="shared" si="9"/>
        <v>0</v>
      </c>
    </row>
    <row r="22" spans="1:32">
      <c r="A22" s="13" t="s">
        <v>76</v>
      </c>
      <c r="B22" s="133">
        <f t="shared" ref="B22:AF22" si="10">SUM(B18:B21)</f>
        <v>0</v>
      </c>
      <c r="C22" s="133">
        <f t="shared" si="10"/>
        <v>0</v>
      </c>
      <c r="D22" s="133">
        <f t="shared" si="10"/>
        <v>0</v>
      </c>
      <c r="E22" s="133">
        <f t="shared" si="10"/>
        <v>0</v>
      </c>
      <c r="F22" s="133">
        <f t="shared" si="10"/>
        <v>0</v>
      </c>
      <c r="G22" s="133">
        <f t="shared" si="10"/>
        <v>0</v>
      </c>
      <c r="H22" s="133">
        <f t="shared" si="10"/>
        <v>0</v>
      </c>
      <c r="I22" s="133">
        <f t="shared" si="10"/>
        <v>0</v>
      </c>
      <c r="J22" s="133">
        <f t="shared" si="10"/>
        <v>0</v>
      </c>
      <c r="K22" s="133">
        <f t="shared" si="10"/>
        <v>0</v>
      </c>
      <c r="L22" s="133">
        <f t="shared" si="10"/>
        <v>226.17019587558173</v>
      </c>
      <c r="M22" s="133">
        <f t="shared" si="10"/>
        <v>454.78723593749601</v>
      </c>
      <c r="N22" s="133">
        <f t="shared" si="10"/>
        <v>687.51379604491467</v>
      </c>
      <c r="O22" s="133">
        <f t="shared" si="10"/>
        <v>925.90324019448872</v>
      </c>
      <c r="P22" s="133">
        <f t="shared" si="10"/>
        <v>1168.7133370932572</v>
      </c>
      <c r="Q22" s="133">
        <f t="shared" si="10"/>
        <v>1210.3023512824825</v>
      </c>
      <c r="R22" s="133">
        <f t="shared" si="10"/>
        <v>1050.8373981586637</v>
      </c>
      <c r="S22" s="133">
        <f t="shared" si="10"/>
        <v>896.99459690658455</v>
      </c>
      <c r="T22" s="133">
        <f t="shared" si="10"/>
        <v>0</v>
      </c>
      <c r="U22" s="133">
        <f t="shared" si="10"/>
        <v>0</v>
      </c>
      <c r="V22" s="133">
        <f t="shared" si="10"/>
        <v>0</v>
      </c>
      <c r="W22" s="133">
        <f t="shared" si="10"/>
        <v>0</v>
      </c>
      <c r="X22" s="133">
        <f t="shared" si="10"/>
        <v>0</v>
      </c>
      <c r="Y22" s="133">
        <f t="shared" si="10"/>
        <v>0</v>
      </c>
      <c r="Z22" s="133">
        <f t="shared" si="10"/>
        <v>0</v>
      </c>
      <c r="AA22" s="133">
        <f t="shared" si="10"/>
        <v>0</v>
      </c>
      <c r="AB22" s="133">
        <f t="shared" si="10"/>
        <v>0</v>
      </c>
      <c r="AC22" s="133">
        <f t="shared" si="10"/>
        <v>0</v>
      </c>
      <c r="AD22" s="133">
        <f t="shared" si="10"/>
        <v>0</v>
      </c>
      <c r="AE22" s="133">
        <f t="shared" si="10"/>
        <v>0</v>
      </c>
      <c r="AF22" s="133">
        <f t="shared" si="10"/>
        <v>634.09993141591815</v>
      </c>
    </row>
    <row r="23" spans="1:32">
      <c r="A23" s="1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</row>
    <row r="24" spans="1:32">
      <c r="A24" s="43" t="s">
        <v>214</v>
      </c>
      <c r="B24" s="137">
        <f>IF(B13&lt;0,0,B21+B16)</f>
        <v>492.70883739974585</v>
      </c>
      <c r="C24" s="137">
        <f t="shared" ref="C24:AF24" si="11">IF(C13&lt;0,0,C21+C16)</f>
        <v>33.295139160522417</v>
      </c>
      <c r="D24" s="137">
        <f t="shared" si="11"/>
        <v>112.44913079049134</v>
      </c>
      <c r="E24" s="137">
        <f t="shared" si="11"/>
        <v>215.94365887743882</v>
      </c>
      <c r="F24" s="137">
        <f t="shared" si="11"/>
        <v>311.68158570171505</v>
      </c>
      <c r="G24" s="137">
        <f t="shared" si="11"/>
        <v>436.2245792858846</v>
      </c>
      <c r="H24" s="137">
        <f t="shared" si="11"/>
        <v>548.97847830193552</v>
      </c>
      <c r="I24" s="137">
        <f t="shared" si="11"/>
        <v>589.55445441400639</v>
      </c>
      <c r="J24" s="137">
        <f t="shared" si="11"/>
        <v>633.22257361676031</v>
      </c>
      <c r="K24" s="137">
        <f t="shared" si="11"/>
        <v>683.47117170221463</v>
      </c>
      <c r="L24" s="137">
        <f t="shared" si="11"/>
        <v>0</v>
      </c>
      <c r="M24" s="137">
        <f t="shared" si="11"/>
        <v>0</v>
      </c>
      <c r="N24" s="137">
        <f t="shared" si="11"/>
        <v>0</v>
      </c>
      <c r="O24" s="137">
        <f t="shared" si="11"/>
        <v>0</v>
      </c>
      <c r="P24" s="137">
        <f t="shared" si="11"/>
        <v>0</v>
      </c>
      <c r="Q24" s="137">
        <f t="shared" si="11"/>
        <v>0</v>
      </c>
      <c r="R24" s="137">
        <f t="shared" si="11"/>
        <v>0</v>
      </c>
      <c r="S24" s="137">
        <f t="shared" si="11"/>
        <v>0</v>
      </c>
      <c r="T24" s="137">
        <f t="shared" si="11"/>
        <v>148.0436596085174</v>
      </c>
      <c r="U24" s="137">
        <f t="shared" si="11"/>
        <v>142.06237225197776</v>
      </c>
      <c r="V24" s="137">
        <f t="shared" si="11"/>
        <v>138.22113163811002</v>
      </c>
      <c r="W24" s="137">
        <f t="shared" si="11"/>
        <v>133.01739079944073</v>
      </c>
      <c r="X24" s="137">
        <f t="shared" si="11"/>
        <v>126.44844205874379</v>
      </c>
      <c r="Y24" s="137">
        <f t="shared" si="11"/>
        <v>119.67516227173319</v>
      </c>
      <c r="Z24" s="137">
        <f t="shared" si="11"/>
        <v>112.69159126165029</v>
      </c>
      <c r="AA24" s="137">
        <f t="shared" si="11"/>
        <v>105.49159344152596</v>
      </c>
      <c r="AB24" s="137">
        <f t="shared" si="11"/>
        <v>98.06885261977655</v>
      </c>
      <c r="AC24" s="137">
        <f t="shared" si="11"/>
        <v>90.416866651325392</v>
      </c>
      <c r="AD24" s="137">
        <f t="shared" si="11"/>
        <v>82.528941929642471</v>
      </c>
      <c r="AE24" s="137">
        <f t="shared" si="11"/>
        <v>74.398187714960017</v>
      </c>
      <c r="AF24" s="137">
        <f t="shared" si="11"/>
        <v>0</v>
      </c>
    </row>
    <row r="25" spans="1:32">
      <c r="A25" s="43"/>
      <c r="B25" s="134"/>
      <c r="C25" s="134"/>
      <c r="D25" s="134"/>
      <c r="E25" s="134"/>
      <c r="F25" s="134"/>
      <c r="G25" s="134"/>
      <c r="H25" s="134"/>
      <c r="I25" s="134"/>
      <c r="J25" s="134"/>
      <c r="K25" s="134"/>
      <c r="L25" s="134"/>
      <c r="M25" s="134"/>
      <c r="N25" s="134"/>
      <c r="O25" s="134"/>
      <c r="P25" s="134"/>
      <c r="Q25" s="134"/>
      <c r="R25" s="134"/>
      <c r="S25" s="134"/>
      <c r="T25" s="134"/>
      <c r="U25" s="134"/>
      <c r="V25" s="134"/>
      <c r="W25" s="134"/>
      <c r="X25" s="134"/>
      <c r="Y25" s="134"/>
      <c r="Z25" s="134"/>
      <c r="AA25" s="134"/>
      <c r="AB25" s="134"/>
      <c r="AC25" s="134"/>
      <c r="AD25" s="134"/>
      <c r="AE25" s="134"/>
      <c r="AF25" s="134"/>
    </row>
    <row r="26" spans="1:32">
      <c r="A26" s="21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</row>
    <row r="27" spans="1:32">
      <c r="A27" s="129" t="s">
        <v>77</v>
      </c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</row>
    <row r="28" spans="1:32">
      <c r="A28" s="21" t="s">
        <v>72</v>
      </c>
      <c r="B28" s="19">
        <f>B13</f>
        <v>7038.6976771392256</v>
      </c>
      <c r="C28" s="19">
        <f t="shared" ref="C28:AF28" si="12">C13</f>
        <v>475.64484515032018</v>
      </c>
      <c r="D28" s="19">
        <f t="shared" si="12"/>
        <v>1606.4161541498761</v>
      </c>
      <c r="E28" s="19">
        <f t="shared" si="12"/>
        <v>3084.9094125348402</v>
      </c>
      <c r="F28" s="19">
        <f t="shared" si="12"/>
        <v>4452.5940814530713</v>
      </c>
      <c r="G28" s="19">
        <f t="shared" si="12"/>
        <v>6231.7797040840651</v>
      </c>
      <c r="H28" s="19">
        <f t="shared" si="12"/>
        <v>7842.5496900276494</v>
      </c>
      <c r="I28" s="19">
        <f t="shared" si="12"/>
        <v>8422.2064916286618</v>
      </c>
      <c r="J28" s="19">
        <f t="shared" si="12"/>
        <v>9046.0367659537187</v>
      </c>
      <c r="K28" s="19">
        <f t="shared" si="12"/>
        <v>9763.8738814602075</v>
      </c>
      <c r="L28" s="19">
        <f t="shared" si="12"/>
        <v>-3231.0027982225956</v>
      </c>
      <c r="M28" s="19">
        <f t="shared" si="12"/>
        <v>-3265.9577151702042</v>
      </c>
      <c r="N28" s="19">
        <f t="shared" si="12"/>
        <v>-3324.6651443916953</v>
      </c>
      <c r="O28" s="19">
        <f t="shared" si="12"/>
        <v>-3405.5634878510582</v>
      </c>
      <c r="P28" s="19">
        <f t="shared" si="12"/>
        <v>-3468.7156699824072</v>
      </c>
      <c r="Q28" s="19">
        <f t="shared" si="12"/>
        <v>-594.12877413178876</v>
      </c>
      <c r="R28" s="19">
        <f t="shared" si="12"/>
        <v>2278.0707589116973</v>
      </c>
      <c r="S28" s="19">
        <f t="shared" si="12"/>
        <v>2197.7543036011302</v>
      </c>
      <c r="T28" s="19">
        <f t="shared" si="12"/>
        <v>2114.9094229788197</v>
      </c>
      <c r="U28" s="19">
        <f t="shared" si="12"/>
        <v>2029.4624607425394</v>
      </c>
      <c r="V28" s="19">
        <f t="shared" si="12"/>
        <v>1974.587594830143</v>
      </c>
      <c r="W28" s="19">
        <f t="shared" si="12"/>
        <v>1900.2484399920104</v>
      </c>
      <c r="X28" s="19">
        <f t="shared" si="12"/>
        <v>1806.4063151249111</v>
      </c>
      <c r="Y28" s="19">
        <f t="shared" si="12"/>
        <v>1709.6451753104739</v>
      </c>
      <c r="Z28" s="19">
        <f t="shared" si="12"/>
        <v>1609.8798751664326</v>
      </c>
      <c r="AA28" s="19">
        <f t="shared" si="12"/>
        <v>1507.0227634503708</v>
      </c>
      <c r="AB28" s="19">
        <f t="shared" si="12"/>
        <v>1400.9836088539505</v>
      </c>
      <c r="AC28" s="19">
        <f t="shared" si="12"/>
        <v>1291.6695235903626</v>
      </c>
      <c r="AD28" s="19">
        <f t="shared" si="12"/>
        <v>1178.984884709178</v>
      </c>
      <c r="AE28" s="19">
        <f t="shared" si="12"/>
        <v>1062.8312530708572</v>
      </c>
      <c r="AF28" s="19">
        <f t="shared" si="12"/>
        <v>-9058.5704487988296</v>
      </c>
    </row>
    <row r="29" spans="1:32" ht="15">
      <c r="A29" s="21" t="s">
        <v>78</v>
      </c>
      <c r="B29" s="135">
        <f>-B24</f>
        <v>-492.70883739974585</v>
      </c>
      <c r="C29" s="135">
        <f t="shared" ref="C29:AF29" si="13">-C24</f>
        <v>-33.295139160522417</v>
      </c>
      <c r="D29" s="135">
        <f t="shared" si="13"/>
        <v>-112.44913079049134</v>
      </c>
      <c r="E29" s="135">
        <f t="shared" si="13"/>
        <v>-215.94365887743882</v>
      </c>
      <c r="F29" s="135">
        <f t="shared" si="13"/>
        <v>-311.68158570171505</v>
      </c>
      <c r="G29" s="135">
        <f t="shared" si="13"/>
        <v>-436.2245792858846</v>
      </c>
      <c r="H29" s="135">
        <f t="shared" si="13"/>
        <v>-548.97847830193552</v>
      </c>
      <c r="I29" s="135">
        <f t="shared" si="13"/>
        <v>-589.55445441400639</v>
      </c>
      <c r="J29" s="135">
        <f t="shared" si="13"/>
        <v>-633.22257361676031</v>
      </c>
      <c r="K29" s="135">
        <f t="shared" si="13"/>
        <v>-683.47117170221463</v>
      </c>
      <c r="L29" s="135">
        <f t="shared" si="13"/>
        <v>0</v>
      </c>
      <c r="M29" s="135">
        <f t="shared" si="13"/>
        <v>0</v>
      </c>
      <c r="N29" s="135">
        <f t="shared" si="13"/>
        <v>0</v>
      </c>
      <c r="O29" s="135">
        <f t="shared" si="13"/>
        <v>0</v>
      </c>
      <c r="P29" s="135">
        <f t="shared" si="13"/>
        <v>0</v>
      </c>
      <c r="Q29" s="135">
        <f t="shared" si="13"/>
        <v>0</v>
      </c>
      <c r="R29" s="135">
        <f t="shared" si="13"/>
        <v>0</v>
      </c>
      <c r="S29" s="135">
        <f t="shared" si="13"/>
        <v>0</v>
      </c>
      <c r="T29" s="135">
        <f t="shared" si="13"/>
        <v>-148.0436596085174</v>
      </c>
      <c r="U29" s="135">
        <f t="shared" si="13"/>
        <v>-142.06237225197776</v>
      </c>
      <c r="V29" s="135">
        <f t="shared" si="13"/>
        <v>-138.22113163811002</v>
      </c>
      <c r="W29" s="135">
        <f t="shared" si="13"/>
        <v>-133.01739079944073</v>
      </c>
      <c r="X29" s="135">
        <f t="shared" si="13"/>
        <v>-126.44844205874379</v>
      </c>
      <c r="Y29" s="135">
        <f t="shared" si="13"/>
        <v>-119.67516227173319</v>
      </c>
      <c r="Z29" s="135">
        <f t="shared" si="13"/>
        <v>-112.69159126165029</v>
      </c>
      <c r="AA29" s="135">
        <f t="shared" si="13"/>
        <v>-105.49159344152596</v>
      </c>
      <c r="AB29" s="135">
        <f t="shared" si="13"/>
        <v>-98.06885261977655</v>
      </c>
      <c r="AC29" s="135">
        <f t="shared" si="13"/>
        <v>-90.416866651325392</v>
      </c>
      <c r="AD29" s="135">
        <f t="shared" si="13"/>
        <v>-82.528941929642471</v>
      </c>
      <c r="AE29" s="135">
        <f t="shared" si="13"/>
        <v>-74.398187714960017</v>
      </c>
      <c r="AF29" s="135">
        <f t="shared" si="13"/>
        <v>0</v>
      </c>
    </row>
    <row r="30" spans="1:32">
      <c r="A30" s="130" t="s">
        <v>213</v>
      </c>
      <c r="B30" s="44">
        <f t="shared" ref="B30:AF30" si="14">SUM(B28:B29)</f>
        <v>6545.9888397394798</v>
      </c>
      <c r="C30" s="44">
        <f t="shared" si="14"/>
        <v>442.34970598979777</v>
      </c>
      <c r="D30" s="44">
        <f t="shared" si="14"/>
        <v>1493.9670233593847</v>
      </c>
      <c r="E30" s="44">
        <f t="shared" si="14"/>
        <v>2868.9657536574014</v>
      </c>
      <c r="F30" s="44">
        <f t="shared" si="14"/>
        <v>4140.9124957513559</v>
      </c>
      <c r="G30" s="44">
        <f t="shared" si="14"/>
        <v>5795.5551247981803</v>
      </c>
      <c r="H30" s="44">
        <f t="shared" si="14"/>
        <v>7293.5712117257135</v>
      </c>
      <c r="I30" s="44">
        <f t="shared" si="14"/>
        <v>7832.6520372146551</v>
      </c>
      <c r="J30" s="44">
        <f t="shared" si="14"/>
        <v>8412.8141923369585</v>
      </c>
      <c r="K30" s="44">
        <f t="shared" si="14"/>
        <v>9080.4027097579929</v>
      </c>
      <c r="L30" s="44">
        <f t="shared" si="14"/>
        <v>-3231.0027982225956</v>
      </c>
      <c r="M30" s="44">
        <f t="shared" si="14"/>
        <v>-3265.9577151702042</v>
      </c>
      <c r="N30" s="44">
        <f t="shared" si="14"/>
        <v>-3324.6651443916953</v>
      </c>
      <c r="O30" s="44">
        <f t="shared" si="14"/>
        <v>-3405.5634878510582</v>
      </c>
      <c r="P30" s="44">
        <f t="shared" si="14"/>
        <v>-3468.7156699824072</v>
      </c>
      <c r="Q30" s="44">
        <f t="shared" si="14"/>
        <v>-594.12877413178876</v>
      </c>
      <c r="R30" s="44">
        <f t="shared" si="14"/>
        <v>2278.0707589116973</v>
      </c>
      <c r="S30" s="44">
        <f t="shared" si="14"/>
        <v>2197.7543036011302</v>
      </c>
      <c r="T30" s="44">
        <f t="shared" si="14"/>
        <v>1966.8657633703024</v>
      </c>
      <c r="U30" s="44">
        <f t="shared" si="14"/>
        <v>1887.4000884905618</v>
      </c>
      <c r="V30" s="44">
        <f t="shared" si="14"/>
        <v>1836.3664631920328</v>
      </c>
      <c r="W30" s="44">
        <f t="shared" si="14"/>
        <v>1767.2310491925696</v>
      </c>
      <c r="X30" s="44">
        <f t="shared" si="14"/>
        <v>1679.9578730661674</v>
      </c>
      <c r="Y30" s="44">
        <f t="shared" si="14"/>
        <v>1589.9700130387407</v>
      </c>
      <c r="Z30" s="44">
        <f t="shared" si="14"/>
        <v>1497.1882839047823</v>
      </c>
      <c r="AA30" s="44">
        <f t="shared" si="14"/>
        <v>1401.5311700088448</v>
      </c>
      <c r="AB30" s="44">
        <f t="shared" si="14"/>
        <v>1302.9147562341739</v>
      </c>
      <c r="AC30" s="44">
        <f t="shared" si="14"/>
        <v>1201.2526569390373</v>
      </c>
      <c r="AD30" s="44">
        <f t="shared" si="14"/>
        <v>1096.4559427795355</v>
      </c>
      <c r="AE30" s="44">
        <f t="shared" si="14"/>
        <v>988.43306535589716</v>
      </c>
      <c r="AF30" s="44">
        <f t="shared" si="14"/>
        <v>-9058.5704487988296</v>
      </c>
    </row>
    <row r="31" spans="1:32">
      <c r="A31" s="130"/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</row>
    <row r="32" spans="1:32">
      <c r="A32" s="21" t="s">
        <v>79</v>
      </c>
      <c r="B32" s="136">
        <f>Assumptions!$N$50</f>
        <v>0.35</v>
      </c>
      <c r="C32" s="136">
        <f>Assumptions!$N$50</f>
        <v>0.35</v>
      </c>
      <c r="D32" s="136">
        <f>Assumptions!$N$50</f>
        <v>0.35</v>
      </c>
      <c r="E32" s="136">
        <f>Assumptions!$N$50</f>
        <v>0.35</v>
      </c>
      <c r="F32" s="136">
        <f>Assumptions!$N$50</f>
        <v>0.35</v>
      </c>
      <c r="G32" s="136">
        <f>Assumptions!$N$50</f>
        <v>0.35</v>
      </c>
      <c r="H32" s="136">
        <f>Assumptions!$N$50</f>
        <v>0.35</v>
      </c>
      <c r="I32" s="136">
        <f>Assumptions!$N$50</f>
        <v>0.35</v>
      </c>
      <c r="J32" s="136">
        <f>Assumptions!$N$50</f>
        <v>0.35</v>
      </c>
      <c r="K32" s="136">
        <f>Assumptions!$N$50</f>
        <v>0.35</v>
      </c>
      <c r="L32" s="136">
        <f>Assumptions!$N$50</f>
        <v>0.35</v>
      </c>
      <c r="M32" s="136">
        <f>Assumptions!$N$50</f>
        <v>0.35</v>
      </c>
      <c r="N32" s="136">
        <f>Assumptions!$N$50</f>
        <v>0.35</v>
      </c>
      <c r="O32" s="136">
        <f>Assumptions!$N$50</f>
        <v>0.35</v>
      </c>
      <c r="P32" s="136">
        <f>Assumptions!$N$50</f>
        <v>0.35</v>
      </c>
      <c r="Q32" s="136">
        <f>Assumptions!$N$50</f>
        <v>0.35</v>
      </c>
      <c r="R32" s="136">
        <f>Assumptions!$N$50</f>
        <v>0.35</v>
      </c>
      <c r="S32" s="136">
        <f>Assumptions!$N$50</f>
        <v>0.35</v>
      </c>
      <c r="T32" s="136">
        <f>Assumptions!$N$50</f>
        <v>0.35</v>
      </c>
      <c r="U32" s="136">
        <f>Assumptions!$N$50</f>
        <v>0.35</v>
      </c>
      <c r="V32" s="136">
        <f>Assumptions!$N$50</f>
        <v>0.35</v>
      </c>
      <c r="W32" s="136">
        <f>Assumptions!$N$50</f>
        <v>0.35</v>
      </c>
      <c r="X32" s="136">
        <f>Assumptions!$N$50</f>
        <v>0.35</v>
      </c>
      <c r="Y32" s="136">
        <f>Assumptions!$N$50</f>
        <v>0.35</v>
      </c>
      <c r="Z32" s="136">
        <f>Assumptions!$N$50</f>
        <v>0.35</v>
      </c>
      <c r="AA32" s="136">
        <f>Assumptions!$N$50</f>
        <v>0.35</v>
      </c>
      <c r="AB32" s="136">
        <f>Assumptions!$N$50</f>
        <v>0.35</v>
      </c>
      <c r="AC32" s="136">
        <f>Assumptions!$N$50</f>
        <v>0.35</v>
      </c>
      <c r="AD32" s="136">
        <f>Assumptions!$N$50</f>
        <v>0.35</v>
      </c>
      <c r="AE32" s="136">
        <f>Assumptions!$N$50</f>
        <v>0.35</v>
      </c>
      <c r="AF32" s="136">
        <f>Assumptions!$N$50</f>
        <v>0.35</v>
      </c>
    </row>
    <row r="33" spans="1:32">
      <c r="A33" s="21" t="s">
        <v>80</v>
      </c>
      <c r="B33" s="19">
        <f>B30*B32</f>
        <v>2291.0960939088177</v>
      </c>
      <c r="C33" s="19">
        <f t="shared" ref="C33:W33" si="15">C30*C32</f>
        <v>154.8223970964292</v>
      </c>
      <c r="D33" s="19">
        <f t="shared" si="15"/>
        <v>522.88845817578465</v>
      </c>
      <c r="E33" s="19">
        <f t="shared" si="15"/>
        <v>1004.1380137800904</v>
      </c>
      <c r="F33" s="19">
        <f t="shared" si="15"/>
        <v>1449.3193735129744</v>
      </c>
      <c r="G33" s="19">
        <f t="shared" si="15"/>
        <v>2028.444293679363</v>
      </c>
      <c r="H33" s="19">
        <f t="shared" si="15"/>
        <v>2552.7499241039995</v>
      </c>
      <c r="I33" s="19">
        <f t="shared" si="15"/>
        <v>2741.428213025129</v>
      </c>
      <c r="J33" s="19">
        <f t="shared" si="15"/>
        <v>2944.4849673179351</v>
      </c>
      <c r="K33" s="19">
        <f t="shared" si="15"/>
        <v>3178.1409484152973</v>
      </c>
      <c r="L33" s="19">
        <f t="shared" si="15"/>
        <v>-1130.8509793779083</v>
      </c>
      <c r="M33" s="19">
        <f t="shared" si="15"/>
        <v>-1143.0852003095713</v>
      </c>
      <c r="N33" s="19">
        <f t="shared" si="15"/>
        <v>-1163.6328005370933</v>
      </c>
      <c r="O33" s="19">
        <f t="shared" si="15"/>
        <v>-1191.9472207478702</v>
      </c>
      <c r="P33" s="19">
        <f t="shared" si="15"/>
        <v>-1214.0504844938425</v>
      </c>
      <c r="Q33" s="19">
        <f t="shared" si="15"/>
        <v>-207.94507094612607</v>
      </c>
      <c r="R33" s="19">
        <f t="shared" si="15"/>
        <v>797.32476561909402</v>
      </c>
      <c r="S33" s="19">
        <f t="shared" si="15"/>
        <v>769.21400626039554</v>
      </c>
      <c r="T33" s="19">
        <f t="shared" si="15"/>
        <v>688.40301717960574</v>
      </c>
      <c r="U33" s="19">
        <f t="shared" si="15"/>
        <v>660.59003097169659</v>
      </c>
      <c r="V33" s="19">
        <f t="shared" si="15"/>
        <v>642.72826211721144</v>
      </c>
      <c r="W33" s="19">
        <f t="shared" si="15"/>
        <v>618.5308672173993</v>
      </c>
      <c r="X33" s="19">
        <f t="shared" ref="X33:AF33" si="16">X30*X32</f>
        <v>587.9852555731585</v>
      </c>
      <c r="Y33" s="19">
        <f t="shared" si="16"/>
        <v>556.48950456355919</v>
      </c>
      <c r="Z33" s="19">
        <f t="shared" si="16"/>
        <v>524.01589936667381</v>
      </c>
      <c r="AA33" s="19">
        <f t="shared" si="16"/>
        <v>490.53590950309564</v>
      </c>
      <c r="AB33" s="19">
        <f t="shared" si="16"/>
        <v>456.02016468196081</v>
      </c>
      <c r="AC33" s="19">
        <f t="shared" si="16"/>
        <v>420.43842992866303</v>
      </c>
      <c r="AD33" s="19">
        <f t="shared" si="16"/>
        <v>383.7595799728374</v>
      </c>
      <c r="AE33" s="19">
        <f t="shared" si="16"/>
        <v>345.95157287456396</v>
      </c>
      <c r="AF33" s="19">
        <f t="shared" si="16"/>
        <v>-3170.4996570795902</v>
      </c>
    </row>
    <row r="34" spans="1:32">
      <c r="A34" s="13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</row>
    <row r="35" spans="1:32">
      <c r="A35" s="21" t="s">
        <v>74</v>
      </c>
      <c r="B35" s="19">
        <v>0</v>
      </c>
      <c r="C35" s="19">
        <f t="shared" ref="C35:S35" si="17">B39</f>
        <v>0</v>
      </c>
      <c r="D35" s="19">
        <f t="shared" si="17"/>
        <v>0</v>
      </c>
      <c r="E35" s="19">
        <f t="shared" si="17"/>
        <v>0</v>
      </c>
      <c r="F35" s="19">
        <f t="shared" si="17"/>
        <v>0</v>
      </c>
      <c r="G35" s="19">
        <f t="shared" si="17"/>
        <v>0</v>
      </c>
      <c r="H35" s="19">
        <f t="shared" si="17"/>
        <v>0</v>
      </c>
      <c r="I35" s="19">
        <f t="shared" si="17"/>
        <v>0</v>
      </c>
      <c r="J35" s="19">
        <f t="shared" si="17"/>
        <v>0</v>
      </c>
      <c r="K35" s="19">
        <f t="shared" si="17"/>
        <v>0</v>
      </c>
      <c r="L35" s="19">
        <f t="shared" si="17"/>
        <v>0</v>
      </c>
      <c r="M35" s="19">
        <f t="shared" si="17"/>
        <v>1130.8509793779083</v>
      </c>
      <c r="N35" s="19">
        <f t="shared" si="17"/>
        <v>2273.9361796874796</v>
      </c>
      <c r="O35" s="19">
        <f t="shared" si="17"/>
        <v>3437.5689802245729</v>
      </c>
      <c r="P35" s="19">
        <f t="shared" si="17"/>
        <v>4629.5162009724427</v>
      </c>
      <c r="Q35" s="19">
        <f t="shared" si="17"/>
        <v>5843.566685466285</v>
      </c>
      <c r="R35" s="19">
        <f t="shared" si="17"/>
        <v>6051.5117564124112</v>
      </c>
      <c r="S35" s="19">
        <f t="shared" si="17"/>
        <v>5254.1869907933169</v>
      </c>
      <c r="T35" s="19">
        <v>0</v>
      </c>
      <c r="U35" s="19">
        <f t="shared" ref="U35:AF35" si="18">T39</f>
        <v>0</v>
      </c>
      <c r="V35" s="19">
        <f t="shared" si="18"/>
        <v>0</v>
      </c>
      <c r="W35" s="19">
        <f t="shared" si="18"/>
        <v>0</v>
      </c>
      <c r="X35" s="19">
        <f t="shared" si="18"/>
        <v>0</v>
      </c>
      <c r="Y35" s="19">
        <f t="shared" si="18"/>
        <v>0</v>
      </c>
      <c r="Z35" s="19">
        <f t="shared" si="18"/>
        <v>0</v>
      </c>
      <c r="AA35" s="19">
        <f t="shared" si="18"/>
        <v>0</v>
      </c>
      <c r="AB35" s="19">
        <f t="shared" si="18"/>
        <v>0</v>
      </c>
      <c r="AC35" s="19">
        <f t="shared" si="18"/>
        <v>0</v>
      </c>
      <c r="AD35" s="19">
        <f t="shared" si="18"/>
        <v>0</v>
      </c>
      <c r="AE35" s="19">
        <f t="shared" si="18"/>
        <v>0</v>
      </c>
      <c r="AF35" s="19">
        <f t="shared" si="18"/>
        <v>0</v>
      </c>
    </row>
    <row r="36" spans="1:32">
      <c r="A36" s="21" t="s">
        <v>75</v>
      </c>
      <c r="B36" s="140">
        <f>IF(B33&lt;0,-B33,0)</f>
        <v>0</v>
      </c>
      <c r="C36" s="140">
        <f t="shared" ref="C36:AF36" si="19">IF(C33&lt;0,-C33,0)</f>
        <v>0</v>
      </c>
      <c r="D36" s="140">
        <f t="shared" si="19"/>
        <v>0</v>
      </c>
      <c r="E36" s="140">
        <f t="shared" si="19"/>
        <v>0</v>
      </c>
      <c r="F36" s="140">
        <f t="shared" si="19"/>
        <v>0</v>
      </c>
      <c r="G36" s="140">
        <f t="shared" si="19"/>
        <v>0</v>
      </c>
      <c r="H36" s="140">
        <f t="shared" si="19"/>
        <v>0</v>
      </c>
      <c r="I36" s="140">
        <f t="shared" si="19"/>
        <v>0</v>
      </c>
      <c r="J36" s="140">
        <f t="shared" si="19"/>
        <v>0</v>
      </c>
      <c r="K36" s="140">
        <f t="shared" si="19"/>
        <v>0</v>
      </c>
      <c r="L36" s="140">
        <f t="shared" si="19"/>
        <v>1130.8509793779083</v>
      </c>
      <c r="M36" s="140">
        <f t="shared" si="19"/>
        <v>1143.0852003095713</v>
      </c>
      <c r="N36" s="140">
        <f t="shared" si="19"/>
        <v>1163.6328005370933</v>
      </c>
      <c r="O36" s="140">
        <f t="shared" si="19"/>
        <v>1191.9472207478702</v>
      </c>
      <c r="P36" s="140">
        <f t="shared" si="19"/>
        <v>1214.0504844938425</v>
      </c>
      <c r="Q36" s="140">
        <f t="shared" si="19"/>
        <v>207.94507094612607</v>
      </c>
      <c r="R36" s="140">
        <f t="shared" si="19"/>
        <v>0</v>
      </c>
      <c r="S36" s="140">
        <f t="shared" si="19"/>
        <v>0</v>
      </c>
      <c r="T36" s="140">
        <f t="shared" si="19"/>
        <v>0</v>
      </c>
      <c r="U36" s="140">
        <f t="shared" si="19"/>
        <v>0</v>
      </c>
      <c r="V36" s="140">
        <f t="shared" si="19"/>
        <v>0</v>
      </c>
      <c r="W36" s="140">
        <f t="shared" si="19"/>
        <v>0</v>
      </c>
      <c r="X36" s="140">
        <f t="shared" si="19"/>
        <v>0</v>
      </c>
      <c r="Y36" s="140">
        <f t="shared" si="19"/>
        <v>0</v>
      </c>
      <c r="Z36" s="140">
        <f t="shared" si="19"/>
        <v>0</v>
      </c>
      <c r="AA36" s="140">
        <f t="shared" si="19"/>
        <v>0</v>
      </c>
      <c r="AB36" s="140">
        <f t="shared" si="19"/>
        <v>0</v>
      </c>
      <c r="AC36" s="140">
        <f t="shared" si="19"/>
        <v>0</v>
      </c>
      <c r="AD36" s="140">
        <f t="shared" si="19"/>
        <v>0</v>
      </c>
      <c r="AE36" s="140">
        <f t="shared" si="19"/>
        <v>0</v>
      </c>
      <c r="AF36" s="140">
        <f t="shared" si="19"/>
        <v>3170.4996570795902</v>
      </c>
    </row>
    <row r="37" spans="1:32">
      <c r="A37" s="13" t="s">
        <v>291</v>
      </c>
      <c r="B37" s="469">
        <v>0</v>
      </c>
      <c r="C37" s="470">
        <v>0</v>
      </c>
      <c r="D37" s="470">
        <v>0</v>
      </c>
      <c r="E37" s="470">
        <v>0</v>
      </c>
      <c r="F37" s="470">
        <v>0</v>
      </c>
      <c r="G37" s="470">
        <v>0</v>
      </c>
      <c r="H37" s="470">
        <v>0</v>
      </c>
      <c r="I37" s="470">
        <v>0</v>
      </c>
      <c r="J37" s="470">
        <v>0</v>
      </c>
      <c r="K37" s="470">
        <v>0</v>
      </c>
      <c r="L37" s="470">
        <v>0</v>
      </c>
      <c r="M37" s="470">
        <v>0</v>
      </c>
      <c r="N37" s="470">
        <v>0</v>
      </c>
      <c r="O37" s="470">
        <v>0</v>
      </c>
      <c r="P37" s="471">
        <v>0</v>
      </c>
      <c r="Q37" s="472">
        <f>IF(-SUM(B38:P38, B37:P37)&gt;B36,0,-B36-SUM(B38:P38,B37:P37))</f>
        <v>0</v>
      </c>
      <c r="R37" s="472">
        <f t="shared" ref="R37:AF37" si="20">IF(-SUM(C38:Q38, C37:Q37)&gt;C36,0,-C36-SUM(C38:Q38,C37:Q37))</f>
        <v>0</v>
      </c>
      <c r="S37" s="472">
        <f t="shared" si="20"/>
        <v>0</v>
      </c>
      <c r="T37" s="472">
        <f t="shared" si="20"/>
        <v>0</v>
      </c>
      <c r="U37" s="472">
        <f t="shared" si="20"/>
        <v>0</v>
      </c>
      <c r="V37" s="472">
        <f t="shared" si="20"/>
        <v>0</v>
      </c>
      <c r="W37" s="472">
        <f t="shared" si="20"/>
        <v>0</v>
      </c>
      <c r="X37" s="472">
        <f t="shared" si="20"/>
        <v>0</v>
      </c>
      <c r="Y37" s="472">
        <f t="shared" si="20"/>
        <v>0</v>
      </c>
      <c r="Z37" s="472">
        <f t="shared" si="20"/>
        <v>0</v>
      </c>
      <c r="AA37" s="472">
        <f t="shared" si="20"/>
        <v>0</v>
      </c>
      <c r="AB37" s="472">
        <f t="shared" si="20"/>
        <v>0</v>
      </c>
      <c r="AC37" s="472">
        <f t="shared" si="20"/>
        <v>0</v>
      </c>
      <c r="AD37" s="472">
        <f t="shared" si="20"/>
        <v>0</v>
      </c>
      <c r="AE37" s="472">
        <f t="shared" si="20"/>
        <v>0</v>
      </c>
      <c r="AF37" s="472">
        <f t="shared" si="20"/>
        <v>0</v>
      </c>
    </row>
    <row r="38" spans="1:32">
      <c r="A38" s="13" t="s">
        <v>292</v>
      </c>
      <c r="B38" s="133">
        <f>IF(B33&lt;0,0,IF(B35&gt;B33,-B33,-B35))</f>
        <v>0</v>
      </c>
      <c r="C38" s="133">
        <f t="shared" ref="C38:V38" si="21">IF(C33&lt;0,0,IF(C35&gt;C33,-C33,-C35))</f>
        <v>0</v>
      </c>
      <c r="D38" s="133">
        <f t="shared" si="21"/>
        <v>0</v>
      </c>
      <c r="E38" s="133">
        <f t="shared" si="21"/>
        <v>0</v>
      </c>
      <c r="F38" s="133">
        <f t="shared" si="21"/>
        <v>0</v>
      </c>
      <c r="G38" s="133">
        <f t="shared" si="21"/>
        <v>0</v>
      </c>
      <c r="H38" s="133">
        <f t="shared" si="21"/>
        <v>0</v>
      </c>
      <c r="I38" s="133">
        <f t="shared" si="21"/>
        <v>0</v>
      </c>
      <c r="J38" s="133">
        <f t="shared" si="21"/>
        <v>0</v>
      </c>
      <c r="K38" s="133">
        <f t="shared" si="21"/>
        <v>0</v>
      </c>
      <c r="L38" s="133">
        <f t="shared" si="21"/>
        <v>0</v>
      </c>
      <c r="M38" s="133">
        <f t="shared" si="21"/>
        <v>0</v>
      </c>
      <c r="N38" s="133">
        <f t="shared" si="21"/>
        <v>0</v>
      </c>
      <c r="O38" s="133">
        <f t="shared" si="21"/>
        <v>0</v>
      </c>
      <c r="P38" s="133">
        <f t="shared" si="21"/>
        <v>0</v>
      </c>
      <c r="Q38" s="133">
        <f t="shared" si="21"/>
        <v>0</v>
      </c>
      <c r="R38" s="133">
        <f t="shared" si="21"/>
        <v>-797.32476561909402</v>
      </c>
      <c r="S38" s="133">
        <f t="shared" si="21"/>
        <v>-769.21400626039554</v>
      </c>
      <c r="T38" s="133">
        <f t="shared" si="21"/>
        <v>0</v>
      </c>
      <c r="U38" s="133">
        <f t="shared" si="21"/>
        <v>0</v>
      </c>
      <c r="V38" s="133">
        <f t="shared" si="21"/>
        <v>0</v>
      </c>
      <c r="W38" s="133">
        <f>IF(W33&lt;0,0,IF(W35&gt;W33,-W33,-W35))</f>
        <v>0</v>
      </c>
      <c r="X38" s="133">
        <f t="shared" ref="X38:AF38" si="22">IF(X33&lt;0,0,IF(X35&gt;X33,-X33,-X35))</f>
        <v>0</v>
      </c>
      <c r="Y38" s="133">
        <f t="shared" si="22"/>
        <v>0</v>
      </c>
      <c r="Z38" s="133">
        <f t="shared" si="22"/>
        <v>0</v>
      </c>
      <c r="AA38" s="133">
        <f t="shared" si="22"/>
        <v>0</v>
      </c>
      <c r="AB38" s="133">
        <f t="shared" si="22"/>
        <v>0</v>
      </c>
      <c r="AC38" s="133">
        <f t="shared" si="22"/>
        <v>0</v>
      </c>
      <c r="AD38" s="133">
        <f t="shared" si="22"/>
        <v>0</v>
      </c>
      <c r="AE38" s="133">
        <f t="shared" si="22"/>
        <v>0</v>
      </c>
      <c r="AF38" s="133">
        <f t="shared" si="22"/>
        <v>0</v>
      </c>
    </row>
    <row r="39" spans="1:32">
      <c r="A39" s="13" t="s">
        <v>76</v>
      </c>
      <c r="B39" s="133">
        <f t="shared" ref="B39:AF39" si="23">SUM(B35:B38)</f>
        <v>0</v>
      </c>
      <c r="C39" s="133">
        <f t="shared" si="23"/>
        <v>0</v>
      </c>
      <c r="D39" s="133">
        <f t="shared" si="23"/>
        <v>0</v>
      </c>
      <c r="E39" s="133">
        <f t="shared" si="23"/>
        <v>0</v>
      </c>
      <c r="F39" s="133">
        <f t="shared" si="23"/>
        <v>0</v>
      </c>
      <c r="G39" s="133">
        <f t="shared" si="23"/>
        <v>0</v>
      </c>
      <c r="H39" s="133">
        <f t="shared" si="23"/>
        <v>0</v>
      </c>
      <c r="I39" s="133">
        <f t="shared" si="23"/>
        <v>0</v>
      </c>
      <c r="J39" s="133">
        <f t="shared" si="23"/>
        <v>0</v>
      </c>
      <c r="K39" s="133">
        <f t="shared" si="23"/>
        <v>0</v>
      </c>
      <c r="L39" s="133">
        <f t="shared" si="23"/>
        <v>1130.8509793779083</v>
      </c>
      <c r="M39" s="133">
        <f t="shared" si="23"/>
        <v>2273.9361796874796</v>
      </c>
      <c r="N39" s="133">
        <f t="shared" si="23"/>
        <v>3437.5689802245729</v>
      </c>
      <c r="O39" s="133">
        <f t="shared" si="23"/>
        <v>4629.5162009724427</v>
      </c>
      <c r="P39" s="133">
        <f t="shared" si="23"/>
        <v>5843.566685466285</v>
      </c>
      <c r="Q39" s="133">
        <f t="shared" si="23"/>
        <v>6051.5117564124112</v>
      </c>
      <c r="R39" s="133">
        <f t="shared" si="23"/>
        <v>5254.1869907933169</v>
      </c>
      <c r="S39" s="133">
        <f t="shared" si="23"/>
        <v>4484.9729845329211</v>
      </c>
      <c r="T39" s="133">
        <f t="shared" si="23"/>
        <v>0</v>
      </c>
      <c r="U39" s="133">
        <f t="shared" si="23"/>
        <v>0</v>
      </c>
      <c r="V39" s="133">
        <f t="shared" si="23"/>
        <v>0</v>
      </c>
      <c r="W39" s="133">
        <f t="shared" si="23"/>
        <v>0</v>
      </c>
      <c r="X39" s="133">
        <f t="shared" si="23"/>
        <v>0</v>
      </c>
      <c r="Y39" s="133">
        <f t="shared" si="23"/>
        <v>0</v>
      </c>
      <c r="Z39" s="133">
        <f t="shared" si="23"/>
        <v>0</v>
      </c>
      <c r="AA39" s="133">
        <f t="shared" si="23"/>
        <v>0</v>
      </c>
      <c r="AB39" s="133">
        <f t="shared" si="23"/>
        <v>0</v>
      </c>
      <c r="AC39" s="133">
        <f t="shared" si="23"/>
        <v>0</v>
      </c>
      <c r="AD39" s="133">
        <f t="shared" si="23"/>
        <v>0</v>
      </c>
      <c r="AE39" s="133">
        <f t="shared" si="23"/>
        <v>0</v>
      </c>
      <c r="AF39" s="133">
        <f t="shared" si="23"/>
        <v>3170.4996570795902</v>
      </c>
    </row>
    <row r="40" spans="1:32">
      <c r="A40" s="13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</row>
    <row r="41" spans="1:32">
      <c r="A41" s="43" t="s">
        <v>214</v>
      </c>
      <c r="B41" s="137">
        <f>IF(B30&lt;0,0,B38+B33)</f>
        <v>2291.0960939088177</v>
      </c>
      <c r="C41" s="137">
        <f t="shared" ref="C41:AF41" si="24">IF(C30&lt;0,0,C38+C33)</f>
        <v>154.8223970964292</v>
      </c>
      <c r="D41" s="137">
        <f t="shared" si="24"/>
        <v>522.88845817578465</v>
      </c>
      <c r="E41" s="137">
        <f t="shared" si="24"/>
        <v>1004.1380137800904</v>
      </c>
      <c r="F41" s="137">
        <f t="shared" si="24"/>
        <v>1449.3193735129744</v>
      </c>
      <c r="G41" s="137">
        <f t="shared" si="24"/>
        <v>2028.444293679363</v>
      </c>
      <c r="H41" s="137">
        <f t="shared" si="24"/>
        <v>2552.7499241039995</v>
      </c>
      <c r="I41" s="137">
        <f t="shared" si="24"/>
        <v>2741.428213025129</v>
      </c>
      <c r="J41" s="137">
        <f t="shared" si="24"/>
        <v>2944.4849673179351</v>
      </c>
      <c r="K41" s="137">
        <f t="shared" si="24"/>
        <v>3178.1409484152973</v>
      </c>
      <c r="L41" s="137">
        <f t="shared" si="24"/>
        <v>0</v>
      </c>
      <c r="M41" s="137">
        <f t="shared" si="24"/>
        <v>0</v>
      </c>
      <c r="N41" s="137">
        <f t="shared" si="24"/>
        <v>0</v>
      </c>
      <c r="O41" s="137">
        <f t="shared" si="24"/>
        <v>0</v>
      </c>
      <c r="P41" s="137">
        <f t="shared" si="24"/>
        <v>0</v>
      </c>
      <c r="Q41" s="137">
        <f t="shared" si="24"/>
        <v>0</v>
      </c>
      <c r="R41" s="137">
        <f t="shared" si="24"/>
        <v>0</v>
      </c>
      <c r="S41" s="137">
        <f t="shared" si="24"/>
        <v>0</v>
      </c>
      <c r="T41" s="137">
        <f t="shared" si="24"/>
        <v>688.40301717960574</v>
      </c>
      <c r="U41" s="137">
        <f t="shared" si="24"/>
        <v>660.59003097169659</v>
      </c>
      <c r="V41" s="137">
        <f t="shared" si="24"/>
        <v>642.72826211721144</v>
      </c>
      <c r="W41" s="137">
        <f t="shared" si="24"/>
        <v>618.5308672173993</v>
      </c>
      <c r="X41" s="137">
        <f t="shared" si="24"/>
        <v>587.9852555731585</v>
      </c>
      <c r="Y41" s="137">
        <f t="shared" si="24"/>
        <v>556.48950456355919</v>
      </c>
      <c r="Z41" s="137">
        <f t="shared" si="24"/>
        <v>524.01589936667381</v>
      </c>
      <c r="AA41" s="137">
        <f t="shared" si="24"/>
        <v>490.53590950309564</v>
      </c>
      <c r="AB41" s="137">
        <f t="shared" si="24"/>
        <v>456.02016468196081</v>
      </c>
      <c r="AC41" s="137">
        <f t="shared" si="24"/>
        <v>420.43842992866303</v>
      </c>
      <c r="AD41" s="137">
        <f t="shared" si="24"/>
        <v>383.7595799728374</v>
      </c>
      <c r="AE41" s="137">
        <f t="shared" si="24"/>
        <v>345.95157287456396</v>
      </c>
      <c r="AF41" s="137">
        <f t="shared" si="24"/>
        <v>0</v>
      </c>
    </row>
    <row r="42" spans="1:32">
      <c r="A42" s="43"/>
      <c r="B42" s="137"/>
      <c r="C42" s="137"/>
      <c r="D42" s="137"/>
      <c r="E42" s="137"/>
      <c r="F42" s="137"/>
      <c r="G42" s="137"/>
      <c r="H42" s="137"/>
      <c r="I42" s="137"/>
      <c r="J42" s="137"/>
      <c r="K42" s="137"/>
      <c r="L42" s="137"/>
      <c r="M42" s="137"/>
      <c r="N42" s="137"/>
      <c r="O42" s="137"/>
      <c r="P42" s="137"/>
      <c r="Q42" s="137"/>
      <c r="R42" s="137"/>
      <c r="S42" s="137"/>
      <c r="T42" s="137"/>
      <c r="U42" s="137"/>
      <c r="V42" s="137"/>
      <c r="W42" s="137"/>
      <c r="X42" s="92"/>
      <c r="Y42" s="92"/>
    </row>
    <row r="43" spans="1:32">
      <c r="C43" s="77"/>
      <c r="D43" s="77"/>
      <c r="E43" s="77"/>
      <c r="F43" s="77"/>
      <c r="G43" s="77"/>
      <c r="H43" s="77"/>
      <c r="I43" s="77"/>
      <c r="J43" s="77"/>
      <c r="K43" s="77"/>
      <c r="L43" s="77"/>
      <c r="M43" s="77"/>
      <c r="N43" s="77"/>
      <c r="O43" s="77"/>
      <c r="P43" s="77"/>
      <c r="Q43" s="77"/>
      <c r="R43" s="77"/>
      <c r="S43" s="77"/>
      <c r="T43" s="77"/>
      <c r="U43" s="77"/>
      <c r="V43" s="77"/>
      <c r="W43" s="77"/>
      <c r="X43" s="91"/>
      <c r="Y43" s="91"/>
    </row>
    <row r="44" spans="1:32">
      <c r="C44" s="66"/>
      <c r="D44" s="66"/>
      <c r="E44" s="66"/>
      <c r="F44" s="66"/>
      <c r="G44" s="66"/>
      <c r="H44" s="66"/>
      <c r="I44" s="66"/>
      <c r="J44" s="66"/>
      <c r="K44" s="66"/>
      <c r="L44" s="66"/>
      <c r="M44" s="66"/>
      <c r="N44" s="66"/>
      <c r="O44" s="66"/>
      <c r="P44" s="66"/>
      <c r="Q44" s="66"/>
      <c r="R44" s="66"/>
      <c r="S44" s="66"/>
      <c r="T44" s="66"/>
      <c r="U44" s="66"/>
      <c r="V44" s="66"/>
      <c r="W44" s="66"/>
      <c r="X44" s="66"/>
      <c r="Y44" s="66"/>
      <c r="Z44" s="66"/>
      <c r="AA44" s="66"/>
      <c r="AB44" s="66"/>
      <c r="AC44" s="66"/>
      <c r="AD44" s="66"/>
      <c r="AE44" s="66"/>
      <c r="AF44" s="66"/>
    </row>
    <row r="45" spans="1:32"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</row>
    <row r="46" spans="1:32"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</row>
    <row r="47" spans="1:32">
      <c r="C47" s="66"/>
      <c r="D47" s="66"/>
      <c r="E47" s="66"/>
      <c r="F47" s="66"/>
      <c r="G47" s="66"/>
      <c r="H47" s="66"/>
      <c r="I47" s="66"/>
      <c r="J47" s="66"/>
      <c r="K47" s="66"/>
      <c r="L47" s="66"/>
      <c r="M47" s="66"/>
      <c r="N47" s="66"/>
      <c r="O47" s="66"/>
      <c r="P47" s="66"/>
      <c r="Q47" s="66"/>
      <c r="R47" s="66"/>
      <c r="S47" s="66"/>
      <c r="T47" s="66"/>
      <c r="U47" s="66"/>
      <c r="V47" s="66"/>
      <c r="W47" s="66"/>
      <c r="X47" s="66"/>
      <c r="Y47" s="66"/>
      <c r="Z47" s="66"/>
      <c r="AA47" s="66"/>
      <c r="AB47" s="66"/>
      <c r="AC47" s="66"/>
      <c r="AD47" s="66"/>
      <c r="AE47" s="66"/>
      <c r="AF47" s="66"/>
    </row>
    <row r="48" spans="1:32">
      <c r="X48" s="6"/>
      <c r="Y48" s="6"/>
    </row>
    <row r="49" spans="24:25">
      <c r="X49" s="6"/>
      <c r="Y49" s="6"/>
    </row>
    <row r="50" spans="24:25">
      <c r="X50" s="6"/>
      <c r="Y50" s="6"/>
    </row>
    <row r="51" spans="24:25">
      <c r="X51" s="6"/>
      <c r="Y51" s="6"/>
    </row>
    <row r="52" spans="24:25">
      <c r="X52" s="6"/>
      <c r="Y52" s="6"/>
    </row>
    <row r="53" spans="24:25">
      <c r="X53" s="6"/>
      <c r="Y53" s="6"/>
    </row>
    <row r="54" spans="24:25">
      <c r="X54" s="6"/>
      <c r="Y54" s="6"/>
    </row>
  </sheetData>
  <pageMargins left="0.45" right="0.45" top="0.5" bottom="0.5" header="0.25" footer="0.25"/>
  <pageSetup scale="58" fitToWidth="2" orientation="landscape" r:id="rId1"/>
  <headerFooter alignWithMargins="0">
    <oddFooter xml:space="preserve">&amp;L&amp;T, &amp;D&amp;C&amp;F&amp;R&amp;P </oddFooter>
  </headerFooter>
  <colBreaks count="1" manualBreakCount="1">
    <brk id="16" min="1" max="43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">
    <pageSetUpPr fitToPage="1"/>
  </sheetPr>
  <dimension ref="A2:Y62"/>
  <sheetViews>
    <sheetView topLeftCell="B1" zoomScale="75" zoomScaleNormal="75" workbookViewId="0">
      <selection activeCell="J46" sqref="J46"/>
    </sheetView>
  </sheetViews>
  <sheetFormatPr defaultRowHeight="12.75"/>
  <cols>
    <col min="1" max="1" width="29.5703125" style="12" customWidth="1"/>
    <col min="2" max="16" width="16.28515625" style="12" customWidth="1"/>
    <col min="17" max="21" width="10.5703125" style="12" customWidth="1"/>
    <col min="22" max="23" width="10.85546875" style="12" customWidth="1"/>
    <col min="24" max="32" width="10.85546875" style="5" customWidth="1"/>
    <col min="33" max="16384" width="9.140625" style="5"/>
  </cols>
  <sheetData>
    <row r="2" spans="1:25" ht="18.75">
      <c r="A2" s="87" t="str">
        <f>Assumptions!A3</f>
        <v>PROJECT NAME:  Retail Shorts</v>
      </c>
    </row>
    <row r="4" spans="1:25" ht="18.75">
      <c r="A4" s="61" t="s">
        <v>191</v>
      </c>
      <c r="B4" s="216"/>
      <c r="C4" s="53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70"/>
      <c r="Y4" s="70"/>
    </row>
    <row r="5" spans="1:25">
      <c r="A5" s="63"/>
      <c r="B5" s="79"/>
      <c r="C5" s="14"/>
      <c r="D5" s="14"/>
      <c r="E5" s="14"/>
      <c r="F5" s="14"/>
      <c r="G5" s="14"/>
      <c r="H5" s="14"/>
      <c r="I5" s="76"/>
      <c r="J5" s="14"/>
      <c r="K5" s="14"/>
      <c r="L5" s="14"/>
      <c r="M5" s="14"/>
      <c r="N5" s="14"/>
      <c r="O5" s="76"/>
      <c r="P5" s="14"/>
      <c r="Q5" s="14"/>
      <c r="R5" s="14"/>
      <c r="S5" s="14"/>
      <c r="T5" s="14"/>
      <c r="U5" s="76"/>
      <c r="V5" s="14"/>
      <c r="W5" s="14"/>
      <c r="X5" s="90"/>
      <c r="Y5" s="90"/>
    </row>
    <row r="6" spans="1:25">
      <c r="A6" s="63" t="s">
        <v>353</v>
      </c>
      <c r="B6" s="233"/>
      <c r="C6" s="445">
        <v>33317.08</v>
      </c>
      <c r="D6" s="234"/>
      <c r="E6" s="234"/>
      <c r="F6" s="234"/>
      <c r="G6" s="234"/>
      <c r="H6" s="234"/>
      <c r="I6" s="235"/>
      <c r="J6" s="234"/>
      <c r="K6" s="234"/>
      <c r="L6" s="234"/>
      <c r="M6" s="234"/>
      <c r="N6" s="234"/>
      <c r="O6" s="235"/>
      <c r="P6" s="234"/>
      <c r="Q6" s="234"/>
      <c r="R6" s="234"/>
      <c r="S6" s="234"/>
      <c r="T6" s="234"/>
      <c r="U6" s="235"/>
      <c r="V6" s="234"/>
      <c r="W6" s="234"/>
      <c r="X6" s="237"/>
      <c r="Y6" s="237"/>
    </row>
    <row r="7" spans="1:25">
      <c r="A7" s="63" t="s">
        <v>198</v>
      </c>
      <c r="B7" s="233"/>
      <c r="C7" s="455">
        <v>8</v>
      </c>
      <c r="D7" s="234"/>
      <c r="E7" s="234"/>
      <c r="F7" s="234"/>
      <c r="G7" s="234"/>
      <c r="H7" s="234"/>
      <c r="I7" s="235"/>
      <c r="J7" s="234"/>
      <c r="K7" s="234"/>
      <c r="L7" s="234"/>
      <c r="M7" s="234"/>
      <c r="N7" s="234"/>
      <c r="O7" s="235"/>
      <c r="P7" s="234"/>
      <c r="Q7" s="234"/>
      <c r="R7" s="234"/>
      <c r="S7" s="234"/>
      <c r="T7" s="234"/>
      <c r="U7" s="235"/>
      <c r="V7" s="234"/>
      <c r="W7" s="234"/>
      <c r="X7" s="237"/>
      <c r="Y7" s="237"/>
    </row>
    <row r="8" spans="1:25">
      <c r="A8" s="63" t="s">
        <v>196</v>
      </c>
      <c r="B8" s="233"/>
      <c r="C8" s="528">
        <f>Assumptions!H39</f>
        <v>8.5000000000000006E-2</v>
      </c>
      <c r="D8" s="242">
        <f>C8/360</f>
        <v>2.3611111111111112E-4</v>
      </c>
      <c r="E8" s="234"/>
      <c r="F8" s="234"/>
      <c r="G8" s="234"/>
      <c r="H8" s="234"/>
      <c r="I8" s="235"/>
      <c r="J8" s="234"/>
      <c r="K8" s="234"/>
      <c r="L8" s="234"/>
      <c r="M8" s="234"/>
      <c r="N8" s="234"/>
      <c r="O8" s="235"/>
      <c r="P8" s="234"/>
      <c r="Q8" s="234"/>
      <c r="R8" s="234"/>
      <c r="S8" s="234"/>
      <c r="T8" s="234"/>
      <c r="U8" s="235"/>
      <c r="V8" s="234"/>
      <c r="W8" s="234"/>
      <c r="X8" s="237"/>
      <c r="Y8" s="237"/>
    </row>
    <row r="9" spans="1:25">
      <c r="A9" s="63"/>
      <c r="B9" s="233"/>
      <c r="C9" s="241" t="s">
        <v>197</v>
      </c>
      <c r="D9" s="241" t="s">
        <v>233</v>
      </c>
      <c r="E9" s="234"/>
      <c r="F9" s="234"/>
      <c r="G9" s="234"/>
      <c r="H9" s="234"/>
      <c r="I9" s="235"/>
      <c r="J9" s="234"/>
      <c r="K9" s="234"/>
      <c r="L9" s="234"/>
      <c r="M9" s="234"/>
      <c r="N9" s="234"/>
      <c r="O9" s="235"/>
      <c r="P9" s="234"/>
      <c r="Q9" s="234"/>
      <c r="R9" s="234"/>
      <c r="S9" s="234"/>
      <c r="T9" s="234"/>
      <c r="U9" s="235"/>
      <c r="V9" s="234"/>
      <c r="W9" s="234"/>
      <c r="X9" s="237"/>
      <c r="Y9" s="237"/>
    </row>
    <row r="10" spans="1:25">
      <c r="A10" s="63"/>
      <c r="B10" s="233"/>
      <c r="C10" s="241"/>
      <c r="D10" s="241"/>
      <c r="E10" s="234"/>
      <c r="F10" s="234"/>
      <c r="G10" s="234"/>
      <c r="H10" s="234"/>
      <c r="I10" s="235"/>
      <c r="J10" s="234"/>
      <c r="K10" s="234"/>
      <c r="L10" s="234"/>
      <c r="M10" s="234"/>
      <c r="N10" s="234"/>
      <c r="O10" s="235"/>
      <c r="P10" s="234"/>
      <c r="Q10" s="234"/>
      <c r="R10" s="234"/>
      <c r="S10" s="234"/>
      <c r="T10" s="234"/>
      <c r="U10" s="235"/>
      <c r="V10" s="234"/>
      <c r="W10" s="234"/>
      <c r="X10" s="237"/>
      <c r="Y10" s="237"/>
    </row>
    <row r="11" spans="1:25">
      <c r="A11" s="63"/>
      <c r="B11" s="233"/>
      <c r="C11" s="241"/>
      <c r="D11" s="241"/>
      <c r="E11" s="234"/>
      <c r="F11" s="234"/>
      <c r="G11" s="234"/>
      <c r="H11" s="234"/>
      <c r="I11" s="235"/>
      <c r="J11" s="234"/>
      <c r="K11" s="234"/>
      <c r="L11" s="234"/>
      <c r="M11" s="234"/>
      <c r="N11" s="234"/>
      <c r="O11" s="235"/>
      <c r="P11" s="234"/>
      <c r="Q11" s="234"/>
      <c r="R11" s="234"/>
      <c r="S11" s="234"/>
      <c r="T11" s="234"/>
      <c r="U11" s="235"/>
      <c r="V11" s="234"/>
      <c r="W11" s="234"/>
      <c r="X11" s="237"/>
      <c r="Y11" s="237"/>
    </row>
    <row r="12" spans="1:25">
      <c r="A12" s="5"/>
      <c r="B12" s="230"/>
      <c r="C12" s="230"/>
      <c r="D12" s="231" t="s">
        <v>185</v>
      </c>
      <c r="E12" s="229" t="s">
        <v>192</v>
      </c>
      <c r="F12" s="230"/>
      <c r="G12" s="230"/>
      <c r="H12" s="230"/>
      <c r="I12" s="230"/>
      <c r="J12" s="225"/>
    </row>
    <row r="13" spans="1:25">
      <c r="A13" s="229" t="s">
        <v>182</v>
      </c>
      <c r="B13" s="5"/>
      <c r="C13" s="5"/>
      <c r="D13" s="231" t="s">
        <v>193</v>
      </c>
      <c r="E13" s="231" t="s">
        <v>186</v>
      </c>
      <c r="F13" s="231" t="s">
        <v>187</v>
      </c>
      <c r="G13" s="236" t="s">
        <v>188</v>
      </c>
      <c r="H13" s="231" t="s">
        <v>189</v>
      </c>
      <c r="I13" s="231" t="s">
        <v>190</v>
      </c>
      <c r="J13" s="66"/>
    </row>
    <row r="14" spans="1:25">
      <c r="A14" s="226" t="s">
        <v>183</v>
      </c>
      <c r="B14" s="226" t="s">
        <v>133</v>
      </c>
      <c r="C14" s="226" t="s">
        <v>184</v>
      </c>
      <c r="D14" s="226" t="s">
        <v>195</v>
      </c>
      <c r="E14" s="226" t="s">
        <v>195</v>
      </c>
      <c r="F14" s="226" t="s">
        <v>195</v>
      </c>
      <c r="G14" s="226" t="s">
        <v>195</v>
      </c>
      <c r="H14" s="226" t="s">
        <v>195</v>
      </c>
      <c r="I14" s="226" t="s">
        <v>195</v>
      </c>
      <c r="J14" s="66"/>
    </row>
    <row r="15" spans="1:25">
      <c r="A15" s="227">
        <v>1</v>
      </c>
      <c r="B15" s="228">
        <v>36617</v>
      </c>
      <c r="C15" s="269">
        <f>HLOOKUP(Assumptions!$H$12,IDC!$H$40:$L$56,2+F42)</f>
        <v>0.1</v>
      </c>
      <c r="D15" s="238">
        <f>D59*Assumptions!H12</f>
        <v>57041.798429326831</v>
      </c>
      <c r="E15" s="239">
        <f t="shared" ref="E15:E33" si="0">C15*$C$6</f>
        <v>3331.7080000000005</v>
      </c>
      <c r="F15" s="239">
        <f t="shared" ref="F15:F33" si="1">+E15+D15</f>
        <v>60373.50642932683</v>
      </c>
      <c r="G15" s="239">
        <f>F15+H15</f>
        <v>60373.50642932683</v>
      </c>
      <c r="H15" s="239">
        <v>0</v>
      </c>
      <c r="I15" s="239">
        <v>0</v>
      </c>
      <c r="K15" s="443"/>
    </row>
    <row r="16" spans="1:25">
      <c r="A16" s="227">
        <f t="shared" ref="A16:A33" si="2">A15+1</f>
        <v>2</v>
      </c>
      <c r="B16" s="228">
        <v>36647</v>
      </c>
      <c r="C16" s="269">
        <f>HLOOKUP(Assumptions!$H$12,IDC!$H$40:$L$56,2+F43)</f>
        <v>0.12</v>
      </c>
      <c r="D16" s="238">
        <v>0</v>
      </c>
      <c r="E16" s="239">
        <f t="shared" si="0"/>
        <v>3998.0496000000003</v>
      </c>
      <c r="F16" s="239">
        <f t="shared" si="1"/>
        <v>3998.0496000000003</v>
      </c>
      <c r="G16" s="239">
        <f t="shared" ref="G16:G33" si="3">F16+G15+H16</f>
        <v>64799.201699867896</v>
      </c>
      <c r="H16" s="239">
        <f>IF(A16&gt;$C$7+1,0,G15*(B16-B15)*$D$8)</f>
        <v>427.64567054106504</v>
      </c>
      <c r="I16" s="239">
        <f>IF(A16&lt;=$C$7+1,H16+I15,I15)</f>
        <v>427.64567054106504</v>
      </c>
      <c r="K16" s="443"/>
    </row>
    <row r="17" spans="1:11">
      <c r="A17" s="227">
        <f t="shared" si="2"/>
        <v>3</v>
      </c>
      <c r="B17" s="228">
        <v>36678</v>
      </c>
      <c r="C17" s="269">
        <f>HLOOKUP(Assumptions!$H$12,IDC!$H$40:$L$56,2+F44)</f>
        <v>0.1</v>
      </c>
      <c r="D17" s="238">
        <v>0</v>
      </c>
      <c r="E17" s="239">
        <f t="shared" si="0"/>
        <v>3331.7080000000005</v>
      </c>
      <c r="F17" s="239">
        <f t="shared" si="1"/>
        <v>3331.7080000000005</v>
      </c>
      <c r="G17" s="239">
        <f t="shared" si="3"/>
        <v>68605.203856754437</v>
      </c>
      <c r="H17" s="239">
        <f t="shared" ref="H17:H33" si="4">IF(A17&gt;$C$7+1,0,G16*(B17-B16)*$D$8)</f>
        <v>474.29415688653307</v>
      </c>
      <c r="I17" s="239">
        <f t="shared" ref="I17:I33" si="5">IF(A17&lt;=$C$7+1,H17+I16,I16)</f>
        <v>901.93982742759817</v>
      </c>
      <c r="K17" s="443"/>
    </row>
    <row r="18" spans="1:11">
      <c r="A18" s="227">
        <f t="shared" si="2"/>
        <v>4</v>
      </c>
      <c r="B18" s="228">
        <v>36708</v>
      </c>
      <c r="C18" s="269">
        <f>HLOOKUP(Assumptions!$H$12,IDC!$H$40:$L$56,2+F45)</f>
        <v>0.13</v>
      </c>
      <c r="D18" s="238">
        <v>0</v>
      </c>
      <c r="E18" s="239">
        <f t="shared" si="0"/>
        <v>4331.2204000000002</v>
      </c>
      <c r="F18" s="239">
        <f t="shared" si="1"/>
        <v>4331.2204000000002</v>
      </c>
      <c r="G18" s="239">
        <f t="shared" si="3"/>
        <v>73422.37778407312</v>
      </c>
      <c r="H18" s="239">
        <f t="shared" si="4"/>
        <v>485.95352731867729</v>
      </c>
      <c r="I18" s="239">
        <f t="shared" si="5"/>
        <v>1387.8933547462755</v>
      </c>
      <c r="K18" s="443"/>
    </row>
    <row r="19" spans="1:11">
      <c r="A19" s="227">
        <f t="shared" si="2"/>
        <v>5</v>
      </c>
      <c r="B19" s="228">
        <v>36739</v>
      </c>
      <c r="C19" s="269">
        <f>HLOOKUP(Assumptions!$H$12,IDC!$H$40:$L$56,2+F46)</f>
        <v>0.13</v>
      </c>
      <c r="D19" s="238">
        <v>0</v>
      </c>
      <c r="E19" s="239">
        <f t="shared" si="0"/>
        <v>4331.2204000000002</v>
      </c>
      <c r="F19" s="239">
        <f t="shared" si="1"/>
        <v>4331.2204000000002</v>
      </c>
      <c r="G19" s="239">
        <f t="shared" si="3"/>
        <v>78291.009199242661</v>
      </c>
      <c r="H19" s="239">
        <f t="shared" si="4"/>
        <v>537.41101516953518</v>
      </c>
      <c r="I19" s="239">
        <f t="shared" si="5"/>
        <v>1925.3043699158106</v>
      </c>
      <c r="K19" s="443"/>
    </row>
    <row r="20" spans="1:11">
      <c r="A20" s="227">
        <f t="shared" si="2"/>
        <v>6</v>
      </c>
      <c r="B20" s="228">
        <v>36770</v>
      </c>
      <c r="C20" s="269">
        <f>HLOOKUP(Assumptions!$H$12,IDC!$H$40:$L$56,2+F47)</f>
        <v>0.1</v>
      </c>
      <c r="D20" s="238">
        <v>0</v>
      </c>
      <c r="E20" s="239">
        <f t="shared" si="0"/>
        <v>3331.7080000000005</v>
      </c>
      <c r="F20" s="239">
        <f t="shared" si="1"/>
        <v>3331.7080000000005</v>
      </c>
      <c r="G20" s="239">
        <f t="shared" si="3"/>
        <v>82195.763891576004</v>
      </c>
      <c r="H20" s="239">
        <f t="shared" si="4"/>
        <v>573.04669233334562</v>
      </c>
      <c r="I20" s="239">
        <f t="shared" si="5"/>
        <v>2498.3510622491563</v>
      </c>
      <c r="K20" s="443"/>
    </row>
    <row r="21" spans="1:11">
      <c r="A21" s="227">
        <f t="shared" si="2"/>
        <v>7</v>
      </c>
      <c r="B21" s="228">
        <v>36800</v>
      </c>
      <c r="C21" s="269">
        <f>HLOOKUP(Assumptions!$H$12,IDC!$H$40:$L$56,2+F48)</f>
        <v>0.12</v>
      </c>
      <c r="D21" s="238">
        <v>0</v>
      </c>
      <c r="E21" s="239">
        <f t="shared" si="0"/>
        <v>3998.0496000000003</v>
      </c>
      <c r="F21" s="239">
        <f t="shared" si="1"/>
        <v>3998.0496000000003</v>
      </c>
      <c r="G21" s="239">
        <f t="shared" si="3"/>
        <v>86776.033485808002</v>
      </c>
      <c r="H21" s="239">
        <f t="shared" si="4"/>
        <v>582.21999423199668</v>
      </c>
      <c r="I21" s="239">
        <f t="shared" si="5"/>
        <v>3080.5710564811529</v>
      </c>
      <c r="K21" s="443"/>
    </row>
    <row r="22" spans="1:11">
      <c r="A22" s="227">
        <f t="shared" si="2"/>
        <v>8</v>
      </c>
      <c r="B22" s="228">
        <v>36831</v>
      </c>
      <c r="C22" s="269">
        <f>HLOOKUP(Assumptions!$H$12,IDC!$H$40:$L$56,2+F49)</f>
        <v>0.12</v>
      </c>
      <c r="D22" s="238">
        <v>0</v>
      </c>
      <c r="E22" s="239">
        <f t="shared" si="0"/>
        <v>3998.0496000000003</v>
      </c>
      <c r="F22" s="239">
        <f t="shared" si="1"/>
        <v>3998.0496000000003</v>
      </c>
      <c r="G22" s="239">
        <f t="shared" si="3"/>
        <v>91409.235442016623</v>
      </c>
      <c r="H22" s="239">
        <f t="shared" si="4"/>
        <v>635.15235620862245</v>
      </c>
      <c r="I22" s="239">
        <f t="shared" si="5"/>
        <v>3715.7234126897756</v>
      </c>
      <c r="K22" s="443"/>
    </row>
    <row r="23" spans="1:11">
      <c r="A23" s="227">
        <f t="shared" si="2"/>
        <v>9</v>
      </c>
      <c r="B23" s="228">
        <v>36861</v>
      </c>
      <c r="C23" s="269">
        <f>HLOOKUP(Assumptions!$H$12,IDC!$H$40:$L$56,2+F50)</f>
        <v>0.08</v>
      </c>
      <c r="D23" s="238">
        <v>0</v>
      </c>
      <c r="E23" s="239">
        <f t="shared" si="0"/>
        <v>2665.3664000000003</v>
      </c>
      <c r="F23" s="239">
        <f t="shared" si="1"/>
        <v>2665.3664000000003</v>
      </c>
      <c r="G23" s="239">
        <f t="shared" si="3"/>
        <v>94722.083926397579</v>
      </c>
      <c r="H23" s="239">
        <f t="shared" si="4"/>
        <v>647.48208438095105</v>
      </c>
      <c r="I23" s="239">
        <f t="shared" si="5"/>
        <v>4363.2054970707268</v>
      </c>
      <c r="K23" s="443"/>
    </row>
    <row r="24" spans="1:11">
      <c r="A24" s="227">
        <f t="shared" si="2"/>
        <v>10</v>
      </c>
      <c r="B24" s="228">
        <v>36892</v>
      </c>
      <c r="C24" s="269">
        <f>HLOOKUP(Assumptions!$H$12,IDC!$H$40:$L$56,2+F51)</f>
        <v>0</v>
      </c>
      <c r="D24" s="238">
        <v>0</v>
      </c>
      <c r="E24" s="239">
        <f t="shared" si="0"/>
        <v>0</v>
      </c>
      <c r="F24" s="239">
        <f t="shared" si="1"/>
        <v>0</v>
      </c>
      <c r="G24" s="239">
        <f t="shared" si="3"/>
        <v>94722.083926397579</v>
      </c>
      <c r="H24" s="239">
        <f t="shared" si="4"/>
        <v>0</v>
      </c>
      <c r="I24" s="239">
        <f t="shared" si="5"/>
        <v>4363.2054970707268</v>
      </c>
      <c r="K24" s="443"/>
    </row>
    <row r="25" spans="1:11">
      <c r="A25" s="227">
        <f t="shared" si="2"/>
        <v>11</v>
      </c>
      <c r="B25" s="228">
        <v>36923</v>
      </c>
      <c r="C25" s="269">
        <f>HLOOKUP(Assumptions!$H$12,IDC!$H$40:$L$56,2+F52)</f>
        <v>0</v>
      </c>
      <c r="D25" s="238">
        <v>0</v>
      </c>
      <c r="E25" s="239">
        <f t="shared" si="0"/>
        <v>0</v>
      </c>
      <c r="F25" s="239">
        <f t="shared" si="1"/>
        <v>0</v>
      </c>
      <c r="G25" s="239">
        <f t="shared" si="3"/>
        <v>94722.083926397579</v>
      </c>
      <c r="H25" s="239">
        <f t="shared" si="4"/>
        <v>0</v>
      </c>
      <c r="I25" s="239">
        <f t="shared" si="5"/>
        <v>4363.2054970707268</v>
      </c>
      <c r="K25" s="443"/>
    </row>
    <row r="26" spans="1:11">
      <c r="A26" s="227">
        <f t="shared" si="2"/>
        <v>12</v>
      </c>
      <c r="B26" s="228">
        <v>36951</v>
      </c>
      <c r="C26" s="269">
        <f>HLOOKUP(Assumptions!$H$12,IDC!$H$40:$L$56,2+F53)</f>
        <v>0</v>
      </c>
      <c r="D26" s="238">
        <v>0</v>
      </c>
      <c r="E26" s="239">
        <f t="shared" si="0"/>
        <v>0</v>
      </c>
      <c r="F26" s="239">
        <f t="shared" si="1"/>
        <v>0</v>
      </c>
      <c r="G26" s="239">
        <f t="shared" si="3"/>
        <v>94722.083926397579</v>
      </c>
      <c r="H26" s="239">
        <f t="shared" si="4"/>
        <v>0</v>
      </c>
      <c r="I26" s="239">
        <f t="shared" si="5"/>
        <v>4363.2054970707268</v>
      </c>
      <c r="K26" s="443"/>
    </row>
    <row r="27" spans="1:11">
      <c r="A27" s="227">
        <f t="shared" si="2"/>
        <v>13</v>
      </c>
      <c r="B27" s="228">
        <v>36982</v>
      </c>
      <c r="C27" s="269">
        <f>HLOOKUP(Assumptions!$H$12,IDC!$H$40:$L$56,2+F54)</f>
        <v>0</v>
      </c>
      <c r="D27" s="238">
        <v>0</v>
      </c>
      <c r="E27" s="239">
        <f t="shared" si="0"/>
        <v>0</v>
      </c>
      <c r="F27" s="239">
        <f t="shared" si="1"/>
        <v>0</v>
      </c>
      <c r="G27" s="239">
        <f t="shared" si="3"/>
        <v>94722.083926397579</v>
      </c>
      <c r="H27" s="239">
        <f t="shared" si="4"/>
        <v>0</v>
      </c>
      <c r="I27" s="239">
        <f t="shared" si="5"/>
        <v>4363.2054970707268</v>
      </c>
      <c r="K27" s="443"/>
    </row>
    <row r="28" spans="1:11">
      <c r="A28" s="227">
        <f t="shared" si="2"/>
        <v>14</v>
      </c>
      <c r="B28" s="228">
        <v>37012</v>
      </c>
      <c r="C28" s="269">
        <f>HLOOKUP(Assumptions!$H$12,IDC!$H$40:$L$56,2+F55)</f>
        <v>0</v>
      </c>
      <c r="D28" s="238">
        <v>0</v>
      </c>
      <c r="E28" s="239">
        <f t="shared" si="0"/>
        <v>0</v>
      </c>
      <c r="F28" s="239">
        <f t="shared" si="1"/>
        <v>0</v>
      </c>
      <c r="G28" s="239">
        <f t="shared" si="3"/>
        <v>94722.083926397579</v>
      </c>
      <c r="H28" s="239">
        <f t="shared" si="4"/>
        <v>0</v>
      </c>
      <c r="I28" s="239">
        <f t="shared" si="5"/>
        <v>4363.2054970707268</v>
      </c>
      <c r="K28" s="443"/>
    </row>
    <row r="29" spans="1:11">
      <c r="A29" s="227">
        <f t="shared" si="2"/>
        <v>15</v>
      </c>
      <c r="B29" s="228">
        <v>37043</v>
      </c>
      <c r="C29" s="269">
        <f>HLOOKUP(Assumptions!$H$12,IDC!$H$40:$L$56,2+F56)</f>
        <v>0</v>
      </c>
      <c r="D29" s="238">
        <v>0</v>
      </c>
      <c r="E29" s="239">
        <f t="shared" si="0"/>
        <v>0</v>
      </c>
      <c r="F29" s="239">
        <f t="shared" si="1"/>
        <v>0</v>
      </c>
      <c r="G29" s="239">
        <f t="shared" si="3"/>
        <v>94722.083926397579</v>
      </c>
      <c r="H29" s="239">
        <f t="shared" si="4"/>
        <v>0</v>
      </c>
      <c r="I29" s="239">
        <f t="shared" si="5"/>
        <v>4363.2054970707268</v>
      </c>
      <c r="K29" s="443"/>
    </row>
    <row r="30" spans="1:11">
      <c r="A30" s="227">
        <f t="shared" si="2"/>
        <v>16</v>
      </c>
      <c r="B30" s="228">
        <v>37073</v>
      </c>
      <c r="C30" s="269">
        <v>0</v>
      </c>
      <c r="D30" s="238">
        <v>0</v>
      </c>
      <c r="E30" s="239">
        <f t="shared" si="0"/>
        <v>0</v>
      </c>
      <c r="F30" s="239">
        <f t="shared" si="1"/>
        <v>0</v>
      </c>
      <c r="G30" s="239">
        <f t="shared" si="3"/>
        <v>94722.083926397579</v>
      </c>
      <c r="H30" s="239">
        <f t="shared" si="4"/>
        <v>0</v>
      </c>
      <c r="I30" s="239">
        <f t="shared" si="5"/>
        <v>4363.2054970707268</v>
      </c>
      <c r="K30" s="443"/>
    </row>
    <row r="31" spans="1:11">
      <c r="A31" s="227">
        <f t="shared" si="2"/>
        <v>17</v>
      </c>
      <c r="B31" s="228">
        <v>37104</v>
      </c>
      <c r="C31" s="269">
        <v>0</v>
      </c>
      <c r="D31" s="238">
        <v>0</v>
      </c>
      <c r="E31" s="239">
        <f t="shared" si="0"/>
        <v>0</v>
      </c>
      <c r="F31" s="239">
        <f t="shared" si="1"/>
        <v>0</v>
      </c>
      <c r="G31" s="239">
        <f t="shared" si="3"/>
        <v>94722.083926397579</v>
      </c>
      <c r="H31" s="239">
        <f t="shared" si="4"/>
        <v>0</v>
      </c>
      <c r="I31" s="239">
        <f t="shared" si="5"/>
        <v>4363.2054970707268</v>
      </c>
      <c r="K31" s="443"/>
    </row>
    <row r="32" spans="1:11">
      <c r="A32" s="227">
        <f t="shared" si="2"/>
        <v>18</v>
      </c>
      <c r="B32" s="228">
        <v>37135</v>
      </c>
      <c r="C32" s="269">
        <v>0</v>
      </c>
      <c r="D32" s="238">
        <v>0</v>
      </c>
      <c r="E32" s="239">
        <f t="shared" si="0"/>
        <v>0</v>
      </c>
      <c r="F32" s="239">
        <f t="shared" si="1"/>
        <v>0</v>
      </c>
      <c r="G32" s="239">
        <f t="shared" si="3"/>
        <v>94722.083926397579</v>
      </c>
      <c r="H32" s="239">
        <f t="shared" si="4"/>
        <v>0</v>
      </c>
      <c r="I32" s="239">
        <f t="shared" si="5"/>
        <v>4363.2054970707268</v>
      </c>
      <c r="K32" s="443"/>
    </row>
    <row r="33" spans="1:12">
      <c r="A33" s="227">
        <f t="shared" si="2"/>
        <v>19</v>
      </c>
      <c r="B33" s="228">
        <v>37165</v>
      </c>
      <c r="C33" s="442">
        <v>0</v>
      </c>
      <c r="D33" s="243">
        <v>0</v>
      </c>
      <c r="E33" s="244">
        <f t="shared" si="0"/>
        <v>0</v>
      </c>
      <c r="F33" s="244">
        <f t="shared" si="1"/>
        <v>0</v>
      </c>
      <c r="G33" s="244">
        <f t="shared" si="3"/>
        <v>94722.083926397579</v>
      </c>
      <c r="H33" s="244">
        <f t="shared" si="4"/>
        <v>0</v>
      </c>
      <c r="I33" s="244">
        <f t="shared" si="5"/>
        <v>4363.2054970707268</v>
      </c>
      <c r="K33" s="443"/>
    </row>
    <row r="34" spans="1:12">
      <c r="C34" s="232">
        <f>SUM(C15:C33)</f>
        <v>1</v>
      </c>
      <c r="D34" s="240">
        <f>SUM(D15:D33)</f>
        <v>57041.798429326831</v>
      </c>
      <c r="E34" s="240">
        <f>SUM(E15:E33)</f>
        <v>33317.079999999994</v>
      </c>
      <c r="F34" s="240">
        <f>SUM(F15:F33)</f>
        <v>90358.87842932684</v>
      </c>
      <c r="G34" s="18"/>
      <c r="H34" s="240">
        <f>SUM(H15:H33)</f>
        <v>4363.2054970707268</v>
      </c>
      <c r="I34" s="240"/>
    </row>
    <row r="38" spans="1:12" ht="18.75">
      <c r="A38" s="61" t="s">
        <v>229</v>
      </c>
      <c r="B38" s="285"/>
      <c r="F38"/>
      <c r="G38"/>
      <c r="H38"/>
      <c r="I38"/>
      <c r="J38"/>
      <c r="K38"/>
      <c r="L38"/>
    </row>
    <row r="39" spans="1:12" ht="13.5" thickBot="1">
      <c r="F39" s="407" t="s">
        <v>431</v>
      </c>
    </row>
    <row r="40" spans="1:12">
      <c r="F40" s="425"/>
      <c r="G40" s="421" t="s">
        <v>339</v>
      </c>
      <c r="H40" s="421">
        <v>2</v>
      </c>
      <c r="I40" s="421">
        <v>3</v>
      </c>
      <c r="J40" s="561">
        <v>4</v>
      </c>
      <c r="K40" s="421">
        <v>5</v>
      </c>
      <c r="L40" s="422">
        <v>6</v>
      </c>
    </row>
    <row r="41" spans="1:12" ht="13.5" thickBot="1">
      <c r="A41" s="229" t="s">
        <v>340</v>
      </c>
      <c r="B41" s="229" t="s">
        <v>342</v>
      </c>
      <c r="C41" s="229" t="s">
        <v>344</v>
      </c>
      <c r="D41" s="229" t="s">
        <v>228</v>
      </c>
      <c r="F41" s="426" t="s">
        <v>183</v>
      </c>
      <c r="G41" s="423" t="s">
        <v>349</v>
      </c>
      <c r="H41" s="423">
        <v>6</v>
      </c>
      <c r="I41" s="423">
        <v>6.5</v>
      </c>
      <c r="J41" s="562">
        <v>7</v>
      </c>
      <c r="K41" s="423">
        <v>7.5</v>
      </c>
      <c r="L41" s="424">
        <v>8</v>
      </c>
    </row>
    <row r="42" spans="1:12" ht="13.5" thickBot="1">
      <c r="A42" s="229" t="s">
        <v>341</v>
      </c>
      <c r="B42" s="229" t="s">
        <v>343</v>
      </c>
      <c r="C42" s="229" t="s">
        <v>345</v>
      </c>
      <c r="D42" s="229" t="s">
        <v>346</v>
      </c>
      <c r="F42" s="427">
        <v>1</v>
      </c>
      <c r="G42" s="413"/>
      <c r="H42" s="525">
        <v>0.1</v>
      </c>
      <c r="I42" s="525">
        <v>0.1</v>
      </c>
      <c r="J42" s="563">
        <v>0.1</v>
      </c>
      <c r="K42" s="414">
        <v>0.1</v>
      </c>
      <c r="L42" s="415">
        <v>0.1</v>
      </c>
    </row>
    <row r="43" spans="1:12">
      <c r="A43" s="431" t="s">
        <v>227</v>
      </c>
      <c r="B43" s="432">
        <v>3</v>
      </c>
      <c r="C43" s="433">
        <v>36737</v>
      </c>
      <c r="D43" s="434">
        <v>36829</v>
      </c>
      <c r="F43" s="428">
        <v>2</v>
      </c>
      <c r="G43" s="180"/>
      <c r="H43" s="526">
        <v>0.04</v>
      </c>
      <c r="I43" s="526">
        <v>0.04</v>
      </c>
      <c r="J43" s="564">
        <v>0.12</v>
      </c>
      <c r="K43" s="416">
        <v>0.04</v>
      </c>
      <c r="L43" s="417">
        <v>0.04</v>
      </c>
    </row>
    <row r="44" spans="1:12">
      <c r="A44" s="435" t="s">
        <v>226</v>
      </c>
      <c r="B44" s="429">
        <v>3</v>
      </c>
      <c r="C44" s="430">
        <v>36768</v>
      </c>
      <c r="D44" s="436">
        <v>36829</v>
      </c>
      <c r="F44" s="428">
        <v>3</v>
      </c>
      <c r="G44" s="180"/>
      <c r="H44" s="526">
        <v>0.08</v>
      </c>
      <c r="I44" s="526">
        <v>0.08</v>
      </c>
      <c r="J44" s="564">
        <v>0.1</v>
      </c>
      <c r="K44" s="416">
        <v>0.08</v>
      </c>
      <c r="L44" s="417">
        <v>0.08</v>
      </c>
    </row>
    <row r="45" spans="1:12">
      <c r="A45" s="435" t="s">
        <v>225</v>
      </c>
      <c r="B45" s="429">
        <v>2</v>
      </c>
      <c r="C45" s="430">
        <v>36799</v>
      </c>
      <c r="D45" s="436">
        <v>36829</v>
      </c>
      <c r="F45" s="428">
        <v>4</v>
      </c>
      <c r="G45" s="180"/>
      <c r="H45" s="526">
        <v>0.12</v>
      </c>
      <c r="I45" s="526">
        <v>0.12</v>
      </c>
      <c r="J45" s="564">
        <v>0.13</v>
      </c>
      <c r="K45" s="416">
        <v>0.1</v>
      </c>
      <c r="L45" s="417">
        <v>0.1</v>
      </c>
    </row>
    <row r="46" spans="1:12">
      <c r="A46" s="435" t="s">
        <v>224</v>
      </c>
      <c r="B46" s="429">
        <v>3</v>
      </c>
      <c r="C46" s="430">
        <v>36829</v>
      </c>
      <c r="D46" s="436">
        <v>36829</v>
      </c>
      <c r="F46" s="428">
        <v>5</v>
      </c>
      <c r="G46" s="180"/>
      <c r="H46" s="526">
        <v>0.12</v>
      </c>
      <c r="I46" s="526">
        <v>0.12</v>
      </c>
      <c r="J46" s="564">
        <v>0.13</v>
      </c>
      <c r="K46" s="416">
        <v>0.11</v>
      </c>
      <c r="L46" s="417">
        <v>0.1</v>
      </c>
    </row>
    <row r="47" spans="1:12">
      <c r="A47" s="435" t="s">
        <v>223</v>
      </c>
      <c r="B47" s="429">
        <v>2</v>
      </c>
      <c r="C47" s="430">
        <v>36860</v>
      </c>
      <c r="D47" s="436">
        <v>36860</v>
      </c>
      <c r="F47" s="428">
        <v>6</v>
      </c>
      <c r="G47" s="180"/>
      <c r="H47" s="526">
        <v>0.12</v>
      </c>
      <c r="I47" s="526">
        <v>0.12</v>
      </c>
      <c r="J47" s="564">
        <v>0.1</v>
      </c>
      <c r="K47" s="416">
        <v>0.11</v>
      </c>
      <c r="L47" s="417">
        <v>0.1</v>
      </c>
    </row>
    <row r="48" spans="1:12">
      <c r="A48" s="437" t="s">
        <v>222</v>
      </c>
      <c r="B48" s="429">
        <v>2</v>
      </c>
      <c r="C48" s="430">
        <v>36890</v>
      </c>
      <c r="D48" s="436">
        <v>36890</v>
      </c>
      <c r="F48" s="428">
        <v>7</v>
      </c>
      <c r="G48" s="180"/>
      <c r="H48" s="526">
        <v>0.1</v>
      </c>
      <c r="I48" s="526">
        <v>0.1</v>
      </c>
      <c r="J48" s="564">
        <v>0.12</v>
      </c>
      <c r="K48" s="416">
        <v>0.1</v>
      </c>
      <c r="L48" s="417">
        <v>0.08</v>
      </c>
    </row>
    <row r="49" spans="1:12">
      <c r="A49" s="437" t="s">
        <v>221</v>
      </c>
      <c r="B49" s="429">
        <v>3</v>
      </c>
      <c r="C49" s="430">
        <v>36555</v>
      </c>
      <c r="D49" s="436">
        <v>36555</v>
      </c>
      <c r="F49" s="428">
        <v>8</v>
      </c>
      <c r="G49" s="180"/>
      <c r="H49" s="526">
        <v>0.08</v>
      </c>
      <c r="I49" s="526">
        <v>0.08</v>
      </c>
      <c r="J49" s="564">
        <v>0.12</v>
      </c>
      <c r="K49" s="416">
        <v>0.08</v>
      </c>
      <c r="L49" s="417">
        <v>0.08</v>
      </c>
    </row>
    <row r="50" spans="1:12">
      <c r="A50" s="437" t="s">
        <v>220</v>
      </c>
      <c r="B50" s="429">
        <v>2</v>
      </c>
      <c r="C50" s="430">
        <v>36950</v>
      </c>
      <c r="D50" s="436">
        <v>36950</v>
      </c>
      <c r="F50" s="428">
        <v>9</v>
      </c>
      <c r="G50" s="180"/>
      <c r="H50" s="526">
        <v>0.06</v>
      </c>
      <c r="I50" s="526">
        <v>0.06</v>
      </c>
      <c r="J50" s="564">
        <v>0.08</v>
      </c>
      <c r="K50" s="416">
        <v>0.06</v>
      </c>
      <c r="L50" s="417">
        <v>0.06</v>
      </c>
    </row>
    <row r="51" spans="1:12">
      <c r="A51" s="437" t="s">
        <v>219</v>
      </c>
      <c r="B51" s="429">
        <v>2</v>
      </c>
      <c r="C51" s="430">
        <v>36980</v>
      </c>
      <c r="D51" s="436">
        <v>36980</v>
      </c>
      <c r="F51" s="428">
        <v>10</v>
      </c>
      <c r="G51" s="180"/>
      <c r="H51" s="526">
        <v>0.06</v>
      </c>
      <c r="I51" s="526">
        <v>0.06</v>
      </c>
      <c r="J51" s="564">
        <v>0</v>
      </c>
      <c r="K51" s="416">
        <v>0.06</v>
      </c>
      <c r="L51" s="417">
        <v>0.06</v>
      </c>
    </row>
    <row r="52" spans="1:12" ht="13.5" thickBot="1">
      <c r="A52" s="438" t="s">
        <v>218</v>
      </c>
      <c r="B52" s="439">
        <v>2</v>
      </c>
      <c r="C52" s="440">
        <v>37011</v>
      </c>
      <c r="D52" s="441">
        <v>37011</v>
      </c>
      <c r="F52" s="428">
        <v>11</v>
      </c>
      <c r="G52" s="180"/>
      <c r="H52" s="526">
        <v>0.03</v>
      </c>
      <c r="I52" s="526">
        <v>0.03</v>
      </c>
      <c r="J52" s="564">
        <v>0</v>
      </c>
      <c r="K52" s="416">
        <v>0.03</v>
      </c>
      <c r="L52" s="417">
        <v>0.03</v>
      </c>
    </row>
    <row r="53" spans="1:12">
      <c r="F53" s="428">
        <v>12</v>
      </c>
      <c r="G53" s="180"/>
      <c r="H53" s="526">
        <v>0.04</v>
      </c>
      <c r="I53" s="526">
        <v>0.04</v>
      </c>
      <c r="J53" s="564">
        <v>0</v>
      </c>
      <c r="K53" s="416">
        <v>0.04</v>
      </c>
      <c r="L53" s="417">
        <v>0.04</v>
      </c>
    </row>
    <row r="54" spans="1:12" ht="13.5" thickBot="1">
      <c r="F54" s="428">
        <v>13</v>
      </c>
      <c r="G54" s="180"/>
      <c r="H54" s="526">
        <v>0.05</v>
      </c>
      <c r="I54" s="526">
        <v>0.05</v>
      </c>
      <c r="J54" s="564">
        <v>0</v>
      </c>
      <c r="K54" s="416">
        <v>0.04</v>
      </c>
      <c r="L54" s="417">
        <v>0.04</v>
      </c>
    </row>
    <row r="55" spans="1:12">
      <c r="A55" s="289" t="s">
        <v>347</v>
      </c>
      <c r="B55" s="38"/>
      <c r="C55" s="38"/>
      <c r="D55" s="286"/>
      <c r="F55" s="428">
        <v>14</v>
      </c>
      <c r="G55" s="180"/>
      <c r="H55" s="416">
        <v>0</v>
      </c>
      <c r="I55" s="416">
        <v>0</v>
      </c>
      <c r="J55" s="564">
        <v>0</v>
      </c>
      <c r="K55" s="416">
        <v>0.05</v>
      </c>
      <c r="L55" s="417">
        <v>0.04</v>
      </c>
    </row>
    <row r="56" spans="1:12" ht="13.5" thickBot="1">
      <c r="A56" s="41" t="s">
        <v>231</v>
      </c>
      <c r="B56" s="13"/>
      <c r="C56" s="13"/>
      <c r="D56" s="287">
        <v>13950</v>
      </c>
      <c r="F56" s="473">
        <v>15</v>
      </c>
      <c r="G56" s="418"/>
      <c r="H56" s="419">
        <v>0</v>
      </c>
      <c r="I56" s="419">
        <v>0</v>
      </c>
      <c r="J56" s="565">
        <v>0</v>
      </c>
      <c r="K56" s="419">
        <v>0</v>
      </c>
      <c r="L56" s="420">
        <v>0.05</v>
      </c>
    </row>
    <row r="57" spans="1:12" ht="13.5" thickBot="1">
      <c r="A57" s="41" t="s">
        <v>232</v>
      </c>
      <c r="B57" s="13"/>
      <c r="C57" s="13"/>
      <c r="D57" s="287">
        <v>289.6162739983738</v>
      </c>
      <c r="F57" s="444" t="s">
        <v>350</v>
      </c>
      <c r="G57" s="418"/>
      <c r="H57" s="419">
        <f>SUM(H42:H56)</f>
        <v>1.0000000000000002</v>
      </c>
      <c r="I57" s="419">
        <f>SUM(I42:I56)</f>
        <v>1.0000000000000002</v>
      </c>
      <c r="J57" s="565">
        <f>SUM(J42:J56)</f>
        <v>1</v>
      </c>
      <c r="K57" s="419">
        <f>SUM(K42:K56)</f>
        <v>1.0000000000000002</v>
      </c>
      <c r="L57" s="420">
        <f>SUM(L42:L56)</f>
        <v>1.0000000000000002</v>
      </c>
    </row>
    <row r="58" spans="1:12" ht="13.5" thickBot="1">
      <c r="A58" s="173" t="s">
        <v>230</v>
      </c>
      <c r="B58" s="42"/>
      <c r="C58" s="42"/>
      <c r="D58" s="288">
        <v>20.833333333333314</v>
      </c>
      <c r="E58" s="66"/>
    </row>
    <row r="59" spans="1:12" ht="13.5" thickBot="1">
      <c r="A59" s="290" t="s">
        <v>348</v>
      </c>
      <c r="B59" s="291"/>
      <c r="C59" s="291"/>
      <c r="D59" s="292">
        <f>SUM(D56:D58)</f>
        <v>14260.449607331708</v>
      </c>
    </row>
    <row r="60" spans="1:12">
      <c r="C60" s="18"/>
      <c r="D60" s="18"/>
    </row>
    <row r="61" spans="1:12">
      <c r="B61" s="18"/>
      <c r="C61" s="18"/>
      <c r="D61" s="18"/>
    </row>
    <row r="62" spans="1:12">
      <c r="A62" s="18"/>
      <c r="B62" s="18"/>
      <c r="C62" s="18"/>
      <c r="D62" s="18"/>
    </row>
  </sheetData>
  <pageMargins left="0.45" right="0.45" top="0.5" bottom="0.5" header="0.25" footer="0.25"/>
  <pageSetup scale="63" orientation="landscape" r:id="rId1"/>
  <headerFooter alignWithMargins="0">
    <oddFooter xml:space="preserve">&amp;L&amp;T, &amp;D&amp;C&amp;F&amp;R&amp;P </oddFooter>
  </headerFooter>
  <colBreaks count="1" manualBreakCount="1">
    <brk id="16" min="1" max="34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P44"/>
  <sheetViews>
    <sheetView workbookViewId="0"/>
  </sheetViews>
  <sheetFormatPr defaultRowHeight="12.75"/>
  <cols>
    <col min="1" max="1" width="1.7109375" customWidth="1"/>
  </cols>
  <sheetData>
    <row r="1" spans="2:146" ht="15.75">
      <c r="B1" s="531" t="s">
        <v>434</v>
      </c>
    </row>
    <row r="2" spans="2:146">
      <c r="C2" t="s">
        <v>435</v>
      </c>
      <c r="O2" t="s">
        <v>436</v>
      </c>
      <c r="AA2" t="s">
        <v>437</v>
      </c>
      <c r="AM2" t="s">
        <v>438</v>
      </c>
      <c r="AY2" t="s">
        <v>439</v>
      </c>
      <c r="BK2" t="s">
        <v>440</v>
      </c>
      <c r="BW2" t="s">
        <v>441</v>
      </c>
      <c r="CI2" t="s">
        <v>442</v>
      </c>
      <c r="CU2" t="s">
        <v>443</v>
      </c>
      <c r="DG2" t="s">
        <v>444</v>
      </c>
      <c r="DS2" t="s">
        <v>445</v>
      </c>
      <c r="EE2" t="s">
        <v>446</v>
      </c>
    </row>
    <row r="3" spans="2:146">
      <c r="B3" s="532" t="s">
        <v>23</v>
      </c>
      <c r="C3" s="533" t="s">
        <v>447</v>
      </c>
      <c r="D3" s="533" t="s">
        <v>448</v>
      </c>
      <c r="E3" s="533" t="s">
        <v>449</v>
      </c>
      <c r="F3" s="533" t="s">
        <v>450</v>
      </c>
      <c r="G3" s="533" t="s">
        <v>451</v>
      </c>
      <c r="H3" s="533" t="s">
        <v>452</v>
      </c>
      <c r="I3" s="533" t="s">
        <v>453</v>
      </c>
      <c r="J3" s="533" t="s">
        <v>454</v>
      </c>
      <c r="K3" s="533" t="s">
        <v>455</v>
      </c>
      <c r="L3" s="533" t="s">
        <v>456</v>
      </c>
      <c r="M3" s="533" t="s">
        <v>457</v>
      </c>
      <c r="N3" s="533" t="s">
        <v>458</v>
      </c>
      <c r="O3" s="533" t="s">
        <v>447</v>
      </c>
      <c r="P3" s="533" t="s">
        <v>448</v>
      </c>
      <c r="Q3" s="533" t="s">
        <v>449</v>
      </c>
      <c r="R3" s="533" t="s">
        <v>450</v>
      </c>
      <c r="S3" s="533" t="s">
        <v>451</v>
      </c>
      <c r="T3" s="533" t="s">
        <v>452</v>
      </c>
      <c r="U3" s="533" t="s">
        <v>453</v>
      </c>
      <c r="V3" s="533" t="s">
        <v>454</v>
      </c>
      <c r="W3" s="533" t="s">
        <v>455</v>
      </c>
      <c r="X3" s="533" t="s">
        <v>456</v>
      </c>
      <c r="Y3" s="533" t="s">
        <v>457</v>
      </c>
      <c r="Z3" s="533" t="s">
        <v>458</v>
      </c>
      <c r="AA3" s="533" t="s">
        <v>447</v>
      </c>
      <c r="AB3" s="533" t="s">
        <v>448</v>
      </c>
      <c r="AC3" s="533" t="s">
        <v>449</v>
      </c>
      <c r="AD3" s="533" t="s">
        <v>450</v>
      </c>
      <c r="AE3" s="533" t="s">
        <v>451</v>
      </c>
      <c r="AF3" s="533" t="s">
        <v>452</v>
      </c>
      <c r="AG3" s="533" t="s">
        <v>453</v>
      </c>
      <c r="AH3" s="533" t="s">
        <v>454</v>
      </c>
      <c r="AI3" s="533" t="s">
        <v>455</v>
      </c>
      <c r="AJ3" s="533" t="s">
        <v>456</v>
      </c>
      <c r="AK3" s="533" t="s">
        <v>457</v>
      </c>
      <c r="AL3" s="533" t="s">
        <v>458</v>
      </c>
      <c r="AM3" s="533" t="s">
        <v>447</v>
      </c>
      <c r="AN3" s="533" t="s">
        <v>448</v>
      </c>
      <c r="AO3" s="533" t="s">
        <v>449</v>
      </c>
      <c r="AP3" s="533" t="s">
        <v>450</v>
      </c>
      <c r="AQ3" s="533" t="s">
        <v>451</v>
      </c>
      <c r="AR3" s="533" t="s">
        <v>452</v>
      </c>
      <c r="AS3" s="533" t="s">
        <v>453</v>
      </c>
      <c r="AT3" s="533" t="s">
        <v>454</v>
      </c>
      <c r="AU3" s="533" t="s">
        <v>455</v>
      </c>
      <c r="AV3" s="533" t="s">
        <v>456</v>
      </c>
      <c r="AW3" s="533" t="s">
        <v>457</v>
      </c>
      <c r="AX3" s="533" t="s">
        <v>458</v>
      </c>
      <c r="AY3" s="533" t="s">
        <v>447</v>
      </c>
      <c r="AZ3" s="533" t="s">
        <v>448</v>
      </c>
      <c r="BA3" s="533" t="s">
        <v>449</v>
      </c>
      <c r="BB3" s="533" t="s">
        <v>450</v>
      </c>
      <c r="BC3" s="533" t="s">
        <v>451</v>
      </c>
      <c r="BD3" s="533" t="s">
        <v>452</v>
      </c>
      <c r="BE3" s="533" t="s">
        <v>453</v>
      </c>
      <c r="BF3" s="533" t="s">
        <v>454</v>
      </c>
      <c r="BG3" s="533" t="s">
        <v>455</v>
      </c>
      <c r="BH3" s="533" t="s">
        <v>456</v>
      </c>
      <c r="BI3" s="533" t="s">
        <v>457</v>
      </c>
      <c r="BJ3" s="533" t="s">
        <v>458</v>
      </c>
      <c r="BK3" s="533" t="s">
        <v>447</v>
      </c>
      <c r="BL3" s="533" t="s">
        <v>448</v>
      </c>
      <c r="BM3" s="533" t="s">
        <v>449</v>
      </c>
      <c r="BN3" s="533" t="s">
        <v>450</v>
      </c>
      <c r="BO3" s="533" t="s">
        <v>451</v>
      </c>
      <c r="BP3" s="533" t="s">
        <v>452</v>
      </c>
      <c r="BQ3" s="533" t="s">
        <v>453</v>
      </c>
      <c r="BR3" s="533" t="s">
        <v>454</v>
      </c>
      <c r="BS3" s="533" t="s">
        <v>455</v>
      </c>
      <c r="BT3" s="533" t="s">
        <v>456</v>
      </c>
      <c r="BU3" s="533" t="s">
        <v>457</v>
      </c>
      <c r="BV3" s="533" t="s">
        <v>458</v>
      </c>
      <c r="BW3" s="533" t="s">
        <v>447</v>
      </c>
      <c r="BX3" s="533" t="s">
        <v>448</v>
      </c>
      <c r="BY3" s="533" t="s">
        <v>449</v>
      </c>
      <c r="BZ3" s="533" t="s">
        <v>450</v>
      </c>
      <c r="CA3" s="533" t="s">
        <v>451</v>
      </c>
      <c r="CB3" s="533" t="s">
        <v>452</v>
      </c>
      <c r="CC3" s="533" t="s">
        <v>453</v>
      </c>
      <c r="CD3" s="533" t="s">
        <v>454</v>
      </c>
      <c r="CE3" s="533" t="s">
        <v>455</v>
      </c>
      <c r="CF3" s="533" t="s">
        <v>456</v>
      </c>
      <c r="CG3" s="533" t="s">
        <v>457</v>
      </c>
      <c r="CH3" s="533" t="s">
        <v>458</v>
      </c>
      <c r="CI3" s="533" t="s">
        <v>447</v>
      </c>
      <c r="CJ3" s="533" t="s">
        <v>448</v>
      </c>
      <c r="CK3" s="533" t="s">
        <v>449</v>
      </c>
      <c r="CL3" s="533" t="s">
        <v>450</v>
      </c>
      <c r="CM3" s="533" t="s">
        <v>451</v>
      </c>
      <c r="CN3" s="533" t="s">
        <v>452</v>
      </c>
      <c r="CO3" s="533" t="s">
        <v>453</v>
      </c>
      <c r="CP3" s="533" t="s">
        <v>454</v>
      </c>
      <c r="CQ3" s="533" t="s">
        <v>455</v>
      </c>
      <c r="CR3" s="533" t="s">
        <v>456</v>
      </c>
      <c r="CS3" s="533" t="s">
        <v>457</v>
      </c>
      <c r="CT3" s="533" t="s">
        <v>458</v>
      </c>
      <c r="CU3" s="533" t="s">
        <v>447</v>
      </c>
      <c r="CV3" s="533" t="s">
        <v>448</v>
      </c>
      <c r="CW3" s="533" t="s">
        <v>449</v>
      </c>
      <c r="CX3" s="533" t="s">
        <v>450</v>
      </c>
      <c r="CY3" s="533" t="s">
        <v>451</v>
      </c>
      <c r="CZ3" s="533" t="s">
        <v>452</v>
      </c>
      <c r="DA3" s="533" t="s">
        <v>453</v>
      </c>
      <c r="DB3" s="533" t="s">
        <v>454</v>
      </c>
      <c r="DC3" s="533" t="s">
        <v>455</v>
      </c>
      <c r="DD3" s="533" t="s">
        <v>456</v>
      </c>
      <c r="DE3" s="533" t="s">
        <v>457</v>
      </c>
      <c r="DF3" s="533" t="s">
        <v>458</v>
      </c>
      <c r="DG3" s="533" t="s">
        <v>447</v>
      </c>
      <c r="DH3" s="533" t="s">
        <v>448</v>
      </c>
      <c r="DI3" s="533" t="s">
        <v>449</v>
      </c>
      <c r="DJ3" s="533" t="s">
        <v>450</v>
      </c>
      <c r="DK3" s="533" t="s">
        <v>451</v>
      </c>
      <c r="DL3" s="533" t="s">
        <v>452</v>
      </c>
      <c r="DM3" s="533" t="s">
        <v>453</v>
      </c>
      <c r="DN3" s="533" t="s">
        <v>454</v>
      </c>
      <c r="DO3" s="533" t="s">
        <v>455</v>
      </c>
      <c r="DP3" s="533" t="s">
        <v>456</v>
      </c>
      <c r="DQ3" s="533" t="s">
        <v>457</v>
      </c>
      <c r="DR3" s="533" t="s">
        <v>458</v>
      </c>
      <c r="DS3" s="533" t="s">
        <v>447</v>
      </c>
      <c r="DT3" s="533" t="s">
        <v>448</v>
      </c>
      <c r="DU3" s="533" t="s">
        <v>449</v>
      </c>
      <c r="DV3" s="533" t="s">
        <v>450</v>
      </c>
      <c r="DW3" s="533" t="s">
        <v>451</v>
      </c>
      <c r="DX3" s="533" t="s">
        <v>452</v>
      </c>
      <c r="DY3" s="533" t="s">
        <v>453</v>
      </c>
      <c r="DZ3" s="533" t="s">
        <v>454</v>
      </c>
      <c r="EA3" s="533" t="s">
        <v>455</v>
      </c>
      <c r="EB3" s="533" t="s">
        <v>456</v>
      </c>
      <c r="EC3" s="533" t="s">
        <v>457</v>
      </c>
      <c r="ED3" s="533" t="s">
        <v>458</v>
      </c>
      <c r="EE3" s="533" t="s">
        <v>447</v>
      </c>
      <c r="EF3" s="533" t="s">
        <v>448</v>
      </c>
      <c r="EG3" s="533" t="s">
        <v>449</v>
      </c>
      <c r="EH3" s="533" t="s">
        <v>450</v>
      </c>
      <c r="EI3" s="533" t="s">
        <v>451</v>
      </c>
      <c r="EJ3" s="533" t="s">
        <v>452</v>
      </c>
      <c r="EK3" s="533" t="s">
        <v>453</v>
      </c>
      <c r="EL3" s="533" t="s">
        <v>454</v>
      </c>
      <c r="EM3" s="533" t="s">
        <v>455</v>
      </c>
      <c r="EN3" s="533" t="s">
        <v>456</v>
      </c>
      <c r="EO3" s="533" t="s">
        <v>457</v>
      </c>
      <c r="EP3" s="533" t="s">
        <v>458</v>
      </c>
    </row>
    <row r="4" spans="2:146">
      <c r="B4" s="534">
        <v>2000</v>
      </c>
      <c r="C4" s="535"/>
      <c r="D4" s="535"/>
      <c r="E4" s="535"/>
      <c r="F4" s="535"/>
      <c r="G4" s="535"/>
      <c r="H4" s="535"/>
      <c r="I4" s="535"/>
      <c r="J4" s="535"/>
      <c r="K4" s="535"/>
      <c r="L4" s="535"/>
      <c r="M4" s="535"/>
      <c r="N4" s="535"/>
      <c r="O4" s="535"/>
      <c r="P4" s="535"/>
      <c r="Q4" s="535"/>
      <c r="R4" s="535"/>
      <c r="S4" s="535"/>
      <c r="T4" s="535"/>
      <c r="U4" s="535"/>
      <c r="V4" s="535"/>
      <c r="W4" s="535"/>
      <c r="X4" s="535"/>
      <c r="Y4" s="535"/>
      <c r="Z4" s="535"/>
      <c r="AA4" s="535">
        <v>-5.6837184239409728</v>
      </c>
      <c r="AB4" s="535">
        <v>-11.569054320609197</v>
      </c>
      <c r="AC4" s="535">
        <v>-11.892481160836867</v>
      </c>
      <c r="AD4" s="535">
        <v>-11.701224190750128</v>
      </c>
      <c r="AE4" s="535">
        <v>-9.4517091641553606</v>
      </c>
      <c r="AF4" s="535">
        <v>-6.4163112477082977</v>
      </c>
      <c r="AG4" s="535">
        <v>-21.865920815096956</v>
      </c>
      <c r="AH4" s="535">
        <v>-21.327865209749199</v>
      </c>
      <c r="AI4" s="535">
        <v>-25.652883515687897</v>
      </c>
      <c r="AJ4" s="535">
        <v>-21.733839788082804</v>
      </c>
      <c r="AK4" s="535">
        <v>-20.429749529932174</v>
      </c>
      <c r="AL4" s="535">
        <v>-21.888992659058641</v>
      </c>
      <c r="AM4" s="535">
        <v>-0.36214257591913668</v>
      </c>
      <c r="AN4" s="535">
        <v>-0.66297536976073657</v>
      </c>
      <c r="AO4" s="535">
        <v>-0.8720166540336427</v>
      </c>
      <c r="AP4" s="535">
        <v>-0.9446673823763323</v>
      </c>
      <c r="AQ4" s="535">
        <v>-0.76328254954863606</v>
      </c>
      <c r="AR4" s="535">
        <v>-0.41973404071102333</v>
      </c>
      <c r="AS4" s="535">
        <v>-0.86560208499753788</v>
      </c>
      <c r="AT4" s="535">
        <v>-0.86304799469408278</v>
      </c>
      <c r="AU4" s="535">
        <v>-1.1840168454546807</v>
      </c>
      <c r="AV4" s="535">
        <v>-1.1296453899010077</v>
      </c>
      <c r="AW4" s="535">
        <v>-0.81742817467790929</v>
      </c>
      <c r="AX4" s="535">
        <v>-0.86305790517679815</v>
      </c>
      <c r="AY4" s="535">
        <v>-0.7351933920488064</v>
      </c>
      <c r="AZ4" s="535">
        <v>-1.8707015287122359</v>
      </c>
      <c r="BA4" s="535">
        <v>-2.4606031417656928</v>
      </c>
      <c r="BB4" s="535">
        <v>-2.5648230869844082</v>
      </c>
      <c r="BC4" s="535">
        <v>-2.0770436784757855</v>
      </c>
      <c r="BD4" s="535">
        <v>-0.92198271113885322</v>
      </c>
      <c r="BE4" s="535">
        <v>-2.8969100295905807</v>
      </c>
      <c r="BF4" s="535">
        <v>-2.850706171284676</v>
      </c>
      <c r="BG4" s="535">
        <v>-4.9538864252793813</v>
      </c>
      <c r="BH4" s="535">
        <v>-4.0648949041419398</v>
      </c>
      <c r="BI4" s="535">
        <v>-2.503295164415968</v>
      </c>
      <c r="BJ4" s="535">
        <v>-2.8917485496129505</v>
      </c>
      <c r="BK4" s="535">
        <v>-0.17374803714290671</v>
      </c>
      <c r="BL4" s="535">
        <v>-0.29883428792262512</v>
      </c>
      <c r="BM4" s="535">
        <v>-0.48039755603339063</v>
      </c>
      <c r="BN4" s="535">
        <v>-0.53996408770675874</v>
      </c>
      <c r="BO4" s="535">
        <v>-0.47988635742934582</v>
      </c>
      <c r="BP4" s="535">
        <v>-0.22086411044326104</v>
      </c>
      <c r="BQ4" s="535">
        <v>-0.41313764310521489</v>
      </c>
      <c r="BR4" s="535">
        <v>-0.41141479328286878</v>
      </c>
      <c r="BS4" s="535">
        <v>-0.73386229064102859</v>
      </c>
      <c r="BT4" s="535">
        <v>-0.71895480608469731</v>
      </c>
      <c r="BU4" s="535">
        <v>-0.47097010089294727</v>
      </c>
      <c r="BV4" s="535">
        <v>-0.42976554037815856</v>
      </c>
      <c r="BW4" s="535">
        <v>-0.29827235829053589</v>
      </c>
      <c r="BX4" s="535">
        <v>-0.63464844823711886</v>
      </c>
      <c r="BY4" s="535">
        <v>-0.8965172766891214</v>
      </c>
      <c r="BZ4" s="535">
        <v>-0.95932132695536976</v>
      </c>
      <c r="CA4" s="535">
        <v>-0.83685650579487236</v>
      </c>
      <c r="CB4" s="535">
        <v>-0.37314162854968314</v>
      </c>
      <c r="CC4" s="535">
        <v>-0.62977987795285073</v>
      </c>
      <c r="CD4" s="535">
        <v>-0.63361808679586495</v>
      </c>
      <c r="CE4" s="535">
        <v>-1.3478895357077147</v>
      </c>
      <c r="CF4" s="535">
        <v>-1.1545278073089229</v>
      </c>
      <c r="CG4" s="535">
        <v>-0.62573343601362719</v>
      </c>
      <c r="CH4" s="535">
        <v>-0.6356426811128586</v>
      </c>
      <c r="CI4" s="535">
        <v>-0.33979568423873813</v>
      </c>
      <c r="CJ4" s="535">
        <v>-0.81550604411960215</v>
      </c>
      <c r="CK4" s="535">
        <v>-1.1609242799527337</v>
      </c>
      <c r="CL4" s="535">
        <v>-1.2371023176665643</v>
      </c>
      <c r="CM4" s="535">
        <v>-1.0462170874050545</v>
      </c>
      <c r="CN4" s="535">
        <v>-0.43519445618319669</v>
      </c>
      <c r="CO4" s="535">
        <v>-1.309736408304472</v>
      </c>
      <c r="CP4" s="535">
        <v>-1.295527908157321</v>
      </c>
      <c r="CQ4" s="535">
        <v>-2.5109697766884582</v>
      </c>
      <c r="CR4" s="535">
        <v>-2.1419057881173362</v>
      </c>
      <c r="CS4" s="535">
        <v>-1.1880731383286278</v>
      </c>
      <c r="CT4" s="535">
        <v>-1.3220539229754429</v>
      </c>
      <c r="CU4" s="535">
        <v>-0.33391023464435349</v>
      </c>
      <c r="CV4" s="535">
        <v>-0.77891849437572902</v>
      </c>
      <c r="CW4" s="535">
        <v>-1.0627130935964924</v>
      </c>
      <c r="CX4" s="535">
        <v>-1.1525537072808512</v>
      </c>
      <c r="CY4" s="535">
        <v>-0.97863639060250696</v>
      </c>
      <c r="CZ4" s="535">
        <v>-0.42682943728038286</v>
      </c>
      <c r="DA4" s="535">
        <v>-0.90983553538888662</v>
      </c>
      <c r="DB4" s="535">
        <v>-0.91736443946026058</v>
      </c>
      <c r="DC4" s="535">
        <v>-1.6844448559847951</v>
      </c>
      <c r="DD4" s="535">
        <v>-1.465931541320542</v>
      </c>
      <c r="DE4" s="535">
        <v>-0.86583098504519318</v>
      </c>
      <c r="DF4" s="535">
        <v>-0.91267778479171169</v>
      </c>
      <c r="DG4" s="535">
        <v>-1.6251603235446737</v>
      </c>
      <c r="DH4" s="535">
        <v>-4.2040756506743762</v>
      </c>
      <c r="DI4" s="535">
        <v>-4.8615557336238089</v>
      </c>
      <c r="DJ4" s="535">
        <v>-5.0030412506249711</v>
      </c>
      <c r="DK4" s="535">
        <v>-4.0364438898291883</v>
      </c>
      <c r="DL4" s="535">
        <v>-1.9972999508356857</v>
      </c>
      <c r="DM4" s="535">
        <v>-6.1004041270156684</v>
      </c>
      <c r="DN4" s="535">
        <v>-6.4259837541299616</v>
      </c>
      <c r="DO4" s="535">
        <v>-10.112255527943734</v>
      </c>
      <c r="DP4" s="535">
        <v>-8.2922340530889826</v>
      </c>
      <c r="DQ4" s="535">
        <v>-5.5892692890553404</v>
      </c>
      <c r="DR4" s="535">
        <v>-6.1298465906631883</v>
      </c>
      <c r="DS4" s="535">
        <v>-1.3987274169904342</v>
      </c>
      <c r="DT4" s="535">
        <v>-2.6815092783045968</v>
      </c>
      <c r="DU4" s="535">
        <v>-2.8210336854608138</v>
      </c>
      <c r="DV4" s="535">
        <v>-2.7903630024909853</v>
      </c>
      <c r="DW4" s="535">
        <v>-2.3469489145047042</v>
      </c>
      <c r="DX4" s="535">
        <v>-1.5725670627717936</v>
      </c>
      <c r="DY4" s="535">
        <v>-4.0426400763228925</v>
      </c>
      <c r="DZ4" s="535">
        <v>-4.0573080401654238</v>
      </c>
      <c r="EA4" s="535">
        <v>-4.8014137044569978</v>
      </c>
      <c r="EB4" s="535">
        <v>-4.2031236291995118</v>
      </c>
      <c r="EC4" s="535">
        <v>-3.9500657510733896</v>
      </c>
      <c r="ED4" s="535">
        <v>-4.0543160750816716</v>
      </c>
      <c r="EE4" s="535">
        <v>-0.81127479367607569</v>
      </c>
      <c r="EF4" s="535">
        <v>-1.5598828425119198</v>
      </c>
      <c r="EG4" s="535">
        <v>-1.6728447404140323</v>
      </c>
      <c r="EH4" s="535">
        <v>-1.6518463017086689</v>
      </c>
      <c r="EI4" s="535">
        <v>-1.4315642599949423</v>
      </c>
      <c r="EJ4" s="535">
        <v>-0.91366749859546348</v>
      </c>
      <c r="EK4" s="535">
        <v>-1.7886644590366971</v>
      </c>
      <c r="EL4" s="535">
        <v>-1.8368827495030706</v>
      </c>
      <c r="EM4" s="535">
        <v>-2.2670902554172412</v>
      </c>
      <c r="EN4" s="535">
        <v>-1.9870739481337099</v>
      </c>
      <c r="EO4" s="535">
        <v>-1.7642522111510766</v>
      </c>
      <c r="EP4" s="535">
        <v>-1.7880435513035406</v>
      </c>
    </row>
    <row r="5" spans="2:146">
      <c r="B5" s="534">
        <v>2001</v>
      </c>
      <c r="C5" s="535">
        <v>-5.3867534407376993</v>
      </c>
      <c r="D5" s="535">
        <v>-10.721120894728248</v>
      </c>
      <c r="E5" s="535">
        <v>-10.799831082541356</v>
      </c>
      <c r="F5" s="535">
        <v>-10.692148493783289</v>
      </c>
      <c r="G5" s="535">
        <v>-9.436809237805809</v>
      </c>
      <c r="H5" s="535">
        <v>-6.9675891911650041</v>
      </c>
      <c r="I5" s="535">
        <v>-13.190895256599957</v>
      </c>
      <c r="J5" s="535">
        <v>-14.103121697491423</v>
      </c>
      <c r="K5" s="535">
        <v>-16.823032922314773</v>
      </c>
      <c r="L5" s="535">
        <v>-14.394645994452004</v>
      </c>
      <c r="M5" s="535">
        <v>-13.37349852449322</v>
      </c>
      <c r="N5" s="535">
        <v>-13.596816112411737</v>
      </c>
      <c r="O5" s="535">
        <v>-6.3963484470989558</v>
      </c>
      <c r="P5" s="535">
        <v>-11.769819577219575</v>
      </c>
      <c r="Q5" s="535">
        <v>-11.893671310837641</v>
      </c>
      <c r="R5" s="535">
        <v>-11.765518383989793</v>
      </c>
      <c r="S5" s="535">
        <v>-10.150008251858804</v>
      </c>
      <c r="T5" s="535">
        <v>-7.6999729771136529</v>
      </c>
      <c r="U5" s="535">
        <v>-15.828412168841181</v>
      </c>
      <c r="V5" s="535">
        <v>-16.305223909986328</v>
      </c>
      <c r="W5" s="535">
        <v>-19.434806875455859</v>
      </c>
      <c r="X5" s="535">
        <v>-16.727370743737431</v>
      </c>
      <c r="Y5" s="535">
        <v>-15.373792814960852</v>
      </c>
      <c r="Z5" s="535">
        <v>-16.152236992590144</v>
      </c>
      <c r="AA5" s="535">
        <v>-5.1104423245665949</v>
      </c>
      <c r="AB5" s="535">
        <v>-10.094926334918286</v>
      </c>
      <c r="AC5" s="535">
        <v>-10.417182195915634</v>
      </c>
      <c r="AD5" s="535">
        <v>-10.364654979412267</v>
      </c>
      <c r="AE5" s="535">
        <v>-8.9745926524559607</v>
      </c>
      <c r="AF5" s="535">
        <v>-6.6734480904995532</v>
      </c>
      <c r="AG5" s="535">
        <v>-12.982750826089591</v>
      </c>
      <c r="AH5" s="535">
        <v>-13.036887142601469</v>
      </c>
      <c r="AI5" s="535">
        <v>-15.469495509438721</v>
      </c>
      <c r="AJ5" s="535">
        <v>-13.446170637803631</v>
      </c>
      <c r="AK5" s="535">
        <v>-12.71144451019669</v>
      </c>
      <c r="AL5" s="535">
        <v>-13.299390653896946</v>
      </c>
      <c r="AM5" s="535">
        <v>-4.0646417325311388</v>
      </c>
      <c r="AN5" s="535">
        <v>-7.6635361247648817</v>
      </c>
      <c r="AO5" s="535">
        <v>-8.353509361270568</v>
      </c>
      <c r="AP5" s="535">
        <v>-8.6126893035705372</v>
      </c>
      <c r="AQ5" s="535">
        <v>-7.1589543382714496</v>
      </c>
      <c r="AR5" s="535">
        <v>-5.1510785348398933</v>
      </c>
      <c r="AS5" s="535">
        <v>-9.6810799420784353</v>
      </c>
      <c r="AT5" s="535">
        <v>-9.8364153818299673</v>
      </c>
      <c r="AU5" s="535">
        <v>-12.187988448622608</v>
      </c>
      <c r="AV5" s="535">
        <v>-10.725240892113858</v>
      </c>
      <c r="AW5" s="535">
        <v>-8.9768736267395859</v>
      </c>
      <c r="AX5" s="535">
        <v>-9.8216370720744379</v>
      </c>
      <c r="AY5" s="535">
        <v>-3.2640963751798959</v>
      </c>
      <c r="AZ5" s="535">
        <v>-7.0695880567981071</v>
      </c>
      <c r="BA5" s="535">
        <v>-8.4377596957748189</v>
      </c>
      <c r="BB5" s="535">
        <v>-8.7110179114704849</v>
      </c>
      <c r="BC5" s="535">
        <v>-7.437249497803136</v>
      </c>
      <c r="BD5" s="535">
        <v>-4.3853709955266078</v>
      </c>
      <c r="BE5" s="535">
        <v>-8.8077674168764215</v>
      </c>
      <c r="BF5" s="535">
        <v>-8.9032721221292981</v>
      </c>
      <c r="BG5" s="535">
        <v>-14.355776481996267</v>
      </c>
      <c r="BH5" s="535">
        <v>-11.957180546825084</v>
      </c>
      <c r="BI5" s="535">
        <v>-8.0147909319542734</v>
      </c>
      <c r="BJ5" s="535">
        <v>-8.9680960242932937</v>
      </c>
      <c r="BK5" s="535">
        <v>-1.8703967728558812</v>
      </c>
      <c r="BL5" s="535">
        <v>-2.7319290540144734</v>
      </c>
      <c r="BM5" s="535">
        <v>-3.0602138438545219</v>
      </c>
      <c r="BN5" s="535">
        <v>-3.2224704649070839</v>
      </c>
      <c r="BO5" s="535">
        <v>-3.076688272690661</v>
      </c>
      <c r="BP5" s="535">
        <v>-2.4692454427106316</v>
      </c>
      <c r="BQ5" s="535">
        <v>-2.2119888202973574</v>
      </c>
      <c r="BR5" s="535">
        <v>-2.3589587447229134</v>
      </c>
      <c r="BS5" s="535">
        <v>-2.950305247234557</v>
      </c>
      <c r="BT5" s="535">
        <v>-2.9313718332932024</v>
      </c>
      <c r="BU5" s="535">
        <v>-2.4995535407401102</v>
      </c>
      <c r="BV5" s="535">
        <v>-2.3635338614993588</v>
      </c>
      <c r="BW5" s="535">
        <v>-88.749636006077822</v>
      </c>
      <c r="BX5" s="535">
        <v>-91.816651794612113</v>
      </c>
      <c r="BY5" s="535">
        <v>-97.502937498140085</v>
      </c>
      <c r="BZ5" s="535">
        <v>-97.862549266567882</v>
      </c>
      <c r="CA5" s="535">
        <v>-95.19806482227429</v>
      </c>
      <c r="CB5" s="535">
        <v>-91.30524627365412</v>
      </c>
      <c r="CC5" s="535">
        <v>-85.810799644253905</v>
      </c>
      <c r="CD5" s="535">
        <v>-87.115216613739648</v>
      </c>
      <c r="CE5" s="535">
        <v>-93.118396003427449</v>
      </c>
      <c r="CF5" s="535">
        <v>-94.147812385229912</v>
      </c>
      <c r="CG5" s="535">
        <v>-91.497409314812145</v>
      </c>
      <c r="CH5" s="535">
        <v>-88.58814575594451</v>
      </c>
      <c r="CI5" s="535">
        <v>-90.735801828640746</v>
      </c>
      <c r="CJ5" s="535">
        <v>-93.956153321725751</v>
      </c>
      <c r="CK5" s="535">
        <v>-100.33101232703569</v>
      </c>
      <c r="CL5" s="535">
        <v>-101.51676290301295</v>
      </c>
      <c r="CM5" s="535">
        <v>-98.140367921409933</v>
      </c>
      <c r="CN5" s="535">
        <v>-93.466640341840758</v>
      </c>
      <c r="CO5" s="535">
        <v>-90.318983324748757</v>
      </c>
      <c r="CP5" s="535">
        <v>-91.918845761401371</v>
      </c>
      <c r="CQ5" s="535">
        <v>-99.782436068871789</v>
      </c>
      <c r="CR5" s="535">
        <v>-101.11796417659703</v>
      </c>
      <c r="CS5" s="535">
        <v>-97.637679843343363</v>
      </c>
      <c r="CT5" s="535">
        <v>-93.974757977275033</v>
      </c>
      <c r="CU5" s="535">
        <v>-90.359965520046359</v>
      </c>
      <c r="CV5" s="535">
        <v>-93.316776178780174</v>
      </c>
      <c r="CW5" s="535">
        <v>-98.731604290154635</v>
      </c>
      <c r="CX5" s="535">
        <v>-99.552988648555043</v>
      </c>
      <c r="CY5" s="535">
        <v>-96.136181772680345</v>
      </c>
      <c r="CZ5" s="535">
        <v>-91.806139525127676</v>
      </c>
      <c r="DA5" s="535">
        <v>-91.661319407923756</v>
      </c>
      <c r="DB5" s="535">
        <v>-92.519737487026674</v>
      </c>
      <c r="DC5" s="535">
        <v>-99.868553201914878</v>
      </c>
      <c r="DD5" s="535">
        <v>-101.64869802550793</v>
      </c>
      <c r="DE5" s="535">
        <v>-98.456217055198564</v>
      </c>
      <c r="DF5" s="535">
        <v>-95.442057947790616</v>
      </c>
      <c r="DG5" s="535">
        <v>-86.650140660005732</v>
      </c>
      <c r="DH5" s="535">
        <v>-93.046108666018924</v>
      </c>
      <c r="DI5" s="535">
        <v>-98.332111537757669</v>
      </c>
      <c r="DJ5" s="535">
        <v>-99.094754361356166</v>
      </c>
      <c r="DK5" s="535">
        <v>-94.7201488378427</v>
      </c>
      <c r="DL5" s="535">
        <v>-88.854653526584741</v>
      </c>
      <c r="DM5" s="535">
        <v>-95.093521637214366</v>
      </c>
      <c r="DN5" s="535">
        <v>-96.708352154716437</v>
      </c>
      <c r="DO5" s="535">
        <v>-107.70904484398952</v>
      </c>
      <c r="DP5" s="535">
        <v>-106.55474083410211</v>
      </c>
      <c r="DQ5" s="535">
        <v>-99.52309920457644</v>
      </c>
      <c r="DR5" s="535">
        <v>-97.060812201718505</v>
      </c>
      <c r="DS5" s="535">
        <v>-83.186976960655556</v>
      </c>
      <c r="DT5" s="535">
        <v>-88.034367111725174</v>
      </c>
      <c r="DU5" s="535">
        <v>-91.591583007930112</v>
      </c>
      <c r="DV5" s="535">
        <v>-92.256573161712041</v>
      </c>
      <c r="DW5" s="535">
        <v>-89.247883443683975</v>
      </c>
      <c r="DX5" s="535">
        <v>-85.112693911650297</v>
      </c>
      <c r="DY5" s="535">
        <v>-87.944812356269438</v>
      </c>
      <c r="DZ5" s="535">
        <v>-89.368653244419335</v>
      </c>
      <c r="EA5" s="535">
        <v>-94.085046185494377</v>
      </c>
      <c r="EB5" s="535">
        <v>-94.533620677542501</v>
      </c>
      <c r="EC5" s="535">
        <v>-91.596818552906299</v>
      </c>
      <c r="ED5" s="535">
        <v>-89.203876227032509</v>
      </c>
      <c r="EE5" s="535">
        <v>-80.645170846714919</v>
      </c>
      <c r="EF5" s="535">
        <v>-85.966483961846876</v>
      </c>
      <c r="EG5" s="535">
        <v>-89.491366638915025</v>
      </c>
      <c r="EH5" s="535">
        <v>-89.298274909417444</v>
      </c>
      <c r="EI5" s="535">
        <v>-86.322349355551921</v>
      </c>
      <c r="EJ5" s="535">
        <v>-82.825330114893035</v>
      </c>
      <c r="EK5" s="535">
        <v>-82.316149811959406</v>
      </c>
      <c r="EL5" s="535">
        <v>-84.198557727781761</v>
      </c>
      <c r="EM5" s="535">
        <v>-88.004552865456503</v>
      </c>
      <c r="EN5" s="535">
        <v>-87.637028540455233</v>
      </c>
      <c r="EO5" s="535">
        <v>-85.671731345882066</v>
      </c>
      <c r="EP5" s="535">
        <v>-84.066464264720636</v>
      </c>
    </row>
    <row r="6" spans="2:146">
      <c r="B6" s="534">
        <v>2002</v>
      </c>
      <c r="C6" s="535">
        <v>-76.182649426801717</v>
      </c>
      <c r="D6" s="535">
        <v>-82.653144939052282</v>
      </c>
      <c r="E6" s="535">
        <v>-86.023893766732073</v>
      </c>
      <c r="F6" s="535">
        <v>-85.893527589128198</v>
      </c>
      <c r="G6" s="535">
        <v>-82.490565782356953</v>
      </c>
      <c r="H6" s="535">
        <v>-78.468749012835247</v>
      </c>
      <c r="I6" s="535">
        <v>-82.621063683993953</v>
      </c>
      <c r="J6" s="535">
        <v>-84.92723993544756</v>
      </c>
      <c r="K6" s="535">
        <v>-90.268673892973951</v>
      </c>
      <c r="L6" s="535">
        <v>-88.467271395985989</v>
      </c>
      <c r="M6" s="535">
        <v>-85.31106722777254</v>
      </c>
      <c r="N6" s="535">
        <v>-83.542149615228666</v>
      </c>
      <c r="O6" s="535">
        <v>-75.243633354766359</v>
      </c>
      <c r="P6" s="535">
        <v>-81.488114251545255</v>
      </c>
      <c r="Q6" s="535">
        <v>-84.484870357661208</v>
      </c>
      <c r="R6" s="535">
        <v>-83.984036564922221</v>
      </c>
      <c r="S6" s="535">
        <v>-80.52080120496565</v>
      </c>
      <c r="T6" s="535">
        <v>-76.747864066860686</v>
      </c>
      <c r="U6" s="535">
        <v>-82.511181965388772</v>
      </c>
      <c r="V6" s="535">
        <v>-84.15546524377713</v>
      </c>
      <c r="W6" s="535">
        <v>-89.31508723509134</v>
      </c>
      <c r="X6" s="535">
        <v>-86.964602174398507</v>
      </c>
      <c r="Y6" s="535">
        <v>-84.336768071701783</v>
      </c>
      <c r="Z6" s="535">
        <v>-83.416882279443499</v>
      </c>
      <c r="AA6" s="535">
        <v>-70.558814918092978</v>
      </c>
      <c r="AB6" s="535">
        <v>-75.997815157178991</v>
      </c>
      <c r="AC6" s="535">
        <v>-80.06912159751775</v>
      </c>
      <c r="AD6" s="535">
        <v>-81.048302672225077</v>
      </c>
      <c r="AE6" s="535">
        <v>-77.928089988564281</v>
      </c>
      <c r="AF6" s="535">
        <v>-74.183113536467232</v>
      </c>
      <c r="AG6" s="535">
        <v>-77.87394469167009</v>
      </c>
      <c r="AH6" s="535">
        <v>-78.937452243654732</v>
      </c>
      <c r="AI6" s="535">
        <v>-83.154197077642124</v>
      </c>
      <c r="AJ6" s="535">
        <v>-81.839425801219818</v>
      </c>
      <c r="AK6" s="535">
        <v>-79.882969343129872</v>
      </c>
      <c r="AL6" s="535">
        <v>-78.474267986826447</v>
      </c>
      <c r="AM6" s="535">
        <v>-78.411440817598958</v>
      </c>
      <c r="AN6" s="535">
        <v>-84.139152986630606</v>
      </c>
      <c r="AO6" s="535">
        <v>-88.942914804764143</v>
      </c>
      <c r="AP6" s="535">
        <v>-90.263278972403583</v>
      </c>
      <c r="AQ6" s="535">
        <v>-86.080436017941651</v>
      </c>
      <c r="AR6" s="535">
        <v>-80.975827739804956</v>
      </c>
      <c r="AS6" s="535">
        <v>-85.55225729622282</v>
      </c>
      <c r="AT6" s="535">
        <v>-86.836215873595151</v>
      </c>
      <c r="AU6" s="535">
        <v>-92.930860459355699</v>
      </c>
      <c r="AV6" s="535">
        <v>-91.044484515823427</v>
      </c>
      <c r="AW6" s="535">
        <v>-87.206559937232669</v>
      </c>
      <c r="AX6" s="535">
        <v>-86.081545041705482</v>
      </c>
      <c r="AY6" s="535">
        <v>-84.051490924516003</v>
      </c>
      <c r="AZ6" s="535">
        <v>-90.4730391590533</v>
      </c>
      <c r="BA6" s="535">
        <v>-96.814139246563713</v>
      </c>
      <c r="BB6" s="535">
        <v>-98.027469349283166</v>
      </c>
      <c r="BC6" s="535">
        <v>-93.720143605415686</v>
      </c>
      <c r="BD6" s="535">
        <v>-87.192079320472359</v>
      </c>
      <c r="BE6" s="535">
        <v>-92.091300468459536</v>
      </c>
      <c r="BF6" s="535">
        <v>-93.490878935497705</v>
      </c>
      <c r="BG6" s="535">
        <v>-104.63607810407093</v>
      </c>
      <c r="BH6" s="535">
        <v>-102.38429286220597</v>
      </c>
      <c r="BI6" s="535">
        <v>-95.58291453974249</v>
      </c>
      <c r="BJ6" s="535">
        <v>-93.976910573427062</v>
      </c>
      <c r="BK6" s="535">
        <v>-86.942583913142499</v>
      </c>
      <c r="BL6" s="535">
        <v>-89.990683525844759</v>
      </c>
      <c r="BM6" s="535">
        <v>-94.946685908885485</v>
      </c>
      <c r="BN6" s="535">
        <v>-95.500343117693518</v>
      </c>
      <c r="BO6" s="535">
        <v>-92.763403386248214</v>
      </c>
      <c r="BP6" s="535">
        <v>-89.553179407492692</v>
      </c>
      <c r="BQ6" s="535">
        <v>-88.458600332037008</v>
      </c>
      <c r="BR6" s="535">
        <v>-89.416546270908782</v>
      </c>
      <c r="BS6" s="535">
        <v>-94.011403137074169</v>
      </c>
      <c r="BT6" s="535">
        <v>-94.854407318061362</v>
      </c>
      <c r="BU6" s="535">
        <v>-92.633172379334326</v>
      </c>
      <c r="BV6" s="535">
        <v>-89.704237000070776</v>
      </c>
      <c r="BW6" s="535">
        <v>-88.791513734218412</v>
      </c>
      <c r="BX6" s="535">
        <v>-91.964684738072364</v>
      </c>
      <c r="BY6" s="535">
        <v>-97.695028048922822</v>
      </c>
      <c r="BZ6" s="535">
        <v>-98.060613764942346</v>
      </c>
      <c r="CA6" s="535">
        <v>-95.359629293508689</v>
      </c>
      <c r="CB6" s="535">
        <v>-91.360803670784748</v>
      </c>
      <c r="CC6" s="535">
        <v>-86.177337296725696</v>
      </c>
      <c r="CD6" s="535">
        <v>-87.474618731067523</v>
      </c>
      <c r="CE6" s="535">
        <v>-93.929014405384592</v>
      </c>
      <c r="CF6" s="535">
        <v>-94.763841777323321</v>
      </c>
      <c r="CG6" s="535">
        <v>-91.799657713612973</v>
      </c>
      <c r="CH6" s="535">
        <v>-88.952398597312879</v>
      </c>
      <c r="CI6" s="535">
        <v>-90.73393893886221</v>
      </c>
      <c r="CJ6" s="535">
        <v>-93.958576675391981</v>
      </c>
      <c r="CK6" s="535">
        <v>-100.33219469433411</v>
      </c>
      <c r="CL6" s="535">
        <v>-101.51715030638486</v>
      </c>
      <c r="CM6" s="535">
        <v>-98.139505819562018</v>
      </c>
      <c r="CN6" s="535">
        <v>-93.46457434969868</v>
      </c>
      <c r="CO6" s="535">
        <v>-90.095374618961117</v>
      </c>
      <c r="CP6" s="535">
        <v>-91.699082055325292</v>
      </c>
      <c r="CQ6" s="535">
        <v>-99.352222729505172</v>
      </c>
      <c r="CR6" s="535">
        <v>-100.76783289460352</v>
      </c>
      <c r="CS6" s="535">
        <v>-97.449112318804168</v>
      </c>
      <c r="CT6" s="535">
        <v>-93.7518887204766</v>
      </c>
      <c r="CU6" s="535">
        <v>-90.661312641658213</v>
      </c>
      <c r="CV6" s="535">
        <v>-94.226456952316354</v>
      </c>
      <c r="CW6" s="535">
        <v>-99.828611005240944</v>
      </c>
      <c r="CX6" s="535">
        <v>-100.68815283312938</v>
      </c>
      <c r="CY6" s="535">
        <v>-97.070099738650143</v>
      </c>
      <c r="CZ6" s="535">
        <v>-92.191150448193341</v>
      </c>
      <c r="DA6" s="535">
        <v>-93.077922191789526</v>
      </c>
      <c r="DB6" s="535">
        <v>-93.959851408768841</v>
      </c>
      <c r="DC6" s="535">
        <v>-102.47096779465099</v>
      </c>
      <c r="DD6" s="535">
        <v>-103.69383448294373</v>
      </c>
      <c r="DE6" s="535">
        <v>-99.681848735146133</v>
      </c>
      <c r="DF6" s="535">
        <v>-96.857345112274814</v>
      </c>
      <c r="DG6" s="535">
        <v>-86.212474835424899</v>
      </c>
      <c r="DH6" s="535">
        <v>-91.883811658884355</v>
      </c>
      <c r="DI6" s="535">
        <v>-97.020679336628305</v>
      </c>
      <c r="DJ6" s="535">
        <v>-97.757812907295232</v>
      </c>
      <c r="DK6" s="535">
        <v>-93.649518810011386</v>
      </c>
      <c r="DL6" s="535">
        <v>-88.318152174430693</v>
      </c>
      <c r="DM6" s="535">
        <v>-93.09808801215199</v>
      </c>
      <c r="DN6" s="535">
        <v>-94.60570714564696</v>
      </c>
      <c r="DO6" s="535">
        <v>-104.41746855619526</v>
      </c>
      <c r="DP6" s="535">
        <v>-103.89470564233977</v>
      </c>
      <c r="DQ6" s="535">
        <v>-97.716259439423524</v>
      </c>
      <c r="DR6" s="535">
        <v>-95.057710936147757</v>
      </c>
      <c r="DS6" s="535">
        <v>-83.18984846697785</v>
      </c>
      <c r="DT6" s="535">
        <v>-88.042157580646659</v>
      </c>
      <c r="DU6" s="535">
        <v>-91.595638014658306</v>
      </c>
      <c r="DV6" s="535">
        <v>-92.2590609987882</v>
      </c>
      <c r="DW6" s="535">
        <v>-89.249122343718895</v>
      </c>
      <c r="DX6" s="535">
        <v>-85.115703999136798</v>
      </c>
      <c r="DY6" s="535">
        <v>-86.893629848425263</v>
      </c>
      <c r="DZ6" s="535">
        <v>-88.313245125728372</v>
      </c>
      <c r="EA6" s="535">
        <v>-92.857115615223705</v>
      </c>
      <c r="EB6" s="535">
        <v>-93.481110821675827</v>
      </c>
      <c r="EC6" s="535">
        <v>-90.582096753623688</v>
      </c>
      <c r="ED6" s="535">
        <v>-88.149655804521402</v>
      </c>
      <c r="EE6" s="535">
        <v>-80.995465865002018</v>
      </c>
      <c r="EF6" s="535">
        <v>-86.674134794646676</v>
      </c>
      <c r="EG6" s="535">
        <v>-90.18690668339714</v>
      </c>
      <c r="EH6" s="535">
        <v>-89.972365188268142</v>
      </c>
      <c r="EI6" s="535">
        <v>-86.886563102312294</v>
      </c>
      <c r="EJ6" s="535">
        <v>-83.216927392888778</v>
      </c>
      <c r="EK6" s="535">
        <v>-83.943117757835523</v>
      </c>
      <c r="EL6" s="535">
        <v>-85.869958551141309</v>
      </c>
      <c r="EM6" s="535">
        <v>-89.990518857506842</v>
      </c>
      <c r="EN6" s="535">
        <v>-89.301006862807697</v>
      </c>
      <c r="EO6" s="535">
        <v>-87.230710314889166</v>
      </c>
      <c r="EP6" s="535">
        <v>-85.693033585853172</v>
      </c>
    </row>
    <row r="7" spans="2:146">
      <c r="B7" s="534">
        <v>2003</v>
      </c>
      <c r="C7" s="535">
        <v>-75.744991756249192</v>
      </c>
      <c r="D7" s="535">
        <v>-81.753192620054335</v>
      </c>
      <c r="E7" s="535">
        <v>-85.137446560250254</v>
      </c>
      <c r="F7" s="535">
        <v>-85.029999272544771</v>
      </c>
      <c r="G7" s="535">
        <v>-81.777025957687187</v>
      </c>
      <c r="H7" s="535">
        <v>-77.979651308733239</v>
      </c>
      <c r="I7" s="535">
        <v>-81.247561014918745</v>
      </c>
      <c r="J7" s="535">
        <v>-83.499444296863871</v>
      </c>
      <c r="K7" s="535">
        <v>-88.544446230990317</v>
      </c>
      <c r="L7" s="535">
        <v>-87.038081157935082</v>
      </c>
      <c r="M7" s="535">
        <v>-83.987598220380264</v>
      </c>
      <c r="N7" s="535">
        <v>-82.159831238658228</v>
      </c>
      <c r="O7" s="535">
        <v>-74.399335195190247</v>
      </c>
      <c r="P7" s="535">
        <v>-79.77413549821199</v>
      </c>
      <c r="Q7" s="535">
        <v>-82.781973622889396</v>
      </c>
      <c r="R7" s="535">
        <v>-82.31908935814441</v>
      </c>
      <c r="S7" s="535">
        <v>-79.178500124407961</v>
      </c>
      <c r="T7" s="535">
        <v>-75.804782411629603</v>
      </c>
      <c r="U7" s="535">
        <v>-79.782784892742683</v>
      </c>
      <c r="V7" s="535">
        <v>-81.388925154266545</v>
      </c>
      <c r="W7" s="535">
        <v>-85.963963815361822</v>
      </c>
      <c r="X7" s="535">
        <v>-84.163017298375962</v>
      </c>
      <c r="Y7" s="535">
        <v>-81.779347858652443</v>
      </c>
      <c r="Z7" s="535">
        <v>-80.668964055069893</v>
      </c>
      <c r="AA7" s="535">
        <v>-70.13038807211521</v>
      </c>
      <c r="AB7" s="535">
        <v>-75.11859151816634</v>
      </c>
      <c r="AC7" s="535">
        <v>-79.177407888763426</v>
      </c>
      <c r="AD7" s="535">
        <v>-80.174563856543173</v>
      </c>
      <c r="AE7" s="535">
        <v>-77.225971074925738</v>
      </c>
      <c r="AF7" s="535">
        <v>-73.699892377187055</v>
      </c>
      <c r="AG7" s="535">
        <v>-76.655508645817875</v>
      </c>
      <c r="AH7" s="535">
        <v>-77.749157626270787</v>
      </c>
      <c r="AI7" s="535">
        <v>-81.730722727508976</v>
      </c>
      <c r="AJ7" s="535">
        <v>-80.639365002201686</v>
      </c>
      <c r="AK7" s="535">
        <v>-78.747944835604287</v>
      </c>
      <c r="AL7" s="535">
        <v>-77.254520861704719</v>
      </c>
      <c r="AM7" s="535">
        <v>-84.52783246908534</v>
      </c>
      <c r="AN7" s="535">
        <v>-92.772423841946718</v>
      </c>
      <c r="AO7" s="535">
        <v>-102.70556745240981</v>
      </c>
      <c r="AP7" s="535">
        <v>-105.17925435578191</v>
      </c>
      <c r="AQ7" s="535">
        <v>-98.358937422853671</v>
      </c>
      <c r="AR7" s="535">
        <v>-88.467100172660494</v>
      </c>
      <c r="AS7" s="535">
        <v>-89.590323498960387</v>
      </c>
      <c r="AT7" s="535">
        <v>-91.047511866032494</v>
      </c>
      <c r="AU7" s="535">
        <v>-97.791825018090464</v>
      </c>
      <c r="AV7" s="535">
        <v>-96.880235392368959</v>
      </c>
      <c r="AW7" s="535">
        <v>-92.072196259792676</v>
      </c>
      <c r="AX7" s="535">
        <v>-90.332306200090798</v>
      </c>
      <c r="AY7" s="535">
        <v>-90.357946470417815</v>
      </c>
      <c r="AZ7" s="535">
        <v>-100.27080798332376</v>
      </c>
      <c r="BA7" s="535">
        <v>-112.56420199234603</v>
      </c>
      <c r="BB7" s="535">
        <v>-115.13899965799301</v>
      </c>
      <c r="BC7" s="535">
        <v>-107.69893339313182</v>
      </c>
      <c r="BD7" s="535">
        <v>-95.067775816393791</v>
      </c>
      <c r="BE7" s="535">
        <v>-96.187586818031377</v>
      </c>
      <c r="BF7" s="535">
        <v>-97.637565218018381</v>
      </c>
      <c r="BG7" s="535">
        <v>-109.43434292859064</v>
      </c>
      <c r="BH7" s="535">
        <v>-108.64900649809718</v>
      </c>
      <c r="BI7" s="535">
        <v>-100.72607826722128</v>
      </c>
      <c r="BJ7" s="535">
        <v>-98.279425347180378</v>
      </c>
      <c r="BK7" s="535">
        <v>-93.298851605712869</v>
      </c>
      <c r="BL7" s="535">
        <v>-102.44921407427196</v>
      </c>
      <c r="BM7" s="535">
        <v>-115.05769618499087</v>
      </c>
      <c r="BN7" s="535">
        <v>-116.76798679921312</v>
      </c>
      <c r="BO7" s="535">
        <v>-109.86033021031002</v>
      </c>
      <c r="BP7" s="535">
        <v>-97.911698800723997</v>
      </c>
      <c r="BQ7" s="535">
        <v>-94.855697477145824</v>
      </c>
      <c r="BR7" s="535">
        <v>-95.774024836729865</v>
      </c>
      <c r="BS7" s="535">
        <v>-103.45282699699447</v>
      </c>
      <c r="BT7" s="535">
        <v>-104.6451314992393</v>
      </c>
      <c r="BU7" s="535">
        <v>-99.96924390744941</v>
      </c>
      <c r="BV7" s="535">
        <v>-96.448116282243348</v>
      </c>
      <c r="BW7" s="535">
        <v>-95.6831248909712</v>
      </c>
      <c r="BX7" s="535">
        <v>-105.00024348924771</v>
      </c>
      <c r="BY7" s="535">
        <v>-117.80975449115553</v>
      </c>
      <c r="BZ7" s="535">
        <v>-119.01354443981954</v>
      </c>
      <c r="CA7" s="535">
        <v>-112.42670787660148</v>
      </c>
      <c r="CB7" s="535">
        <v>-100.10750567513361</v>
      </c>
      <c r="CC7" s="535">
        <v>-92.06094747023694</v>
      </c>
      <c r="CD7" s="535">
        <v>-93.349831537924459</v>
      </c>
      <c r="CE7" s="535">
        <v>-102.05543140434918</v>
      </c>
      <c r="CF7" s="535">
        <v>-103.61406100040949</v>
      </c>
      <c r="CG7" s="535">
        <v>-98.516425974355215</v>
      </c>
      <c r="CH7" s="535">
        <v>-95.033857506100631</v>
      </c>
      <c r="CI7" s="535">
        <v>-97.616680951583632</v>
      </c>
      <c r="CJ7" s="535">
        <v>-106.81655663860914</v>
      </c>
      <c r="CK7" s="535">
        <v>-120.5729905116721</v>
      </c>
      <c r="CL7" s="535">
        <v>-122.70520047789313</v>
      </c>
      <c r="CM7" s="535">
        <v>-115.26143686830719</v>
      </c>
      <c r="CN7" s="535">
        <v>-102.22985883497951</v>
      </c>
      <c r="CO7" s="535">
        <v>-96.017079748261636</v>
      </c>
      <c r="CP7" s="535">
        <v>-97.661567836650576</v>
      </c>
      <c r="CQ7" s="535">
        <v>-107.5757860947044</v>
      </c>
      <c r="CR7" s="535">
        <v>-109.63965742181234</v>
      </c>
      <c r="CS7" s="535">
        <v>-104.24238733612097</v>
      </c>
      <c r="CT7" s="535">
        <v>-100.00364026960465</v>
      </c>
      <c r="CU7" s="535">
        <v>-98.896490248405655</v>
      </c>
      <c r="CV7" s="535">
        <v>-108.28346563819933</v>
      </c>
      <c r="CW7" s="535">
        <v>-120.82197551905229</v>
      </c>
      <c r="CX7" s="535">
        <v>-122.89607608811363</v>
      </c>
      <c r="CY7" s="535">
        <v>-115.3147187448763</v>
      </c>
      <c r="CZ7" s="535">
        <v>-102.3869908744764</v>
      </c>
      <c r="DA7" s="535">
        <v>-104.02282430014692</v>
      </c>
      <c r="DB7" s="535">
        <v>-104.90870605302405</v>
      </c>
      <c r="DC7" s="535">
        <v>-118.56778835933531</v>
      </c>
      <c r="DD7" s="535">
        <v>-119.08812379794345</v>
      </c>
      <c r="DE7" s="535">
        <v>-110.89175823748391</v>
      </c>
      <c r="DF7" s="535">
        <v>-108.02232204592033</v>
      </c>
      <c r="DG7" s="535">
        <v>-92.360683253541779</v>
      </c>
      <c r="DH7" s="535">
        <v>-102.22606295992556</v>
      </c>
      <c r="DI7" s="535">
        <v>-113.5504213834616</v>
      </c>
      <c r="DJ7" s="535">
        <v>-115.61566969477852</v>
      </c>
      <c r="DK7" s="535">
        <v>-108.14632537923087</v>
      </c>
      <c r="DL7" s="535">
        <v>-96.223652838268364</v>
      </c>
      <c r="DM7" s="535">
        <v>-98.660773840989293</v>
      </c>
      <c r="DN7" s="535">
        <v>-100.17225275477729</v>
      </c>
      <c r="DO7" s="535">
        <v>-111.74092925725714</v>
      </c>
      <c r="DP7" s="535">
        <v>-111.88014638878357</v>
      </c>
      <c r="DQ7" s="535">
        <v>-104.01161122029507</v>
      </c>
      <c r="DR7" s="535">
        <v>-100.83932086174427</v>
      </c>
      <c r="DS7" s="535">
        <v>-90.862708309875444</v>
      </c>
      <c r="DT7" s="535">
        <v>-99.923057558702027</v>
      </c>
      <c r="DU7" s="535">
        <v>-108.36246415452365</v>
      </c>
      <c r="DV7" s="535">
        <v>-109.78208228781335</v>
      </c>
      <c r="DW7" s="535">
        <v>-103.70952336275026</v>
      </c>
      <c r="DX7" s="535">
        <v>-94.370565085360099</v>
      </c>
      <c r="DY7" s="535">
        <v>-94.18938704297247</v>
      </c>
      <c r="DZ7" s="535">
        <v>-95.605097778585659</v>
      </c>
      <c r="EA7" s="535">
        <v>-101.65191233794725</v>
      </c>
      <c r="EB7" s="535">
        <v>-102.58664147585526</v>
      </c>
      <c r="EC7" s="535">
        <v>-98.404404121210547</v>
      </c>
      <c r="ED7" s="535">
        <v>-95.569336068894955</v>
      </c>
      <c r="EE7" s="535">
        <v>-87.861361941689324</v>
      </c>
      <c r="EF7" s="535">
        <v>-97.941775020800605</v>
      </c>
      <c r="EG7" s="535">
        <v>-106.27455255397895</v>
      </c>
      <c r="EH7" s="535">
        <v>-106.65410094988262</v>
      </c>
      <c r="EI7" s="535">
        <v>-100.56831673405676</v>
      </c>
      <c r="EJ7" s="535">
        <v>-91.703780521868282</v>
      </c>
      <c r="EK7" s="535">
        <v>-92.20541517777967</v>
      </c>
      <c r="EL7" s="535">
        <v>-94.256723419671943</v>
      </c>
      <c r="EM7" s="535">
        <v>-100.34707205772997</v>
      </c>
      <c r="EN7" s="535">
        <v>-99.378377288864726</v>
      </c>
      <c r="EO7" s="535">
        <v>-95.901720522375683</v>
      </c>
      <c r="EP7" s="535">
        <v>-94.063692294587625</v>
      </c>
    </row>
    <row r="8" spans="2:146">
      <c r="B8" s="534">
        <v>2004</v>
      </c>
      <c r="C8" s="535">
        <v>-83.953041137026702</v>
      </c>
      <c r="D8" s="535">
        <v>-94.243889339258246</v>
      </c>
      <c r="E8" s="535">
        <v>-103.01989774248204</v>
      </c>
      <c r="F8" s="535">
        <v>-104.70843109566528</v>
      </c>
      <c r="G8" s="535">
        <v>-98.473946030602491</v>
      </c>
      <c r="H8" s="535">
        <v>-88.394283517957334</v>
      </c>
      <c r="I8" s="535">
        <v>-88.163219835333948</v>
      </c>
      <c r="J8" s="535">
        <v>-90.456003836632107</v>
      </c>
      <c r="K8" s="535">
        <v>-97.399131667189167</v>
      </c>
      <c r="L8" s="535">
        <v>-97.829423604853901</v>
      </c>
      <c r="M8" s="535">
        <v>-92.781765707777083</v>
      </c>
      <c r="N8" s="535">
        <v>-89.230284394098035</v>
      </c>
      <c r="O8" s="535">
        <v>-82.578749804541658</v>
      </c>
      <c r="P8" s="535">
        <v>-92.418145100594884</v>
      </c>
      <c r="Q8" s="535">
        <v>-101.03779002141002</v>
      </c>
      <c r="R8" s="535">
        <v>-102.41631810145935</v>
      </c>
      <c r="S8" s="535">
        <v>-96.299933027086595</v>
      </c>
      <c r="T8" s="535">
        <v>-86.323437523802582</v>
      </c>
      <c r="U8" s="535">
        <v>-87.122477705110072</v>
      </c>
      <c r="V8" s="535">
        <v>-88.746595663868803</v>
      </c>
      <c r="W8" s="535">
        <v>-95.201454729974785</v>
      </c>
      <c r="X8" s="535">
        <v>-95.388733924872696</v>
      </c>
      <c r="Y8" s="535">
        <v>-91.055354786896871</v>
      </c>
      <c r="Z8" s="535">
        <v>-88.088517006134623</v>
      </c>
      <c r="AA8" s="535">
        <v>-78.222781450091546</v>
      </c>
      <c r="AB8" s="535">
        <v>-86.557468011939548</v>
      </c>
      <c r="AC8" s="535">
        <v>-96.546444853626497</v>
      </c>
      <c r="AD8" s="535">
        <v>-99.693330235825414</v>
      </c>
      <c r="AE8" s="535">
        <v>-94.043060623906683</v>
      </c>
      <c r="AF8" s="535">
        <v>-84.052528510166454</v>
      </c>
      <c r="AG8" s="535">
        <v>-87.496066575454677</v>
      </c>
      <c r="AH8" s="535">
        <v>-88.565636823179489</v>
      </c>
      <c r="AI8" s="535">
        <v>-94.931420580699836</v>
      </c>
      <c r="AJ8" s="535">
        <v>-95.426184042443865</v>
      </c>
      <c r="AK8" s="535">
        <v>-91.362620721365204</v>
      </c>
      <c r="AL8" s="535">
        <v>-88.257693263072355</v>
      </c>
      <c r="AM8" s="535">
        <v>-85.263212812903092</v>
      </c>
      <c r="AN8" s="535">
        <v>-93.302929787316756</v>
      </c>
      <c r="AO8" s="535">
        <v>-103.94139757356432</v>
      </c>
      <c r="AP8" s="535">
        <v>-107.82799741638837</v>
      </c>
      <c r="AQ8" s="535">
        <v>-101.13332280159726</v>
      </c>
      <c r="AR8" s="535">
        <v>-89.949376822831169</v>
      </c>
      <c r="AS8" s="535">
        <v>-89.756438089760536</v>
      </c>
      <c r="AT8" s="535">
        <v>-91.252356920976908</v>
      </c>
      <c r="AU8" s="535">
        <v>-98.161211383987052</v>
      </c>
      <c r="AV8" s="535">
        <v>-99.170717908364054</v>
      </c>
      <c r="AW8" s="535">
        <v>-93.881234550834634</v>
      </c>
      <c r="AX8" s="535">
        <v>-90.47858939511076</v>
      </c>
      <c r="AY8" s="535">
        <v>-91.199834197850137</v>
      </c>
      <c r="AZ8" s="535">
        <v>-100.66881710350175</v>
      </c>
      <c r="BA8" s="535">
        <v>-113.62836301378846</v>
      </c>
      <c r="BB8" s="535">
        <v>-117.70719969676739</v>
      </c>
      <c r="BC8" s="535">
        <v>-110.44220970570674</v>
      </c>
      <c r="BD8" s="535">
        <v>-96.714553281585012</v>
      </c>
      <c r="BE8" s="535">
        <v>-95.598974192114241</v>
      </c>
      <c r="BF8" s="535">
        <v>-97.043994208248705</v>
      </c>
      <c r="BG8" s="535">
        <v>-108.09798294746656</v>
      </c>
      <c r="BH8" s="535">
        <v>-109.71487511300714</v>
      </c>
      <c r="BI8" s="535">
        <v>-102.19035277663617</v>
      </c>
      <c r="BJ8" s="535">
        <v>-97.849190340137639</v>
      </c>
      <c r="BK8" s="535">
        <v>-94.861299955953257</v>
      </c>
      <c r="BL8" s="535">
        <v>-104.00960193478831</v>
      </c>
      <c r="BM8" s="535">
        <v>-117.48490987193321</v>
      </c>
      <c r="BN8" s="535">
        <v>-120.49014106422869</v>
      </c>
      <c r="BO8" s="535">
        <v>-113.67016624198838</v>
      </c>
      <c r="BP8" s="535">
        <v>-100.38489838617085</v>
      </c>
      <c r="BQ8" s="535">
        <v>-96.569921955103567</v>
      </c>
      <c r="BR8" s="535">
        <v>-97.463478839022599</v>
      </c>
      <c r="BS8" s="535">
        <v>-105.96091855439404</v>
      </c>
      <c r="BT8" s="535">
        <v>-108.78803908450615</v>
      </c>
      <c r="BU8" s="535">
        <v>-103.64474311821327</v>
      </c>
      <c r="BV8" s="535">
        <v>-98.588073864145954</v>
      </c>
      <c r="BW8" s="535">
        <v>-97.664055013246568</v>
      </c>
      <c r="BX8" s="535">
        <v>-107.00186543627007</v>
      </c>
      <c r="BY8" s="535">
        <v>-120.66508304293667</v>
      </c>
      <c r="BZ8" s="535">
        <v>-122.98268955090126</v>
      </c>
      <c r="CA8" s="535">
        <v>-116.53196757441685</v>
      </c>
      <c r="CB8" s="535">
        <v>-102.9836861912712</v>
      </c>
      <c r="CC8" s="535">
        <v>-93.72260441127132</v>
      </c>
      <c r="CD8" s="535">
        <v>-95.006260865800584</v>
      </c>
      <c r="CE8" s="535">
        <v>-104.30624608720944</v>
      </c>
      <c r="CF8" s="535">
        <v>-107.41765160346064</v>
      </c>
      <c r="CG8" s="535">
        <v>-101.94887631212501</v>
      </c>
      <c r="CH8" s="535">
        <v>-96.885119179071481</v>
      </c>
      <c r="CI8" s="535">
        <v>-99.447369382527341</v>
      </c>
      <c r="CJ8" s="535">
        <v>-108.62679501696969</v>
      </c>
      <c r="CK8" s="535">
        <v>-123.33442410038241</v>
      </c>
      <c r="CL8" s="535">
        <v>-126.65337081204122</v>
      </c>
      <c r="CM8" s="535">
        <v>-119.30568878849948</v>
      </c>
      <c r="CN8" s="535">
        <v>-104.9651924035776</v>
      </c>
      <c r="CO8" s="535">
        <v>-97.832379026848542</v>
      </c>
      <c r="CP8" s="535">
        <v>-99.384916593488768</v>
      </c>
      <c r="CQ8" s="535">
        <v>-109.99399731624439</v>
      </c>
      <c r="CR8" s="535">
        <v>-113.584068546483</v>
      </c>
      <c r="CS8" s="535">
        <v>-107.67782847467524</v>
      </c>
      <c r="CT8" s="535">
        <v>-102.06551798884239</v>
      </c>
      <c r="CU8" s="535">
        <v>-100.10984215701042</v>
      </c>
      <c r="CV8" s="535">
        <v>-109.14612233646463</v>
      </c>
      <c r="CW8" s="535">
        <v>-122.39360648984021</v>
      </c>
      <c r="CX8" s="535">
        <v>-125.99298294811445</v>
      </c>
      <c r="CY8" s="535">
        <v>-118.52526771562754</v>
      </c>
      <c r="CZ8" s="535">
        <v>-104.48671579029725</v>
      </c>
      <c r="DA8" s="535">
        <v>-104.68949661729739</v>
      </c>
      <c r="DB8" s="535">
        <v>-105.4522387998655</v>
      </c>
      <c r="DC8" s="535">
        <v>-118.99002321874494</v>
      </c>
      <c r="DD8" s="535">
        <v>-121.62312278988969</v>
      </c>
      <c r="DE8" s="535">
        <v>-113.25932054034705</v>
      </c>
      <c r="DF8" s="535">
        <v>-108.76651245688238</v>
      </c>
      <c r="DG8" s="535">
        <v>-93.335741610286235</v>
      </c>
      <c r="DH8" s="535">
        <v>-103.26077698706638</v>
      </c>
      <c r="DI8" s="535">
        <v>-115.38961463439747</v>
      </c>
      <c r="DJ8" s="535">
        <v>-118.98837356653632</v>
      </c>
      <c r="DK8" s="535">
        <v>-111.49575519036368</v>
      </c>
      <c r="DL8" s="535">
        <v>-98.126141540505202</v>
      </c>
      <c r="DM8" s="535">
        <v>-97.44736098452961</v>
      </c>
      <c r="DN8" s="535">
        <v>-98.809214633611603</v>
      </c>
      <c r="DO8" s="535">
        <v>-109.46825271887306</v>
      </c>
      <c r="DP8" s="535">
        <v>-112.18777497974308</v>
      </c>
      <c r="DQ8" s="535">
        <v>-104.6731341673261</v>
      </c>
      <c r="DR8" s="535">
        <v>-99.751202960743115</v>
      </c>
      <c r="DS8" s="535">
        <v>-91.432113215512075</v>
      </c>
      <c r="DT8" s="535">
        <v>-100.09430783581499</v>
      </c>
      <c r="DU8" s="535">
        <v>-109.26798360793055</v>
      </c>
      <c r="DV8" s="535">
        <v>-112.09668113463556</v>
      </c>
      <c r="DW8" s="535">
        <v>-106.24196523568463</v>
      </c>
      <c r="DX8" s="535">
        <v>-95.703698685247659</v>
      </c>
      <c r="DY8" s="535">
        <v>-96.305980879629985</v>
      </c>
      <c r="DZ8" s="535">
        <v>-97.722415537176573</v>
      </c>
      <c r="EA8" s="535">
        <v>-104.26627058195537</v>
      </c>
      <c r="EB8" s="535">
        <v>-106.75746441901158</v>
      </c>
      <c r="EC8" s="535">
        <v>-101.96046668303148</v>
      </c>
      <c r="ED8" s="535">
        <v>-97.711189425804733</v>
      </c>
      <c r="EE8" s="535">
        <v>-88.541618222603006</v>
      </c>
      <c r="EF8" s="535">
        <v>-98.380957319978023</v>
      </c>
      <c r="EG8" s="535">
        <v>-107.46897606632459</v>
      </c>
      <c r="EH8" s="535">
        <v>-109.05020199253882</v>
      </c>
      <c r="EI8" s="535">
        <v>-103.14570226891911</v>
      </c>
      <c r="EJ8" s="535">
        <v>-93.17646861421737</v>
      </c>
      <c r="EK8" s="535">
        <v>-93.61116957174572</v>
      </c>
      <c r="EL8" s="535">
        <v>-95.684261394336957</v>
      </c>
      <c r="EM8" s="535">
        <v>-102.17594129352966</v>
      </c>
      <c r="EN8" s="535">
        <v>-102.76696502441858</v>
      </c>
      <c r="EO8" s="535">
        <v>-98.637027325823539</v>
      </c>
      <c r="EP8" s="535">
        <v>-95.485809482724804</v>
      </c>
    </row>
    <row r="9" spans="2:146">
      <c r="B9" s="534">
        <v>2005</v>
      </c>
      <c r="C9" s="535">
        <v>-83.940611378758362</v>
      </c>
      <c r="D9" s="535">
        <v>-94.218331668976077</v>
      </c>
      <c r="E9" s="535">
        <v>-102.99472306675952</v>
      </c>
      <c r="F9" s="535">
        <v>-104.683914348816</v>
      </c>
      <c r="G9" s="535">
        <v>-98.453686999994432</v>
      </c>
      <c r="H9" s="535">
        <v>-88.380394585651956</v>
      </c>
      <c r="I9" s="535">
        <v>-88.129716958435637</v>
      </c>
      <c r="J9" s="535">
        <v>-90.421173099959759</v>
      </c>
      <c r="K9" s="535">
        <v>-97.357072482820186</v>
      </c>
      <c r="L9" s="535">
        <v>-97.79455913727277</v>
      </c>
      <c r="M9" s="535">
        <v>-92.749473724576063</v>
      </c>
      <c r="N9" s="535">
        <v>-89.196563336887493</v>
      </c>
      <c r="O9" s="535">
        <v>-82.335987968054184</v>
      </c>
      <c r="P9" s="535">
        <v>-91.940322354876713</v>
      </c>
      <c r="Q9" s="535">
        <v>-100.56122153553346</v>
      </c>
      <c r="R9" s="535">
        <v>-101.94964351091349</v>
      </c>
      <c r="S9" s="535">
        <v>-95.920958557726749</v>
      </c>
      <c r="T9" s="535">
        <v>-86.053452614622842</v>
      </c>
      <c r="U9" s="535">
        <v>-87.506406757564889</v>
      </c>
      <c r="V9" s="535">
        <v>-89.135810563899966</v>
      </c>
      <c r="W9" s="535">
        <v>-95.675369347104706</v>
      </c>
      <c r="X9" s="535">
        <v>-95.781781141957154</v>
      </c>
      <c r="Y9" s="535">
        <v>-91.413348552018306</v>
      </c>
      <c r="Z9" s="535">
        <v>-88.475126186375846</v>
      </c>
      <c r="AA9" s="535">
        <v>-78.243296046511162</v>
      </c>
      <c r="AB9" s="535">
        <v>-86.599564294509236</v>
      </c>
      <c r="AC9" s="535">
        <v>-96.589140919734518</v>
      </c>
      <c r="AD9" s="535">
        <v>-99.735161177198819</v>
      </c>
      <c r="AE9" s="535">
        <v>-94.076679266026844</v>
      </c>
      <c r="AF9" s="535">
        <v>-84.075670387022157</v>
      </c>
      <c r="AG9" s="535">
        <v>-87.575942625797722</v>
      </c>
      <c r="AH9" s="535">
        <v>-88.643536316760503</v>
      </c>
      <c r="AI9" s="535">
        <v>-95.024735511030372</v>
      </c>
      <c r="AJ9" s="535">
        <v>-95.504852241463624</v>
      </c>
      <c r="AK9" s="535">
        <v>-91.437026039455603</v>
      </c>
      <c r="AL9" s="535">
        <v>-88.337653852241459</v>
      </c>
      <c r="AM9" s="535">
        <v>-85.212937075471928</v>
      </c>
      <c r="AN9" s="535">
        <v>-93.198130602115839</v>
      </c>
      <c r="AO9" s="535">
        <v>-103.82663877965304</v>
      </c>
      <c r="AP9" s="535">
        <v>-107.7104016181564</v>
      </c>
      <c r="AQ9" s="535">
        <v>-101.04382760010235</v>
      </c>
      <c r="AR9" s="535">
        <v>-89.892114579316427</v>
      </c>
      <c r="AS9" s="535">
        <v>-88.228835872097108</v>
      </c>
      <c r="AT9" s="535">
        <v>-89.74283761785631</v>
      </c>
      <c r="AU9" s="535">
        <v>-96.246825977825367</v>
      </c>
      <c r="AV9" s="535">
        <v>-97.550712829686915</v>
      </c>
      <c r="AW9" s="535">
        <v>-92.548043714581254</v>
      </c>
      <c r="AX9" s="535">
        <v>-88.95650453532042</v>
      </c>
      <c r="AY9" s="535">
        <v>-90.97537939799652</v>
      </c>
      <c r="AZ9" s="535">
        <v>-100.05010035211507</v>
      </c>
      <c r="BA9" s="535">
        <v>-112.85793747746112</v>
      </c>
      <c r="BB9" s="535">
        <v>-116.9204556673578</v>
      </c>
      <c r="BC9" s="535">
        <v>-109.81578465465785</v>
      </c>
      <c r="BD9" s="535">
        <v>-96.434951721463435</v>
      </c>
      <c r="BE9" s="535">
        <v>-95.648600564414835</v>
      </c>
      <c r="BF9" s="535">
        <v>-97.092715215576376</v>
      </c>
      <c r="BG9" s="535">
        <v>-108.18188629880223</v>
      </c>
      <c r="BH9" s="535">
        <v>-109.7813975843264</v>
      </c>
      <c r="BI9" s="535">
        <v>-102.23162926616654</v>
      </c>
      <c r="BJ9" s="535">
        <v>-97.898539557139827</v>
      </c>
      <c r="BK9" s="535">
        <v>-94.848929940128329</v>
      </c>
      <c r="BL9" s="535">
        <v>-103.96805641654115</v>
      </c>
      <c r="BM9" s="535">
        <v>-117.43028286709936</v>
      </c>
      <c r="BN9" s="535">
        <v>-120.43286807981571</v>
      </c>
      <c r="BO9" s="535">
        <v>-113.62368162544108</v>
      </c>
      <c r="BP9" s="535">
        <v>-100.36885186711969</v>
      </c>
      <c r="BQ9" s="535">
        <v>-96.492226261502935</v>
      </c>
      <c r="BR9" s="535">
        <v>-97.390230198027595</v>
      </c>
      <c r="BS9" s="535">
        <v>-105.83511282407255</v>
      </c>
      <c r="BT9" s="535">
        <v>-108.68528446793802</v>
      </c>
      <c r="BU9" s="535">
        <v>-103.58049505459883</v>
      </c>
      <c r="BV9" s="535">
        <v>-98.513289860210733</v>
      </c>
      <c r="BW9" s="535">
        <v>-97.630424987876239</v>
      </c>
      <c r="BX9" s="535">
        <v>-106.89029836401077</v>
      </c>
      <c r="BY9" s="535">
        <v>-120.51904847169594</v>
      </c>
      <c r="BZ9" s="535">
        <v>-122.8314960769377</v>
      </c>
      <c r="CA9" s="535">
        <v>-116.40769095279543</v>
      </c>
      <c r="CB9" s="535">
        <v>-102.93946536170894</v>
      </c>
      <c r="CC9" s="535">
        <v>-93.530513797411757</v>
      </c>
      <c r="CD9" s="535">
        <v>-94.817700392407843</v>
      </c>
      <c r="CE9" s="535">
        <v>-103.88201272340194</v>
      </c>
      <c r="CF9" s="535">
        <v>-107.09357721947981</v>
      </c>
      <c r="CG9" s="535">
        <v>-101.78910756522913</v>
      </c>
      <c r="CH9" s="535">
        <v>-96.694094497097112</v>
      </c>
      <c r="CI9" s="535">
        <v>-99.404330490685567</v>
      </c>
      <c r="CJ9" s="535">
        <v>-108.48092761232799</v>
      </c>
      <c r="CK9" s="535">
        <v>-123.14069385640997</v>
      </c>
      <c r="CL9" s="535">
        <v>-126.45230284592049</v>
      </c>
      <c r="CM9" s="535">
        <v>-119.14305059031999</v>
      </c>
      <c r="CN9" s="535">
        <v>-104.90804483342968</v>
      </c>
      <c r="CO9" s="535">
        <v>-97.690781180814085</v>
      </c>
      <c r="CP9" s="535">
        <v>-99.245916473631596</v>
      </c>
      <c r="CQ9" s="535">
        <v>-109.72139738503824</v>
      </c>
      <c r="CR9" s="535">
        <v>-113.36412585622742</v>
      </c>
      <c r="CS9" s="535">
        <v>-107.56005531244578</v>
      </c>
      <c r="CT9" s="535">
        <v>-101.92470311650168</v>
      </c>
      <c r="CU9" s="535">
        <v>-100.03435834639592</v>
      </c>
      <c r="CV9" s="535">
        <v>-108.91974171530558</v>
      </c>
      <c r="CW9" s="535">
        <v>-122.11981336717335</v>
      </c>
      <c r="CX9" s="535">
        <v>-125.70931848914208</v>
      </c>
      <c r="CY9" s="535">
        <v>-118.2916921457842</v>
      </c>
      <c r="CZ9" s="535">
        <v>-104.39027788279394</v>
      </c>
      <c r="DA9" s="535">
        <v>-104.36969318281371</v>
      </c>
      <c r="DB9" s="535">
        <v>-105.12716898193065</v>
      </c>
      <c r="DC9" s="535">
        <v>-118.40243671923521</v>
      </c>
      <c r="DD9" s="535">
        <v>-121.16052931878403</v>
      </c>
      <c r="DE9" s="535">
        <v>-112.98216330731456</v>
      </c>
      <c r="DF9" s="535">
        <v>-108.44697973525248</v>
      </c>
      <c r="DG9" s="535">
        <v>-93.251140073491328</v>
      </c>
      <c r="DH9" s="535">
        <v>-103.03544628832894</v>
      </c>
      <c r="DI9" s="535">
        <v>-115.13605786666325</v>
      </c>
      <c r="DJ9" s="535">
        <v>-118.73015676056991</v>
      </c>
      <c r="DK9" s="535">
        <v>-111.28914717758336</v>
      </c>
      <c r="DL9" s="535">
        <v>-98.022456116557152</v>
      </c>
      <c r="DM9" s="535">
        <v>-97.164549739990704</v>
      </c>
      <c r="DN9" s="535">
        <v>-98.511195538813112</v>
      </c>
      <c r="DO9" s="535">
        <v>-109.00194173515138</v>
      </c>
      <c r="DP9" s="535">
        <v>-111.81143359282127</v>
      </c>
      <c r="DQ9" s="535">
        <v>-104.41732994150314</v>
      </c>
      <c r="DR9" s="535">
        <v>-99.467327176536685</v>
      </c>
      <c r="DS9" s="535">
        <v>-91.274093064096419</v>
      </c>
      <c r="DT9" s="535">
        <v>-99.78262634000825</v>
      </c>
      <c r="DU9" s="535">
        <v>-108.95588528914374</v>
      </c>
      <c r="DV9" s="535">
        <v>-111.79386679400882</v>
      </c>
      <c r="DW9" s="535">
        <v>-105.99051269823023</v>
      </c>
      <c r="DX9" s="535">
        <v>-95.52687732468371</v>
      </c>
      <c r="DY9" s="535">
        <v>-95.830686564623505</v>
      </c>
      <c r="DZ9" s="535">
        <v>-97.245190600882225</v>
      </c>
      <c r="EA9" s="535">
        <v>-103.71215913534377</v>
      </c>
      <c r="EB9" s="535">
        <v>-106.28371983267593</v>
      </c>
      <c r="EC9" s="535">
        <v>-101.50231393756681</v>
      </c>
      <c r="ED9" s="535">
        <v>-97.234524486984398</v>
      </c>
      <c r="EE9" s="535">
        <v>-88.466393969541272</v>
      </c>
      <c r="EF9" s="535">
        <v>-98.229426278937851</v>
      </c>
      <c r="EG9" s="535">
        <v>-107.31925742354723</v>
      </c>
      <c r="EH9" s="535">
        <v>-108.90492275243787</v>
      </c>
      <c r="EI9" s="535">
        <v>-103.02383025139952</v>
      </c>
      <c r="EJ9" s="535">
        <v>-93.092335114476242</v>
      </c>
      <c r="EK9" s="535">
        <v>-91.149773598057024</v>
      </c>
      <c r="EL9" s="535">
        <v>-93.155683143108263</v>
      </c>
      <c r="EM9" s="535">
        <v>-99.168003387154897</v>
      </c>
      <c r="EN9" s="535">
        <v>-100.2431184928196</v>
      </c>
      <c r="EO9" s="535">
        <v>-96.276440579676418</v>
      </c>
      <c r="EP9" s="535">
        <v>-93.02503556098651</v>
      </c>
    </row>
    <row r="10" spans="2:146">
      <c r="B10" s="534">
        <v>2006</v>
      </c>
      <c r="C10" s="535">
        <v>-83.877860182244945</v>
      </c>
      <c r="D10" s="535">
        <v>-94.089288237840307</v>
      </c>
      <c r="E10" s="535">
        <v>-102.86762143769639</v>
      </c>
      <c r="F10" s="535">
        <v>-104.56009779449903</v>
      </c>
      <c r="G10" s="535">
        <v>-98.351380100815419</v>
      </c>
      <c r="H10" s="535">
        <v>-88.310260532530592</v>
      </c>
      <c r="I10" s="535">
        <v>-87.960525664117483</v>
      </c>
      <c r="J10" s="535">
        <v>-90.245299495263296</v>
      </c>
      <c r="K10" s="535">
        <v>-97.144674801018894</v>
      </c>
      <c r="L10" s="535">
        <v>-97.61851132314564</v>
      </c>
      <c r="M10" s="535">
        <v>-92.586449691822125</v>
      </c>
      <c r="N10" s="535">
        <v>-89.026288816479635</v>
      </c>
      <c r="O10" s="535">
        <v>-82.226417674574307</v>
      </c>
      <c r="P10" s="535">
        <v>-91.717881347408678</v>
      </c>
      <c r="Q10" s="535">
        <v>-100.34022270199708</v>
      </c>
      <c r="R10" s="535">
        <v>-101.73357238362105</v>
      </c>
      <c r="S10" s="535">
        <v>-95.746754152050698</v>
      </c>
      <c r="T10" s="535">
        <v>-85.931057410860689</v>
      </c>
      <c r="U10" s="535">
        <v>-87.152319571368679</v>
      </c>
      <c r="V10" s="535">
        <v>-88.776771671699194</v>
      </c>
      <c r="W10" s="535">
        <v>-95.240465282289563</v>
      </c>
      <c r="X10" s="535">
        <v>-95.418190575952039</v>
      </c>
      <c r="Y10" s="535">
        <v>-91.081446013529657</v>
      </c>
      <c r="Z10" s="535">
        <v>-88.118499326974785</v>
      </c>
      <c r="AA10" s="535">
        <v>-78.255558746479053</v>
      </c>
      <c r="AB10" s="535">
        <v>-86.624734161767506</v>
      </c>
      <c r="AC10" s="535">
        <v>-96.614661924181817</v>
      </c>
      <c r="AD10" s="535">
        <v>-99.760177344559679</v>
      </c>
      <c r="AE10" s="535">
        <v>-94.09677709459072</v>
      </c>
      <c r="AF10" s="535">
        <v>-84.089502173340676</v>
      </c>
      <c r="AG10" s="535">
        <v>-87.623688914720134</v>
      </c>
      <c r="AH10" s="535">
        <v>-88.690098204353376</v>
      </c>
      <c r="AI10" s="535">
        <v>-95.080517329796095</v>
      </c>
      <c r="AJ10" s="535">
        <v>-95.551881317165979</v>
      </c>
      <c r="AK10" s="535">
        <v>-91.481505950288692</v>
      </c>
      <c r="AL10" s="535">
        <v>-88.385449160245741</v>
      </c>
      <c r="AM10" s="535">
        <v>-85.144614974169002</v>
      </c>
      <c r="AN10" s="535">
        <v>-93.055685458514645</v>
      </c>
      <c r="AO10" s="535">
        <v>-103.67067541295371</v>
      </c>
      <c r="AP10" s="535">
        <v>-107.5505675763504</v>
      </c>
      <c r="AQ10" s="535">
        <v>-100.92218657288203</v>
      </c>
      <c r="AR10" s="535">
        <v>-89.814289297768624</v>
      </c>
      <c r="AS10" s="535">
        <v>-86.969706971984408</v>
      </c>
      <c r="AT10" s="535">
        <v>-88.498613916782034</v>
      </c>
      <c r="AU10" s="535">
        <v>-94.668884458561863</v>
      </c>
      <c r="AV10" s="535">
        <v>-96.215420171129324</v>
      </c>
      <c r="AW10" s="535">
        <v>-91.449154911263506</v>
      </c>
      <c r="AX10" s="535">
        <v>-87.701925198746693</v>
      </c>
      <c r="AY10" s="535">
        <v>-90.792003208627264</v>
      </c>
      <c r="AZ10" s="535">
        <v>-99.544620149203539</v>
      </c>
      <c r="BA10" s="535">
        <v>-112.22851683353394</v>
      </c>
      <c r="BB10" s="535">
        <v>-116.2777039040443</v>
      </c>
      <c r="BC10" s="535">
        <v>-109.30400855644429</v>
      </c>
      <c r="BD10" s="535">
        <v>-96.206520905585023</v>
      </c>
      <c r="BE10" s="535">
        <v>-95.79914981139467</v>
      </c>
      <c r="BF10" s="535">
        <v>-97.240494507269617</v>
      </c>
      <c r="BG10" s="535">
        <v>-108.43642490090517</v>
      </c>
      <c r="BH10" s="535">
        <v>-109.98320292010919</v>
      </c>
      <c r="BI10" s="535">
        <v>-102.35684994505527</v>
      </c>
      <c r="BJ10" s="535">
        <v>-98.048258355794701</v>
      </c>
      <c r="BK10" s="535">
        <v>-94.825946141850608</v>
      </c>
      <c r="BL10" s="535">
        <v>-103.89083990743592</v>
      </c>
      <c r="BM10" s="535">
        <v>-117.3287538338686</v>
      </c>
      <c r="BN10" s="535">
        <v>-120.32642592373416</v>
      </c>
      <c r="BO10" s="535">
        <v>-113.53729146554014</v>
      </c>
      <c r="BP10" s="535">
        <v>-100.33903672425939</v>
      </c>
      <c r="BQ10" s="535">
        <v>-96.347818563118636</v>
      </c>
      <c r="BR10" s="535">
        <v>-97.254094357788532</v>
      </c>
      <c r="BS10" s="535">
        <v>-105.60129278621964</v>
      </c>
      <c r="BT10" s="535">
        <v>-108.49430592031815</v>
      </c>
      <c r="BU10" s="535">
        <v>-103.46108710247348</v>
      </c>
      <c r="BV10" s="535">
        <v>-98.374294334891104</v>
      </c>
      <c r="BW10" s="535">
        <v>-97.59350457516652</v>
      </c>
      <c r="BX10" s="535">
        <v>-106.76777493901902</v>
      </c>
      <c r="BY10" s="535">
        <v>-120.3586723731311</v>
      </c>
      <c r="BZ10" s="535">
        <v>-122.66546902324043</v>
      </c>
      <c r="CA10" s="535">
        <v>-116.27121687993522</v>
      </c>
      <c r="CB10" s="535">
        <v>-102.89090932907214</v>
      </c>
      <c r="CC10" s="535">
        <v>-93.399746500090188</v>
      </c>
      <c r="CD10" s="535">
        <v>-94.689340136243118</v>
      </c>
      <c r="CE10" s="535">
        <v>-103.59320684899383</v>
      </c>
      <c r="CF10" s="535">
        <v>-106.87296794267749</v>
      </c>
      <c r="CG10" s="535">
        <v>-101.68035076770825</v>
      </c>
      <c r="CH10" s="535">
        <v>-96.564054382193802</v>
      </c>
      <c r="CI10" s="535">
        <v>-99.3705045151371</v>
      </c>
      <c r="CJ10" s="535">
        <v>-108.36629897920977</v>
      </c>
      <c r="CK10" s="535">
        <v>-122.98845195185979</v>
      </c>
      <c r="CL10" s="535">
        <v>-126.2942958844458</v>
      </c>
      <c r="CM10" s="535">
        <v>-119.01523598102396</v>
      </c>
      <c r="CN10" s="535">
        <v>-104.86314216627652</v>
      </c>
      <c r="CO10" s="535">
        <v>-97.485024880444612</v>
      </c>
      <c r="CP10" s="535">
        <v>-99.043938729388302</v>
      </c>
      <c r="CQ10" s="535">
        <v>-109.32527291128264</v>
      </c>
      <c r="CR10" s="535">
        <v>-113.04452810313073</v>
      </c>
      <c r="CS10" s="535">
        <v>-107.38892048785854</v>
      </c>
      <c r="CT10" s="535">
        <v>-101.72009016106321</v>
      </c>
      <c r="CU10" s="535">
        <v>-100.01368667435153</v>
      </c>
      <c r="CV10" s="535">
        <v>-108.8577469521374</v>
      </c>
      <c r="CW10" s="535">
        <v>-122.04483826768845</v>
      </c>
      <c r="CX10" s="535">
        <v>-125.63164109935661</v>
      </c>
      <c r="CY10" s="535">
        <v>-118.2277392979601</v>
      </c>
      <c r="CZ10" s="535">
        <v>-104.36386084315463</v>
      </c>
      <c r="DA10" s="535">
        <v>-103.42017143100307</v>
      </c>
      <c r="DB10" s="535">
        <v>-104.16201865973299</v>
      </c>
      <c r="DC10" s="535">
        <v>-116.65787407681461</v>
      </c>
      <c r="DD10" s="535">
        <v>-119.78705265099711</v>
      </c>
      <c r="DE10" s="535">
        <v>-112.15927734374741</v>
      </c>
      <c r="DF10" s="535">
        <v>-107.49828220103964</v>
      </c>
      <c r="DG10" s="535">
        <v>-93.133903450402698</v>
      </c>
      <c r="DH10" s="535">
        <v>-102.72320106144585</v>
      </c>
      <c r="DI10" s="535">
        <v>-114.78469553814659</v>
      </c>
      <c r="DJ10" s="535">
        <v>-118.37233558050985</v>
      </c>
      <c r="DK10" s="535">
        <v>-111.00285135780298</v>
      </c>
      <c r="DL10" s="535">
        <v>-97.878781782932975</v>
      </c>
      <c r="DM10" s="535">
        <v>-97.712631913087222</v>
      </c>
      <c r="DN10" s="535">
        <v>-99.088741157398118</v>
      </c>
      <c r="DO10" s="535">
        <v>-109.90562921889652</v>
      </c>
      <c r="DP10" s="535">
        <v>-112.54076564191497</v>
      </c>
      <c r="DQ10" s="535">
        <v>-104.91307877979831</v>
      </c>
      <c r="DR10" s="535">
        <v>-100.01747250072549</v>
      </c>
      <c r="DS10" s="535">
        <v>-91.138016973576981</v>
      </c>
      <c r="DT10" s="535">
        <v>-99.514232901244995</v>
      </c>
      <c r="DU10" s="535">
        <v>-108.68714505598207</v>
      </c>
      <c r="DV10" s="535">
        <v>-111.53309842589927</v>
      </c>
      <c r="DW10" s="535">
        <v>-105.77396876346387</v>
      </c>
      <c r="DX10" s="535">
        <v>-95.374609454553251</v>
      </c>
      <c r="DY10" s="535">
        <v>-95.421405695866156</v>
      </c>
      <c r="DZ10" s="535">
        <v>-96.834243543662453</v>
      </c>
      <c r="EA10" s="535">
        <v>-103.23500502654473</v>
      </c>
      <c r="EB10" s="535">
        <v>-105.8757770290695</v>
      </c>
      <c r="EC10" s="535">
        <v>-101.10780080654163</v>
      </c>
      <c r="ED10" s="535">
        <v>-96.824058889520728</v>
      </c>
      <c r="EE10" s="535">
        <v>-84.356956435997489</v>
      </c>
      <c r="EF10" s="535">
        <v>-92.519532151678703</v>
      </c>
      <c r="EG10" s="535">
        <v>-97.54762390236472</v>
      </c>
      <c r="EH10" s="535">
        <v>-98.508155282080082</v>
      </c>
      <c r="EI10" s="535">
        <v>-94.776631725139879</v>
      </c>
      <c r="EJ10" s="535">
        <v>-87.793884190949925</v>
      </c>
      <c r="EK10" s="535">
        <v>-86.19353173863945</v>
      </c>
      <c r="EL10" s="535">
        <v>-88.139358062804192</v>
      </c>
      <c r="EM10" s="535">
        <v>-93.475666884604749</v>
      </c>
      <c r="EN10" s="535">
        <v>-94.462721764887959</v>
      </c>
      <c r="EO10" s="535">
        <v>-91.042715423613359</v>
      </c>
      <c r="EP10" s="535">
        <v>-87.964022025568696</v>
      </c>
    </row>
    <row r="11" spans="2:146">
      <c r="B11" s="534">
        <v>2007</v>
      </c>
      <c r="C11" s="535">
        <v>-79.630718526475107</v>
      </c>
      <c r="D11" s="535">
        <v>-88.128804560777709</v>
      </c>
      <c r="E11" s="535">
        <v>-92.984190239023405</v>
      </c>
      <c r="F11" s="535">
        <v>-94.030263691170177</v>
      </c>
      <c r="G11" s="535">
        <v>-89.952865630833145</v>
      </c>
      <c r="H11" s="535">
        <v>-83.025987762975149</v>
      </c>
      <c r="I11" s="535">
        <v>-84.818775977632797</v>
      </c>
      <c r="J11" s="535">
        <v>-87.121664887232157</v>
      </c>
      <c r="K11" s="535">
        <v>-93.603791558187538</v>
      </c>
      <c r="L11" s="535">
        <v>-93.567371980109613</v>
      </c>
      <c r="M11" s="535">
        <v>-88.976807065206941</v>
      </c>
      <c r="N11" s="535">
        <v>-85.752240680235587</v>
      </c>
      <c r="O11" s="535">
        <v>-78.129871678504401</v>
      </c>
      <c r="P11" s="535">
        <v>-85.91661972931945</v>
      </c>
      <c r="Q11" s="535">
        <v>-90.481461235355397</v>
      </c>
      <c r="R11" s="535">
        <v>-91.241387508838187</v>
      </c>
      <c r="S11" s="535">
        <v>-87.369565391220476</v>
      </c>
      <c r="T11" s="535">
        <v>-80.722144924576327</v>
      </c>
      <c r="U11" s="535">
        <v>-82.787846913019266</v>
      </c>
      <c r="V11" s="535">
        <v>-84.374162192261451</v>
      </c>
      <c r="W11" s="535">
        <v>-90.187461091133045</v>
      </c>
      <c r="X11" s="535">
        <v>-90.136414008678855</v>
      </c>
      <c r="Y11" s="535">
        <v>-86.344649090018905</v>
      </c>
      <c r="Z11" s="535">
        <v>-83.628441876583096</v>
      </c>
      <c r="AA11" s="535">
        <v>-74.334874582424945</v>
      </c>
      <c r="AB11" s="535">
        <v>-81.082758600030175</v>
      </c>
      <c r="AC11" s="535">
        <v>-86.763929773910363</v>
      </c>
      <c r="AD11" s="535">
        <v>-89.225257552698395</v>
      </c>
      <c r="AE11" s="535">
        <v>-85.679218764769416</v>
      </c>
      <c r="AF11" s="535">
        <v>-79.006107644319741</v>
      </c>
      <c r="AG11" s="535">
        <v>-82.294899376700116</v>
      </c>
      <c r="AH11" s="535">
        <v>-83.31102382304114</v>
      </c>
      <c r="AI11" s="535">
        <v>-88.8651452471846</v>
      </c>
      <c r="AJ11" s="535">
        <v>-89.231966473800085</v>
      </c>
      <c r="AK11" s="535">
        <v>-85.867080574878415</v>
      </c>
      <c r="AL11" s="535">
        <v>-82.910297862288203</v>
      </c>
      <c r="AM11" s="535">
        <v>-81.149144308994309</v>
      </c>
      <c r="AN11" s="535">
        <v>-87.404275973043895</v>
      </c>
      <c r="AO11" s="535">
        <v>-93.678707315969064</v>
      </c>
      <c r="AP11" s="535">
        <v>-96.680216463520821</v>
      </c>
      <c r="AQ11" s="535">
        <v>-92.309065170657675</v>
      </c>
      <c r="AR11" s="535">
        <v>-84.663445842535666</v>
      </c>
      <c r="AS11" s="535">
        <v>-83.82345067435287</v>
      </c>
      <c r="AT11" s="535">
        <v>-85.186829526263196</v>
      </c>
      <c r="AU11" s="535">
        <v>-91.054190867940747</v>
      </c>
      <c r="AV11" s="535">
        <v>-92.20202892918563</v>
      </c>
      <c r="AW11" s="535">
        <v>-87.789640448290143</v>
      </c>
      <c r="AX11" s="535">
        <v>-84.344562173073825</v>
      </c>
      <c r="AY11" s="535">
        <v>-86.72649412613228</v>
      </c>
      <c r="AZ11" s="535">
        <v>-93.517277313713635</v>
      </c>
      <c r="BA11" s="535">
        <v>-101.47391768712731</v>
      </c>
      <c r="BB11" s="535">
        <v>-104.6961627872596</v>
      </c>
      <c r="BC11" s="535">
        <v>-100.22848205648394</v>
      </c>
      <c r="BD11" s="535">
        <v>-90.938815105038771</v>
      </c>
      <c r="BE11" s="535">
        <v>-91.367627931393457</v>
      </c>
      <c r="BF11" s="535">
        <v>-92.826712554698474</v>
      </c>
      <c r="BG11" s="535">
        <v>-102.85953981465867</v>
      </c>
      <c r="BH11" s="535">
        <v>-103.97040526113292</v>
      </c>
      <c r="BI11" s="535">
        <v>-97.590886236097688</v>
      </c>
      <c r="BJ11" s="535">
        <v>-93.473427489486184</v>
      </c>
      <c r="BK11" s="535">
        <v>-90.730088603195895</v>
      </c>
      <c r="BL11" s="535">
        <v>-97.372964913620493</v>
      </c>
      <c r="BM11" s="535">
        <v>-105.53484358481157</v>
      </c>
      <c r="BN11" s="535">
        <v>-107.84693133261744</v>
      </c>
      <c r="BO11" s="535">
        <v>-103.7560406591673</v>
      </c>
      <c r="BP11" s="535">
        <v>-94.909402233320236</v>
      </c>
      <c r="BQ11" s="535">
        <v>-92.047602594188547</v>
      </c>
      <c r="BR11" s="535">
        <v>-93.00775147727893</v>
      </c>
      <c r="BS11" s="535">
        <v>-100.15993406282236</v>
      </c>
      <c r="BT11" s="535">
        <v>-102.51999222309126</v>
      </c>
      <c r="BU11" s="535">
        <v>-98.5730873973949</v>
      </c>
      <c r="BV11" s="535">
        <v>-93.861104795928298</v>
      </c>
      <c r="BW11" s="535">
        <v>-93.195876199159315</v>
      </c>
      <c r="BX11" s="535">
        <v>-99.496190964835435</v>
      </c>
      <c r="BY11" s="535">
        <v>-107.85628409355022</v>
      </c>
      <c r="BZ11" s="535">
        <v>-109.64282999178189</v>
      </c>
      <c r="CA11" s="535">
        <v>-106.12497560812244</v>
      </c>
      <c r="CB11" s="535">
        <v>-97.224919129293681</v>
      </c>
      <c r="CC11" s="535">
        <v>-89.093291141933676</v>
      </c>
      <c r="CD11" s="535">
        <v>-90.416081330770638</v>
      </c>
      <c r="CE11" s="535">
        <v>-97.965528883078136</v>
      </c>
      <c r="CF11" s="535">
        <v>-100.74210420338945</v>
      </c>
      <c r="CG11" s="535">
        <v>-96.913378590903704</v>
      </c>
      <c r="CH11" s="535">
        <v>-92.103038912928199</v>
      </c>
      <c r="CI11" s="535">
        <v>-94.99445701883792</v>
      </c>
      <c r="CJ11" s="535">
        <v>-101.09309666667565</v>
      </c>
      <c r="CK11" s="535">
        <v>-110.14256305806434</v>
      </c>
      <c r="CL11" s="535">
        <v>-112.91275320239833</v>
      </c>
      <c r="CM11" s="535">
        <v>-108.62399733463103</v>
      </c>
      <c r="CN11" s="535">
        <v>-99.178365610544006</v>
      </c>
      <c r="CO11" s="535">
        <v>-93.043524071039243</v>
      </c>
      <c r="CP11" s="535">
        <v>-94.606627583771399</v>
      </c>
      <c r="CQ11" s="535">
        <v>-103.56187458150256</v>
      </c>
      <c r="CR11" s="535">
        <v>-106.83536760622869</v>
      </c>
      <c r="CS11" s="535">
        <v>-102.46869212052928</v>
      </c>
      <c r="CT11" s="535">
        <v>-97.047158691385391</v>
      </c>
      <c r="CU11" s="535">
        <v>-95.746951671499673</v>
      </c>
      <c r="CV11" s="535">
        <v>-102.26640855681623</v>
      </c>
      <c r="CW11" s="535">
        <v>-110.39951826148317</v>
      </c>
      <c r="CX11" s="535">
        <v>-113.30700876886439</v>
      </c>
      <c r="CY11" s="535">
        <v>-108.59877631693023</v>
      </c>
      <c r="CZ11" s="535">
        <v>-98.77878961793084</v>
      </c>
      <c r="DA11" s="535">
        <v>-98.448148153430566</v>
      </c>
      <c r="DB11" s="535">
        <v>-99.21904284344329</v>
      </c>
      <c r="DC11" s="535">
        <v>-110.26202744759105</v>
      </c>
      <c r="DD11" s="535">
        <v>-113.14576306816451</v>
      </c>
      <c r="DE11" s="535">
        <v>-106.78488799615741</v>
      </c>
      <c r="DF11" s="535">
        <v>-102.32194280512796</v>
      </c>
      <c r="DG11" s="535">
        <v>-89.007396131640263</v>
      </c>
      <c r="DH11" s="535">
        <v>-96.85638189837384</v>
      </c>
      <c r="DI11" s="535">
        <v>-104.252832460709</v>
      </c>
      <c r="DJ11" s="535">
        <v>-107.03458014455964</v>
      </c>
      <c r="DK11" s="535">
        <v>-102.05731580918773</v>
      </c>
      <c r="DL11" s="535">
        <v>-92.48624503572178</v>
      </c>
      <c r="DM11" s="535">
        <v>-94.532258589832651</v>
      </c>
      <c r="DN11" s="535">
        <v>-95.966412051194283</v>
      </c>
      <c r="DO11" s="535">
        <v>-106.65190568425794</v>
      </c>
      <c r="DP11" s="535">
        <v>-108.57698321701147</v>
      </c>
      <c r="DQ11" s="535">
        <v>-101.19369781421447</v>
      </c>
      <c r="DR11" s="535">
        <v>-96.661468649076383</v>
      </c>
      <c r="DS11" s="535">
        <v>-87.051958618559482</v>
      </c>
      <c r="DT11" s="535">
        <v>-93.863796953093669</v>
      </c>
      <c r="DU11" s="535">
        <v>-98.993464632819169</v>
      </c>
      <c r="DV11" s="535">
        <v>-101.1850548155423</v>
      </c>
      <c r="DW11" s="535">
        <v>-97.552656354950642</v>
      </c>
      <c r="DX11" s="535">
        <v>-90.142476639073337</v>
      </c>
      <c r="DY11" s="535">
        <v>-91.177384552250885</v>
      </c>
      <c r="DZ11" s="535">
        <v>-92.591695650233703</v>
      </c>
      <c r="EA11" s="535">
        <v>-98.428775239336417</v>
      </c>
      <c r="EB11" s="535">
        <v>-100.79521859234953</v>
      </c>
      <c r="EC11" s="535">
        <v>-96.544470992168158</v>
      </c>
      <c r="ED11" s="535">
        <v>-92.463643842983416</v>
      </c>
      <c r="EE11" s="535">
        <v>-84.242966818281744</v>
      </c>
      <c r="EF11" s="535">
        <v>-92.289931101598853</v>
      </c>
      <c r="EG11" s="535">
        <v>-97.320762073088645</v>
      </c>
      <c r="EH11" s="535">
        <v>-98.288028850532896</v>
      </c>
      <c r="EI11" s="535">
        <v>-94.591964513566737</v>
      </c>
      <c r="EJ11" s="535">
        <v>-87.666397773335319</v>
      </c>
      <c r="EK11" s="535">
        <v>-85.927912870768424</v>
      </c>
      <c r="EL11" s="535">
        <v>-87.866493133972568</v>
      </c>
      <c r="EM11" s="535">
        <v>-93.151067788663795</v>
      </c>
      <c r="EN11" s="535">
        <v>-94.19036622958869</v>
      </c>
      <c r="EO11" s="535">
        <v>-90.787976038831431</v>
      </c>
      <c r="EP11" s="535">
        <v>-87.698471234930025</v>
      </c>
    </row>
    <row r="12" spans="2:146">
      <c r="B12" s="534">
        <v>2008</v>
      </c>
      <c r="C12" s="535">
        <v>-79.9995894135605</v>
      </c>
      <c r="D12" s="535">
        <v>-88.489534683437242</v>
      </c>
      <c r="E12" s="535">
        <v>-94.012185783917886</v>
      </c>
      <c r="F12" s="535">
        <v>-95.165550839959863</v>
      </c>
      <c r="G12" s="535">
        <v>-91.104354292238753</v>
      </c>
      <c r="H12" s="535">
        <v>-83.466805671691233</v>
      </c>
      <c r="I12" s="535">
        <v>-85.126144191965537</v>
      </c>
      <c r="J12" s="535">
        <v>-87.442520640953262</v>
      </c>
      <c r="K12" s="535">
        <v>-94.402256351281977</v>
      </c>
      <c r="L12" s="535">
        <v>-94.664310259443482</v>
      </c>
      <c r="M12" s="535">
        <v>-89.499456267655944</v>
      </c>
      <c r="N12" s="535">
        <v>-86.063916555513913</v>
      </c>
      <c r="O12" s="535">
        <v>-78.713779416709457</v>
      </c>
      <c r="P12" s="535">
        <v>-86.678131468697387</v>
      </c>
      <c r="Q12" s="535">
        <v>-91.9528913005948</v>
      </c>
      <c r="R12" s="535">
        <v>-92.850940429354182</v>
      </c>
      <c r="S12" s="535">
        <v>-88.910069098812002</v>
      </c>
      <c r="T12" s="535">
        <v>-81.405379462780587</v>
      </c>
      <c r="U12" s="535">
        <v>-84.197897246371397</v>
      </c>
      <c r="V12" s="535">
        <v>-85.782987399519968</v>
      </c>
      <c r="W12" s="535">
        <v>-92.337550074760188</v>
      </c>
      <c r="X12" s="535">
        <v>-92.431045386050641</v>
      </c>
      <c r="Y12" s="535">
        <v>-87.915366071637663</v>
      </c>
      <c r="Z12" s="535">
        <v>-85.028526729838191</v>
      </c>
      <c r="AA12" s="535">
        <v>-74.834848492626364</v>
      </c>
      <c r="AB12" s="535">
        <v>-81.68912465136259</v>
      </c>
      <c r="AC12" s="535">
        <v>-88.080113600325944</v>
      </c>
      <c r="AD12" s="535">
        <v>-90.728500749787102</v>
      </c>
      <c r="AE12" s="535">
        <v>-87.102433562936653</v>
      </c>
      <c r="AF12" s="535">
        <v>-79.594694070794347</v>
      </c>
      <c r="AG12" s="535">
        <v>-81.685960441002337</v>
      </c>
      <c r="AH12" s="535">
        <v>-82.730259635781223</v>
      </c>
      <c r="AI12" s="535">
        <v>-88.627057685513904</v>
      </c>
      <c r="AJ12" s="535">
        <v>-89.50404407472675</v>
      </c>
      <c r="AK12" s="535">
        <v>-85.567990794481616</v>
      </c>
      <c r="AL12" s="535">
        <v>-82.299437017421369</v>
      </c>
      <c r="AM12" s="535">
        <v>-81.500984259042326</v>
      </c>
      <c r="AN12" s="535">
        <v>-87.725728643477908</v>
      </c>
      <c r="AO12" s="535">
        <v>-94.684856879459403</v>
      </c>
      <c r="AP12" s="535">
        <v>-97.939653116511437</v>
      </c>
      <c r="AQ12" s="535">
        <v>-93.466252419754255</v>
      </c>
      <c r="AR12" s="535">
        <v>-85.096483637431177</v>
      </c>
      <c r="AS12" s="535">
        <v>-85.243171458352123</v>
      </c>
      <c r="AT12" s="535">
        <v>-86.624177260916113</v>
      </c>
      <c r="AU12" s="535">
        <v>-93.277740638617615</v>
      </c>
      <c r="AV12" s="535">
        <v>-94.65543064312817</v>
      </c>
      <c r="AW12" s="535">
        <v>-89.30621462208839</v>
      </c>
      <c r="AX12" s="535">
        <v>-85.76176569136301</v>
      </c>
      <c r="AY12" s="535">
        <v>-87.123617427898793</v>
      </c>
      <c r="AZ12" s="535">
        <v>-93.902936724080959</v>
      </c>
      <c r="BA12" s="535">
        <v>-102.55099882127071</v>
      </c>
      <c r="BB12" s="535">
        <v>-106.03315860910388</v>
      </c>
      <c r="BC12" s="535">
        <v>-101.45160046839148</v>
      </c>
      <c r="BD12" s="535">
        <v>-91.461513318637898</v>
      </c>
      <c r="BE12" s="535">
        <v>-90.983254723191919</v>
      </c>
      <c r="BF12" s="535">
        <v>-92.481555596712482</v>
      </c>
      <c r="BG12" s="535">
        <v>-102.46419222328656</v>
      </c>
      <c r="BH12" s="535">
        <v>-104.28194445092446</v>
      </c>
      <c r="BI12" s="535">
        <v>-97.697947442281588</v>
      </c>
      <c r="BJ12" s="535">
        <v>-93.141203757114809</v>
      </c>
      <c r="BK12" s="535">
        <v>-91.356982194782347</v>
      </c>
      <c r="BL12" s="535">
        <v>-98.162103946187941</v>
      </c>
      <c r="BM12" s="535">
        <v>-106.97685775521443</v>
      </c>
      <c r="BN12" s="535">
        <v>-109.52657862519573</v>
      </c>
      <c r="BO12" s="535">
        <v>-105.31176690454399</v>
      </c>
      <c r="BP12" s="535">
        <v>-95.701698665447651</v>
      </c>
      <c r="BQ12" s="535">
        <v>-92.813522814138125</v>
      </c>
      <c r="BR12" s="535">
        <v>-93.831229054199255</v>
      </c>
      <c r="BS12" s="535">
        <v>-101.70021499433429</v>
      </c>
      <c r="BT12" s="535">
        <v>-104.33070779933348</v>
      </c>
      <c r="BU12" s="535">
        <v>-99.804407935462748</v>
      </c>
      <c r="BV12" s="535">
        <v>-94.746775513847169</v>
      </c>
      <c r="BW12" s="535">
        <v>-93.946390014597014</v>
      </c>
      <c r="BX12" s="535">
        <v>-100.31827049141762</v>
      </c>
      <c r="BY12" s="535">
        <v>-109.24137288615607</v>
      </c>
      <c r="BZ12" s="535">
        <v>-111.22339435584007</v>
      </c>
      <c r="CA12" s="535">
        <v>-107.65113508119029</v>
      </c>
      <c r="CB12" s="535">
        <v>-98.122122056374621</v>
      </c>
      <c r="CC12" s="535">
        <v>-89.761210546978262</v>
      </c>
      <c r="CD12" s="535">
        <v>-91.144177898955945</v>
      </c>
      <c r="CE12" s="535">
        <v>-99.238635706103764</v>
      </c>
      <c r="CF12" s="535">
        <v>-102.30142483367723</v>
      </c>
      <c r="CG12" s="535">
        <v>-97.947829797981925</v>
      </c>
      <c r="CH12" s="535">
        <v>-92.811287962278399</v>
      </c>
      <c r="CI12" s="535">
        <v>-95.700980201050456</v>
      </c>
      <c r="CJ12" s="535">
        <v>-101.88220663748972</v>
      </c>
      <c r="CK12" s="535">
        <v>-111.56243230587305</v>
      </c>
      <c r="CL12" s="535">
        <v>-114.54019718714406</v>
      </c>
      <c r="CM12" s="535">
        <v>-110.15812839400952</v>
      </c>
      <c r="CN12" s="535">
        <v>-100.04032643579644</v>
      </c>
      <c r="CO12" s="535">
        <v>-93.692642103061274</v>
      </c>
      <c r="CP12" s="535">
        <v>-95.291006862255841</v>
      </c>
      <c r="CQ12" s="535">
        <v>-104.76164093959912</v>
      </c>
      <c r="CR12" s="535">
        <v>-108.3575834470635</v>
      </c>
      <c r="CS12" s="535">
        <v>-103.48020871156987</v>
      </c>
      <c r="CT12" s="535">
        <v>-97.786411185039952</v>
      </c>
      <c r="CU12" s="535">
        <v>-96.276814451206647</v>
      </c>
      <c r="CV12" s="535">
        <v>-102.77425619549932</v>
      </c>
      <c r="CW12" s="535">
        <v>-111.60004327058891</v>
      </c>
      <c r="CX12" s="535">
        <v>-114.80127317562038</v>
      </c>
      <c r="CY12" s="535">
        <v>-109.97306868554148</v>
      </c>
      <c r="CZ12" s="535">
        <v>-99.456791936194989</v>
      </c>
      <c r="DA12" s="535">
        <v>-100.4164498568359</v>
      </c>
      <c r="DB12" s="535">
        <v>-101.18353781952305</v>
      </c>
      <c r="DC12" s="535">
        <v>-113.94052748853298</v>
      </c>
      <c r="DD12" s="535">
        <v>-116.72108073824791</v>
      </c>
      <c r="DE12" s="535">
        <v>-108.86645186807765</v>
      </c>
      <c r="DF12" s="535">
        <v>-104.30614151780313</v>
      </c>
      <c r="DG12" s="535">
        <v>-89.386796889645723</v>
      </c>
      <c r="DH12" s="535">
        <v>-97.252473619673097</v>
      </c>
      <c r="DI12" s="535">
        <v>-105.34518475468333</v>
      </c>
      <c r="DJ12" s="535">
        <v>-108.40477601888162</v>
      </c>
      <c r="DK12" s="535">
        <v>-103.31851145854259</v>
      </c>
      <c r="DL12" s="535">
        <v>-92.979384537719525</v>
      </c>
      <c r="DM12" s="535">
        <v>-94.900504729682979</v>
      </c>
      <c r="DN12" s="535">
        <v>-96.342635713256314</v>
      </c>
      <c r="DO12" s="535">
        <v>-107.52479332253495</v>
      </c>
      <c r="DP12" s="535">
        <v>-109.92925356909309</v>
      </c>
      <c r="DQ12" s="535">
        <v>-101.8792424463883</v>
      </c>
      <c r="DR12" s="535">
        <v>-97.063388455095478</v>
      </c>
      <c r="DS12" s="535">
        <v>-87.489165196824842</v>
      </c>
      <c r="DT12" s="535">
        <v>-94.337068965322246</v>
      </c>
      <c r="DU12" s="535">
        <v>-100.15145507389273</v>
      </c>
      <c r="DV12" s="535">
        <v>-102.57601786255906</v>
      </c>
      <c r="DW12" s="535">
        <v>-98.857838893101075</v>
      </c>
      <c r="DX12" s="535">
        <v>-90.669009474692047</v>
      </c>
      <c r="DY12" s="535">
        <v>-89.887236408531962</v>
      </c>
      <c r="DZ12" s="535">
        <v>-91.287251070108553</v>
      </c>
      <c r="EA12" s="535">
        <v>-97.369101053705734</v>
      </c>
      <c r="EB12" s="535">
        <v>-100.38306542057441</v>
      </c>
      <c r="EC12" s="535">
        <v>-95.568812204011067</v>
      </c>
      <c r="ED12" s="535">
        <v>-91.169629066779336</v>
      </c>
      <c r="EE12" s="535">
        <v>-84.591565668779808</v>
      </c>
      <c r="EF12" s="535">
        <v>-92.611752919651636</v>
      </c>
      <c r="EG12" s="535">
        <v>-98.312476412897155</v>
      </c>
      <c r="EH12" s="535">
        <v>-99.397048766260667</v>
      </c>
      <c r="EI12" s="535">
        <v>-95.757128989467162</v>
      </c>
      <c r="EJ12" s="535">
        <v>-88.088546060697141</v>
      </c>
      <c r="EK12" s="535">
        <v>-87.774864015717981</v>
      </c>
      <c r="EL12" s="535">
        <v>-89.760761331367334</v>
      </c>
      <c r="EM12" s="535">
        <v>-95.824276270373531</v>
      </c>
      <c r="EN12" s="535">
        <v>-96.867860044253646</v>
      </c>
      <c r="EO12" s="535">
        <v>-92.809417294212636</v>
      </c>
      <c r="EP12" s="535">
        <v>-89.544081155289206</v>
      </c>
    </row>
    <row r="13" spans="2:146">
      <c r="B13" s="534">
        <v>2009</v>
      </c>
      <c r="C13" s="535">
        <v>-79.917764826432617</v>
      </c>
      <c r="D13" s="535">
        <v>-88.321281945849492</v>
      </c>
      <c r="E13" s="535">
        <v>-93.846463759571535</v>
      </c>
      <c r="F13" s="535">
        <v>-95.004112465676982</v>
      </c>
      <c r="G13" s="535">
        <v>-90.970957141206924</v>
      </c>
      <c r="H13" s="535">
        <v>-83.375364065101195</v>
      </c>
      <c r="I13" s="535">
        <v>-83.647987721145043</v>
      </c>
      <c r="J13" s="535">
        <v>-85.905937778458835</v>
      </c>
      <c r="K13" s="535">
        <v>-92.546661032708769</v>
      </c>
      <c r="L13" s="535">
        <v>-93.126230062047526</v>
      </c>
      <c r="M13" s="535">
        <v>-88.075164974443823</v>
      </c>
      <c r="N13" s="535">
        <v>-84.576283249131563</v>
      </c>
      <c r="O13" s="535">
        <v>-78.350289497472389</v>
      </c>
      <c r="P13" s="535">
        <v>-85.954878959890593</v>
      </c>
      <c r="Q13" s="535">
        <v>-91.233149073540403</v>
      </c>
      <c r="R13" s="535">
        <v>-92.146646520689984</v>
      </c>
      <c r="S13" s="535">
        <v>-88.339444113316091</v>
      </c>
      <c r="T13" s="535">
        <v>-81.000670336437892</v>
      </c>
      <c r="U13" s="535">
        <v>-82.596910443428499</v>
      </c>
      <c r="V13" s="535">
        <v>-84.159536588208965</v>
      </c>
      <c r="W13" s="535">
        <v>-90.373375484457654</v>
      </c>
      <c r="X13" s="535">
        <v>-90.785915338053826</v>
      </c>
      <c r="Y13" s="535">
        <v>-86.412900647980209</v>
      </c>
      <c r="Z13" s="535">
        <v>-83.416028922894824</v>
      </c>
      <c r="AA13" s="535">
        <v>-74.681328217783971</v>
      </c>
      <c r="AB13" s="535">
        <v>-81.374072915680841</v>
      </c>
      <c r="AC13" s="535">
        <v>-87.760586325109415</v>
      </c>
      <c r="AD13" s="535">
        <v>-90.415410783138668</v>
      </c>
      <c r="AE13" s="535">
        <v>-86.850840681916054</v>
      </c>
      <c r="AF13" s="535">
        <v>-79.421534916478933</v>
      </c>
      <c r="AG13" s="535">
        <v>-82.51227840365452</v>
      </c>
      <c r="AH13" s="535">
        <v>-83.536135818450092</v>
      </c>
      <c r="AI13" s="535">
        <v>-89.59241840940166</v>
      </c>
      <c r="AJ13" s="535">
        <v>-90.317891594480713</v>
      </c>
      <c r="AK13" s="535">
        <v>-86.337731036846577</v>
      </c>
      <c r="AL13" s="535">
        <v>-83.126631421539358</v>
      </c>
      <c r="AM13" s="535">
        <v>-81.398659716760619</v>
      </c>
      <c r="AN13" s="535">
        <v>-87.512382598343905</v>
      </c>
      <c r="AO13" s="535">
        <v>-94.451260412720927</v>
      </c>
      <c r="AP13" s="535">
        <v>-97.700259542113059</v>
      </c>
      <c r="AQ13" s="535">
        <v>-93.284070943381892</v>
      </c>
      <c r="AR13" s="535">
        <v>-84.979916269355243</v>
      </c>
      <c r="AS13" s="535">
        <v>-84.84298700551328</v>
      </c>
      <c r="AT13" s="535">
        <v>-86.228725954443377</v>
      </c>
      <c r="AU13" s="535">
        <v>-92.776228216509608</v>
      </c>
      <c r="AV13" s="535">
        <v>-94.231037820681195</v>
      </c>
      <c r="AW13" s="535">
        <v>-88.956961724360283</v>
      </c>
      <c r="AX13" s="535">
        <v>-85.363023382303496</v>
      </c>
      <c r="AY13" s="535">
        <v>-87.03474296518435</v>
      </c>
      <c r="AZ13" s="535">
        <v>-93.657980792770317</v>
      </c>
      <c r="BA13" s="535">
        <v>-102.24597701610537</v>
      </c>
      <c r="BB13" s="535">
        <v>-105.7216896465971</v>
      </c>
      <c r="BC13" s="535">
        <v>-101.20359283584928</v>
      </c>
      <c r="BD13" s="535">
        <v>-91.35081195927296</v>
      </c>
      <c r="BE13" s="535">
        <v>-90.084147999312862</v>
      </c>
      <c r="BF13" s="535">
        <v>-91.598976094695104</v>
      </c>
      <c r="BG13" s="535">
        <v>-100.94404355788231</v>
      </c>
      <c r="BH13" s="535">
        <v>-103.0767457123823</v>
      </c>
      <c r="BI13" s="535">
        <v>-96.950123174559067</v>
      </c>
      <c r="BJ13" s="535">
        <v>-92.247116148606125</v>
      </c>
      <c r="BK13" s="535">
        <v>-90.831104519988088</v>
      </c>
      <c r="BL13" s="535">
        <v>-97.575451627308013</v>
      </c>
      <c r="BM13" s="535">
        <v>-106.31149444225368</v>
      </c>
      <c r="BN13" s="535">
        <v>-108.81220661188367</v>
      </c>
      <c r="BO13" s="535">
        <v>-104.61458836977769</v>
      </c>
      <c r="BP13" s="535">
        <v>-95.091366159982712</v>
      </c>
      <c r="BQ13" s="535">
        <v>-92.361507545141237</v>
      </c>
      <c r="BR13" s="535">
        <v>-93.359037557387879</v>
      </c>
      <c r="BS13" s="535">
        <v>-101.2050082735376</v>
      </c>
      <c r="BT13" s="535">
        <v>-103.77335778237568</v>
      </c>
      <c r="BU13" s="535">
        <v>-99.224994626187396</v>
      </c>
      <c r="BV13" s="535">
        <v>-94.223785296528177</v>
      </c>
      <c r="BW13" s="535">
        <v>-93.45137529591824</v>
      </c>
      <c r="BX13" s="535">
        <v>-99.79359598235385</v>
      </c>
      <c r="BY13" s="535">
        <v>-108.63813875293872</v>
      </c>
      <c r="BZ13" s="535">
        <v>-110.55980552017519</v>
      </c>
      <c r="CA13" s="535">
        <v>-106.99878418722868</v>
      </c>
      <c r="CB13" s="535">
        <v>-97.530291669510461</v>
      </c>
      <c r="CC13" s="535">
        <v>-89.272088747281344</v>
      </c>
      <c r="CD13" s="535">
        <v>-90.633466575671378</v>
      </c>
      <c r="CE13" s="535">
        <v>-98.668069228239119</v>
      </c>
      <c r="CF13" s="535">
        <v>-101.67549616151685</v>
      </c>
      <c r="CG13" s="535">
        <v>-97.336427105481434</v>
      </c>
      <c r="CH13" s="535">
        <v>-92.248238691046879</v>
      </c>
      <c r="CI13" s="535">
        <v>-95.24999604784459</v>
      </c>
      <c r="CJ13" s="535">
        <v>-101.40241665296169</v>
      </c>
      <c r="CK13" s="535">
        <v>-111.00421330012715</v>
      </c>
      <c r="CL13" s="535">
        <v>-113.91690308841594</v>
      </c>
      <c r="CM13" s="535">
        <v>-109.54145631699842</v>
      </c>
      <c r="CN13" s="535">
        <v>-99.481121305783091</v>
      </c>
      <c r="CO13" s="535">
        <v>-93.21724670267885</v>
      </c>
      <c r="CP13" s="535">
        <v>-94.797446582691023</v>
      </c>
      <c r="CQ13" s="535">
        <v>-104.19591248249233</v>
      </c>
      <c r="CR13" s="535">
        <v>-107.74049799725967</v>
      </c>
      <c r="CS13" s="535">
        <v>-102.88197854754601</v>
      </c>
      <c r="CT13" s="535">
        <v>-97.242084321969912</v>
      </c>
      <c r="CU13" s="535">
        <v>-95.63320813855529</v>
      </c>
      <c r="CV13" s="535">
        <v>-101.9294241264206</v>
      </c>
      <c r="CW13" s="535">
        <v>-110.64341950908229</v>
      </c>
      <c r="CX13" s="535">
        <v>-113.77322754213525</v>
      </c>
      <c r="CY13" s="535">
        <v>-109.0091596560471</v>
      </c>
      <c r="CZ13" s="535">
        <v>-98.705725037940695</v>
      </c>
      <c r="DA13" s="535">
        <v>-99.490195155270627</v>
      </c>
      <c r="DB13" s="535">
        <v>-100.23276438659639</v>
      </c>
      <c r="DC13" s="535">
        <v>-112.62742288954195</v>
      </c>
      <c r="DD13" s="535">
        <v>-115.48972430086586</v>
      </c>
      <c r="DE13" s="535">
        <v>-107.8598691339337</v>
      </c>
      <c r="DF13" s="535">
        <v>-103.30150691510688</v>
      </c>
      <c r="DG13" s="535">
        <v>-88.938098314144355</v>
      </c>
      <c r="DH13" s="535">
        <v>-96.680679561466775</v>
      </c>
      <c r="DI13" s="535">
        <v>-104.75336384964943</v>
      </c>
      <c r="DJ13" s="535">
        <v>-107.79479349110917</v>
      </c>
      <c r="DK13" s="535">
        <v>-102.70423865053161</v>
      </c>
      <c r="DL13" s="535">
        <v>-92.447229045322032</v>
      </c>
      <c r="DM13" s="535">
        <v>-93.190930489493837</v>
      </c>
      <c r="DN13" s="535">
        <v>-94.536232887474938</v>
      </c>
      <c r="DO13" s="535">
        <v>-104.92893471556744</v>
      </c>
      <c r="DP13" s="535">
        <v>-107.71081087649931</v>
      </c>
      <c r="DQ13" s="535">
        <v>-100.19415675926399</v>
      </c>
      <c r="DR13" s="535">
        <v>-95.276828485880316</v>
      </c>
      <c r="DS13" s="535">
        <v>-85.309849698650083</v>
      </c>
      <c r="DT13" s="535">
        <v>-90.959112080953048</v>
      </c>
      <c r="DU13" s="535">
        <v>-96.710600861106457</v>
      </c>
      <c r="DV13" s="535">
        <v>-99.082882439873401</v>
      </c>
      <c r="DW13" s="535">
        <v>-95.372528783049077</v>
      </c>
      <c r="DX13" s="535">
        <v>-87.594325722945854</v>
      </c>
      <c r="DY13" s="535">
        <v>-88.491551931001396</v>
      </c>
      <c r="DZ13" s="535">
        <v>-89.597526267110354</v>
      </c>
      <c r="EA13" s="535">
        <v>-95.684752205389941</v>
      </c>
      <c r="EB13" s="535">
        <v>-98.557200174192261</v>
      </c>
      <c r="EC13" s="535">
        <v>-93.727310316033055</v>
      </c>
      <c r="ED13" s="535">
        <v>-89.545714482993688</v>
      </c>
      <c r="EE13" s="535">
        <v>-83.218029229397786</v>
      </c>
      <c r="EF13" s="535">
        <v>-89.111949606447823</v>
      </c>
      <c r="EG13" s="535">
        <v>-94.714982168648206</v>
      </c>
      <c r="EH13" s="535">
        <v>-95.713947747348342</v>
      </c>
      <c r="EI13" s="535">
        <v>-92.067299198155112</v>
      </c>
      <c r="EJ13" s="535">
        <v>-85.042079735296696</v>
      </c>
      <c r="EK13" s="535">
        <v>-86.589459915764294</v>
      </c>
      <c r="EL13" s="535">
        <v>-87.935576752801282</v>
      </c>
      <c r="EM13" s="535">
        <v>-93.839072998052998</v>
      </c>
      <c r="EN13" s="535">
        <v>-94.864387890776641</v>
      </c>
      <c r="EO13" s="535">
        <v>-90.840294198012941</v>
      </c>
      <c r="EP13" s="535">
        <v>-87.910386602430265</v>
      </c>
    </row>
    <row r="14" spans="2:146">
      <c r="B14" s="534">
        <v>2010</v>
      </c>
      <c r="C14" s="535">
        <v>-76.537858407501886</v>
      </c>
      <c r="D14" s="535">
        <v>-83.525577899789937</v>
      </c>
      <c r="E14" s="535">
        <v>-86.724938604846926</v>
      </c>
      <c r="F14" s="535">
        <v>-86.380570221162486</v>
      </c>
      <c r="G14" s="535">
        <v>-82.299824484439725</v>
      </c>
      <c r="H14" s="535">
        <v>-77.912208061316207</v>
      </c>
      <c r="I14" s="535">
        <v>-79.521388369219835</v>
      </c>
      <c r="J14" s="535">
        <v>-81.262064461276594</v>
      </c>
      <c r="K14" s="535">
        <v>-86.135950872211623</v>
      </c>
      <c r="L14" s="535">
        <v>-84.606164061277823</v>
      </c>
      <c r="M14" s="535">
        <v>-81.674059187345193</v>
      </c>
      <c r="N14" s="535">
        <v>-80.09414376251658</v>
      </c>
      <c r="O14" s="535">
        <v>-71.968755894101349</v>
      </c>
      <c r="P14" s="535">
        <v>-76.023189891213406</v>
      </c>
      <c r="Q14" s="535">
        <v>-78.902917248453917</v>
      </c>
      <c r="R14" s="535">
        <v>-78.348955092298979</v>
      </c>
      <c r="S14" s="535">
        <v>-75.407841184297936</v>
      </c>
      <c r="T14" s="535">
        <v>-72.551205705972706</v>
      </c>
      <c r="U14" s="535">
        <v>-70.749885716149066</v>
      </c>
      <c r="V14" s="535">
        <v>-71.967867253135324</v>
      </c>
      <c r="W14" s="535">
        <v>-74.888874860142764</v>
      </c>
      <c r="X14" s="535">
        <v>-74.416328838536387</v>
      </c>
      <c r="Y14" s="535">
        <v>-72.845671913849174</v>
      </c>
      <c r="Z14" s="535">
        <v>-71.345211232376982</v>
      </c>
      <c r="AA14" s="535">
        <v>-68.618679169987729</v>
      </c>
      <c r="AB14" s="535">
        <v>-71.181194311841622</v>
      </c>
      <c r="AC14" s="535">
        <v>-75.037412718069604</v>
      </c>
      <c r="AD14" s="535">
        <v>-76.036111095970412</v>
      </c>
      <c r="AE14" s="535">
        <v>-73.49524307035945</v>
      </c>
      <c r="AF14" s="535">
        <v>-70.947539702100201</v>
      </c>
      <c r="AG14" s="535">
        <v>-70.460856103821115</v>
      </c>
      <c r="AH14" s="535">
        <v>-71.36076154601281</v>
      </c>
      <c r="AI14" s="535">
        <v>-74.004803671104781</v>
      </c>
      <c r="AJ14" s="535">
        <v>-73.940549981898627</v>
      </c>
      <c r="AK14" s="535">
        <v>-72.450147426966026</v>
      </c>
      <c r="AL14" s="535">
        <v>-70.749623810047311</v>
      </c>
      <c r="AM14" s="535">
        <v>-76.18777527469139</v>
      </c>
      <c r="AN14" s="535">
        <v>-79.32307345825852</v>
      </c>
      <c r="AO14" s="535">
        <v>-83.49972761330649</v>
      </c>
      <c r="AP14" s="535">
        <v>-84.565585455349165</v>
      </c>
      <c r="AQ14" s="535">
        <v>-81.509769810355749</v>
      </c>
      <c r="AR14" s="535">
        <v>-77.811140384743695</v>
      </c>
      <c r="AS14" s="535">
        <v>-74.334446284832765</v>
      </c>
      <c r="AT14" s="535">
        <v>-75.461975746875183</v>
      </c>
      <c r="AU14" s="535">
        <v>-78.461249575261476</v>
      </c>
      <c r="AV14" s="535">
        <v>-78.532860189334215</v>
      </c>
      <c r="AW14" s="535">
        <v>-77.01376553966719</v>
      </c>
      <c r="AX14" s="535">
        <v>-74.730703007096736</v>
      </c>
      <c r="AY14" s="535">
        <v>-82.41288408229255</v>
      </c>
      <c r="AZ14" s="535">
        <v>-86.250295649306196</v>
      </c>
      <c r="BA14" s="535">
        <v>-91.571116992077506</v>
      </c>
      <c r="BB14" s="535">
        <v>-92.749097807518865</v>
      </c>
      <c r="BC14" s="535">
        <v>-89.3433262683523</v>
      </c>
      <c r="BD14" s="535">
        <v>-84.617482285251242</v>
      </c>
      <c r="BE14" s="535">
        <v>-82.979017882562317</v>
      </c>
      <c r="BF14" s="535">
        <v>-84.315609566697532</v>
      </c>
      <c r="BG14" s="535">
        <v>-89.276116968917052</v>
      </c>
      <c r="BH14" s="535">
        <v>-89.818834503515291</v>
      </c>
      <c r="BI14" s="535">
        <v>-87.505608149400942</v>
      </c>
      <c r="BJ14" s="535">
        <v>-84.712514085990932</v>
      </c>
      <c r="BK14" s="535">
        <v>-86.63016015777761</v>
      </c>
      <c r="BL14" s="535">
        <v>-92.275288707417872</v>
      </c>
      <c r="BM14" s="535">
        <v>-98.547577014705851</v>
      </c>
      <c r="BN14" s="535">
        <v>-99.14689912977461</v>
      </c>
      <c r="BO14" s="535">
        <v>-95.234933275246433</v>
      </c>
      <c r="BP14" s="535">
        <v>-89.124430796594737</v>
      </c>
      <c r="BQ14" s="535">
        <v>-87.566407811015054</v>
      </c>
      <c r="BR14" s="535">
        <v>-88.32558944939926</v>
      </c>
      <c r="BS14" s="535">
        <v>-93.475766202626403</v>
      </c>
      <c r="BT14" s="535">
        <v>-93.841994953380876</v>
      </c>
      <c r="BU14" s="535">
        <v>-91.287203493223743</v>
      </c>
      <c r="BV14" s="535">
        <v>-88.661573420245361</v>
      </c>
      <c r="BW14" s="535">
        <v>-88.5700899958035</v>
      </c>
      <c r="BX14" s="535">
        <v>-93.968170833606123</v>
      </c>
      <c r="BY14" s="535">
        <v>-100.61562097989446</v>
      </c>
      <c r="BZ14" s="535">
        <v>-100.90012460787401</v>
      </c>
      <c r="CA14" s="535">
        <v>-97.38274161150818</v>
      </c>
      <c r="CB14" s="535">
        <v>-90.796024739081844</v>
      </c>
      <c r="CC14" s="535">
        <v>-85.034944588141826</v>
      </c>
      <c r="CD14" s="535">
        <v>-86.063396299120427</v>
      </c>
      <c r="CE14" s="535">
        <v>-92.16771359776294</v>
      </c>
      <c r="CF14" s="535">
        <v>-92.909655336095824</v>
      </c>
      <c r="CG14" s="535">
        <v>-90.247543835834762</v>
      </c>
      <c r="CH14" s="535">
        <v>-87.621133219382955</v>
      </c>
      <c r="CI14" s="535">
        <v>-90.652919465338655</v>
      </c>
      <c r="CJ14" s="535">
        <v>-95.778538593721493</v>
      </c>
      <c r="CK14" s="535">
        <v>-102.88263586656653</v>
      </c>
      <c r="CL14" s="535">
        <v>-104.00284832074061</v>
      </c>
      <c r="CM14" s="535">
        <v>-99.851614245758938</v>
      </c>
      <c r="CN14" s="535">
        <v>-92.923944617023935</v>
      </c>
      <c r="CO14" s="535">
        <v>-89.045783083920639</v>
      </c>
      <c r="CP14" s="535">
        <v>-90.411350759482829</v>
      </c>
      <c r="CQ14" s="535">
        <v>-97.924728631346369</v>
      </c>
      <c r="CR14" s="535">
        <v>-99.050952086827408</v>
      </c>
      <c r="CS14" s="535">
        <v>-95.934931129731609</v>
      </c>
      <c r="CT14" s="535">
        <v>-92.497249931536075</v>
      </c>
      <c r="CU14" s="535">
        <v>-90.310235946163985</v>
      </c>
      <c r="CV14" s="535">
        <v>-93.46521758290622</v>
      </c>
      <c r="CW14" s="535">
        <v>-98.923560592156633</v>
      </c>
      <c r="CX14" s="535">
        <v>-99.588840281583799</v>
      </c>
      <c r="CY14" s="535">
        <v>-96.012549784366158</v>
      </c>
      <c r="CZ14" s="535">
        <v>-91.247002353717832</v>
      </c>
      <c r="DA14" s="535">
        <v>-90.352208636496655</v>
      </c>
      <c r="DB14" s="535">
        <v>-91.019143345349178</v>
      </c>
      <c r="DC14" s="535">
        <v>-97.384230519185081</v>
      </c>
      <c r="DD14" s="535">
        <v>-99.335744080011807</v>
      </c>
      <c r="DE14" s="535">
        <v>-96.914450661139711</v>
      </c>
      <c r="DF14" s="535">
        <v>-93.965911255484258</v>
      </c>
      <c r="DG14" s="535">
        <v>0</v>
      </c>
      <c r="DH14" s="535">
        <v>0</v>
      </c>
      <c r="DI14" s="535">
        <v>0</v>
      </c>
      <c r="DJ14" s="535">
        <v>0</v>
      </c>
      <c r="DK14" s="535">
        <v>0</v>
      </c>
      <c r="DL14" s="535">
        <v>0</v>
      </c>
      <c r="DM14" s="535">
        <v>0</v>
      </c>
      <c r="DN14" s="535">
        <v>0</v>
      </c>
      <c r="DO14" s="535">
        <v>0</v>
      </c>
      <c r="DP14" s="535">
        <v>0</v>
      </c>
      <c r="DQ14" s="535">
        <v>0</v>
      </c>
      <c r="DR14" s="535">
        <v>0</v>
      </c>
      <c r="DS14" s="535">
        <v>0</v>
      </c>
      <c r="DT14" s="535">
        <v>0</v>
      </c>
      <c r="DU14" s="535">
        <v>0</v>
      </c>
      <c r="DV14" s="535">
        <v>0</v>
      </c>
      <c r="DW14" s="535">
        <v>0</v>
      </c>
      <c r="DX14" s="535">
        <v>0</v>
      </c>
      <c r="DY14" s="535">
        <v>0</v>
      </c>
      <c r="DZ14" s="535">
        <v>0</v>
      </c>
      <c r="EA14" s="535">
        <v>0</v>
      </c>
      <c r="EB14" s="535">
        <v>0</v>
      </c>
      <c r="EC14" s="535">
        <v>0</v>
      </c>
      <c r="ED14" s="535">
        <v>0</v>
      </c>
      <c r="EE14" s="535">
        <v>0</v>
      </c>
      <c r="EF14" s="535">
        <v>0</v>
      </c>
      <c r="EG14" s="535">
        <v>0</v>
      </c>
      <c r="EH14" s="535">
        <v>0</v>
      </c>
      <c r="EI14" s="535">
        <v>0</v>
      </c>
      <c r="EJ14" s="535">
        <v>0</v>
      </c>
      <c r="EK14" s="535">
        <v>0</v>
      </c>
      <c r="EL14" s="535">
        <v>0</v>
      </c>
      <c r="EM14" s="535">
        <v>0</v>
      </c>
      <c r="EN14" s="535">
        <v>0</v>
      </c>
      <c r="EO14" s="535">
        <v>0</v>
      </c>
      <c r="EP14" s="535">
        <v>0</v>
      </c>
    </row>
    <row r="15" spans="2:146">
      <c r="B15" s="534"/>
      <c r="C15" s="535"/>
      <c r="D15" s="535"/>
      <c r="E15" s="535"/>
      <c r="F15" s="535"/>
      <c r="G15" s="535"/>
      <c r="H15" s="535"/>
      <c r="I15" s="535"/>
      <c r="J15" s="535"/>
      <c r="K15" s="535"/>
      <c r="L15" s="535"/>
      <c r="M15" s="535"/>
      <c r="N15" s="535"/>
      <c r="O15" s="535"/>
      <c r="P15" s="535"/>
      <c r="Q15" s="535"/>
      <c r="R15" s="535"/>
      <c r="S15" s="535"/>
      <c r="T15" s="535"/>
      <c r="U15" s="535"/>
      <c r="V15" s="535"/>
      <c r="W15" s="535"/>
      <c r="X15" s="535"/>
      <c r="Y15" s="535"/>
      <c r="Z15" s="535"/>
      <c r="AA15" s="535"/>
      <c r="AB15" s="535"/>
      <c r="AC15" s="535"/>
      <c r="AD15" s="535"/>
      <c r="AE15" s="535"/>
      <c r="AF15" s="535"/>
      <c r="AG15" s="535"/>
      <c r="AH15" s="535"/>
      <c r="AI15" s="535"/>
      <c r="AJ15" s="535"/>
      <c r="AK15" s="535"/>
      <c r="AL15" s="535"/>
      <c r="AM15" s="535"/>
      <c r="AN15" s="535"/>
      <c r="AO15" s="535"/>
      <c r="AP15" s="535"/>
      <c r="AQ15" s="535"/>
      <c r="AR15" s="535"/>
      <c r="AS15" s="535"/>
      <c r="AT15" s="535"/>
      <c r="AU15" s="535"/>
      <c r="AV15" s="535"/>
      <c r="AW15" s="535"/>
      <c r="AX15" s="535"/>
      <c r="AY15" s="535"/>
      <c r="AZ15" s="535"/>
      <c r="BA15" s="535"/>
      <c r="BB15" s="535"/>
      <c r="BC15" s="535"/>
      <c r="BD15" s="535"/>
      <c r="BE15" s="535"/>
      <c r="BF15" s="535"/>
      <c r="BG15" s="535"/>
      <c r="BH15" s="535"/>
      <c r="BI15" s="535"/>
      <c r="BJ15" s="535"/>
      <c r="BK15" s="535"/>
      <c r="BL15" s="535"/>
      <c r="BM15" s="535"/>
      <c r="BN15" s="535"/>
      <c r="BO15" s="535"/>
      <c r="BP15" s="535"/>
      <c r="BQ15" s="535"/>
      <c r="BR15" s="535"/>
      <c r="BS15" s="535"/>
      <c r="BT15" s="535"/>
      <c r="BU15" s="535"/>
      <c r="BV15" s="535"/>
      <c r="BW15" s="535"/>
      <c r="BX15" s="535"/>
      <c r="BY15" s="535"/>
      <c r="BZ15" s="535"/>
      <c r="CA15" s="535"/>
      <c r="CB15" s="535"/>
      <c r="CC15" s="535"/>
      <c r="CD15" s="535"/>
      <c r="CE15" s="535"/>
      <c r="CF15" s="535"/>
      <c r="CG15" s="535"/>
      <c r="CH15" s="535"/>
      <c r="CI15" s="535"/>
      <c r="CJ15" s="535"/>
      <c r="CK15" s="535"/>
      <c r="CL15" s="535"/>
      <c r="CM15" s="535"/>
      <c r="CN15" s="535"/>
      <c r="CO15" s="535"/>
      <c r="CP15" s="535"/>
      <c r="CQ15" s="535"/>
      <c r="CR15" s="535"/>
      <c r="CS15" s="535"/>
      <c r="CT15" s="535"/>
      <c r="CU15" s="535"/>
      <c r="CV15" s="535"/>
      <c r="CW15" s="535"/>
      <c r="CX15" s="535"/>
      <c r="CY15" s="535"/>
      <c r="CZ15" s="535"/>
      <c r="DA15" s="535"/>
      <c r="DB15" s="535"/>
      <c r="DC15" s="535"/>
      <c r="DD15" s="535"/>
      <c r="DE15" s="535"/>
      <c r="DF15" s="535"/>
      <c r="DG15" s="535"/>
      <c r="DH15" s="535"/>
      <c r="DI15" s="535"/>
      <c r="DJ15" s="535"/>
      <c r="DK15" s="535"/>
      <c r="DL15" s="535"/>
      <c r="DM15" s="535"/>
      <c r="DN15" s="535"/>
      <c r="DO15" s="535"/>
      <c r="DP15" s="535"/>
      <c r="DQ15" s="535"/>
      <c r="DR15" s="535"/>
      <c r="DS15" s="535"/>
      <c r="DT15" s="535"/>
      <c r="DU15" s="535"/>
      <c r="DV15" s="535"/>
      <c r="DW15" s="535"/>
      <c r="DX15" s="535"/>
      <c r="DY15" s="535"/>
      <c r="DZ15" s="535"/>
      <c r="EA15" s="535"/>
      <c r="EB15" s="535"/>
      <c r="EC15" s="535"/>
      <c r="ED15" s="535"/>
      <c r="EE15" s="535"/>
      <c r="EF15" s="535"/>
      <c r="EG15" s="535"/>
      <c r="EH15" s="535"/>
      <c r="EI15" s="535"/>
      <c r="EJ15" s="535"/>
      <c r="EK15" s="535"/>
      <c r="EL15" s="535"/>
      <c r="EM15" s="535"/>
      <c r="EN15" s="535"/>
      <c r="EO15" s="535"/>
      <c r="EP15" s="535"/>
    </row>
    <row r="16" spans="2:146">
      <c r="B16" s="534"/>
      <c r="C16" t="s">
        <v>435</v>
      </c>
      <c r="O16" t="s">
        <v>436</v>
      </c>
      <c r="AA16" t="s">
        <v>437</v>
      </c>
      <c r="AM16" t="s">
        <v>438</v>
      </c>
      <c r="AY16" t="s">
        <v>439</v>
      </c>
      <c r="BK16" t="s">
        <v>440</v>
      </c>
      <c r="BW16" t="s">
        <v>441</v>
      </c>
      <c r="CI16" t="s">
        <v>442</v>
      </c>
      <c r="CU16" t="s">
        <v>443</v>
      </c>
      <c r="DG16" t="s">
        <v>444</v>
      </c>
      <c r="DS16" t="s">
        <v>445</v>
      </c>
      <c r="EE16" t="s">
        <v>446</v>
      </c>
    </row>
    <row r="17" spans="2:146">
      <c r="B17" s="532" t="s">
        <v>23</v>
      </c>
      <c r="C17" s="533" t="s">
        <v>447</v>
      </c>
      <c r="D17" s="533" t="s">
        <v>448</v>
      </c>
      <c r="E17" s="533" t="s">
        <v>449</v>
      </c>
      <c r="F17" s="533" t="s">
        <v>450</v>
      </c>
      <c r="G17" s="533" t="s">
        <v>451</v>
      </c>
      <c r="H17" s="533" t="s">
        <v>452</v>
      </c>
      <c r="I17" s="533" t="s">
        <v>453</v>
      </c>
      <c r="J17" s="533" t="s">
        <v>454</v>
      </c>
      <c r="K17" s="533" t="s">
        <v>455</v>
      </c>
      <c r="L17" s="533" t="s">
        <v>456</v>
      </c>
      <c r="M17" s="533" t="s">
        <v>457</v>
      </c>
      <c r="N17" s="533" t="s">
        <v>458</v>
      </c>
      <c r="O17" s="533" t="s">
        <v>447</v>
      </c>
      <c r="P17" s="533" t="s">
        <v>448</v>
      </c>
      <c r="Q17" s="533" t="s">
        <v>449</v>
      </c>
      <c r="R17" s="533" t="s">
        <v>450</v>
      </c>
      <c r="S17" s="533" t="s">
        <v>451</v>
      </c>
      <c r="T17" s="533" t="s">
        <v>452</v>
      </c>
      <c r="U17" s="533" t="s">
        <v>453</v>
      </c>
      <c r="V17" s="533" t="s">
        <v>454</v>
      </c>
      <c r="W17" s="533" t="s">
        <v>455</v>
      </c>
      <c r="X17" s="533" t="s">
        <v>456</v>
      </c>
      <c r="Y17" s="533" t="s">
        <v>457</v>
      </c>
      <c r="Z17" s="533" t="s">
        <v>458</v>
      </c>
      <c r="AA17" s="533" t="s">
        <v>447</v>
      </c>
      <c r="AB17" s="533" t="s">
        <v>448</v>
      </c>
      <c r="AC17" s="533" t="s">
        <v>449</v>
      </c>
      <c r="AD17" s="533" t="s">
        <v>450</v>
      </c>
      <c r="AE17" s="533" t="s">
        <v>451</v>
      </c>
      <c r="AF17" s="533" t="s">
        <v>452</v>
      </c>
      <c r="AG17" s="533" t="s">
        <v>453</v>
      </c>
      <c r="AH17" s="533" t="s">
        <v>454</v>
      </c>
      <c r="AI17" s="533" t="s">
        <v>455</v>
      </c>
      <c r="AJ17" s="533" t="s">
        <v>456</v>
      </c>
      <c r="AK17" s="533" t="s">
        <v>457</v>
      </c>
      <c r="AL17" s="533" t="s">
        <v>458</v>
      </c>
      <c r="AM17" s="533" t="s">
        <v>447</v>
      </c>
      <c r="AN17" s="533" t="s">
        <v>448</v>
      </c>
      <c r="AO17" s="533" t="s">
        <v>449</v>
      </c>
      <c r="AP17" s="533" t="s">
        <v>450</v>
      </c>
      <c r="AQ17" s="533" t="s">
        <v>451</v>
      </c>
      <c r="AR17" s="533" t="s">
        <v>452</v>
      </c>
      <c r="AS17" s="533" t="s">
        <v>453</v>
      </c>
      <c r="AT17" s="533" t="s">
        <v>454</v>
      </c>
      <c r="AU17" s="533" t="s">
        <v>455</v>
      </c>
      <c r="AV17" s="533" t="s">
        <v>456</v>
      </c>
      <c r="AW17" s="533" t="s">
        <v>457</v>
      </c>
      <c r="AX17" s="533" t="s">
        <v>458</v>
      </c>
      <c r="AY17" s="533" t="s">
        <v>447</v>
      </c>
      <c r="AZ17" s="533" t="s">
        <v>448</v>
      </c>
      <c r="BA17" s="533" t="s">
        <v>449</v>
      </c>
      <c r="BB17" s="533" t="s">
        <v>450</v>
      </c>
      <c r="BC17" s="533" t="s">
        <v>451</v>
      </c>
      <c r="BD17" s="533" t="s">
        <v>452</v>
      </c>
      <c r="BE17" s="533" t="s">
        <v>453</v>
      </c>
      <c r="BF17" s="533" t="s">
        <v>454</v>
      </c>
      <c r="BG17" s="533" t="s">
        <v>455</v>
      </c>
      <c r="BH17" s="533" t="s">
        <v>456</v>
      </c>
      <c r="BI17" s="533" t="s">
        <v>457</v>
      </c>
      <c r="BJ17" s="533" t="s">
        <v>458</v>
      </c>
      <c r="BK17" s="533" t="s">
        <v>447</v>
      </c>
      <c r="BL17" s="533" t="s">
        <v>448</v>
      </c>
      <c r="BM17" s="533" t="s">
        <v>449</v>
      </c>
      <c r="BN17" s="533" t="s">
        <v>450</v>
      </c>
      <c r="BO17" s="533" t="s">
        <v>451</v>
      </c>
      <c r="BP17" s="533" t="s">
        <v>452</v>
      </c>
      <c r="BQ17" s="533" t="s">
        <v>453</v>
      </c>
      <c r="BR17" s="533" t="s">
        <v>454</v>
      </c>
      <c r="BS17" s="533" t="s">
        <v>455</v>
      </c>
      <c r="BT17" s="533" t="s">
        <v>456</v>
      </c>
      <c r="BU17" s="533" t="s">
        <v>457</v>
      </c>
      <c r="BV17" s="533" t="s">
        <v>458</v>
      </c>
      <c r="BW17" s="533" t="s">
        <v>447</v>
      </c>
      <c r="BX17" s="533" t="s">
        <v>448</v>
      </c>
      <c r="BY17" s="533" t="s">
        <v>449</v>
      </c>
      <c r="BZ17" s="533" t="s">
        <v>450</v>
      </c>
      <c r="CA17" s="533" t="s">
        <v>451</v>
      </c>
      <c r="CB17" s="533" t="s">
        <v>452</v>
      </c>
      <c r="CC17" s="533" t="s">
        <v>453</v>
      </c>
      <c r="CD17" s="533" t="s">
        <v>454</v>
      </c>
      <c r="CE17" s="533" t="s">
        <v>455</v>
      </c>
      <c r="CF17" s="533" t="s">
        <v>456</v>
      </c>
      <c r="CG17" s="533" t="s">
        <v>457</v>
      </c>
      <c r="CH17" s="533" t="s">
        <v>458</v>
      </c>
      <c r="CI17" s="533" t="s">
        <v>447</v>
      </c>
      <c r="CJ17" s="533" t="s">
        <v>448</v>
      </c>
      <c r="CK17" s="533" t="s">
        <v>449</v>
      </c>
      <c r="CL17" s="533" t="s">
        <v>450</v>
      </c>
      <c r="CM17" s="533" t="s">
        <v>451</v>
      </c>
      <c r="CN17" s="533" t="s">
        <v>452</v>
      </c>
      <c r="CO17" s="533" t="s">
        <v>453</v>
      </c>
      <c r="CP17" s="533" t="s">
        <v>454</v>
      </c>
      <c r="CQ17" s="533" t="s">
        <v>455</v>
      </c>
      <c r="CR17" s="533" t="s">
        <v>456</v>
      </c>
      <c r="CS17" s="533" t="s">
        <v>457</v>
      </c>
      <c r="CT17" s="533" t="s">
        <v>458</v>
      </c>
      <c r="CU17" s="533" t="s">
        <v>447</v>
      </c>
      <c r="CV17" s="533" t="s">
        <v>448</v>
      </c>
      <c r="CW17" s="533" t="s">
        <v>449</v>
      </c>
      <c r="CX17" s="533" t="s">
        <v>450</v>
      </c>
      <c r="CY17" s="533" t="s">
        <v>451</v>
      </c>
      <c r="CZ17" s="533" t="s">
        <v>452</v>
      </c>
      <c r="DA17" s="533" t="s">
        <v>453</v>
      </c>
      <c r="DB17" s="533" t="s">
        <v>454</v>
      </c>
      <c r="DC17" s="533" t="s">
        <v>455</v>
      </c>
      <c r="DD17" s="533" t="s">
        <v>456</v>
      </c>
      <c r="DE17" s="533" t="s">
        <v>457</v>
      </c>
      <c r="DF17" s="533" t="s">
        <v>458</v>
      </c>
      <c r="DG17" s="533" t="s">
        <v>447</v>
      </c>
      <c r="DH17" s="533" t="s">
        <v>448</v>
      </c>
      <c r="DI17" s="533" t="s">
        <v>449</v>
      </c>
      <c r="DJ17" s="533" t="s">
        <v>450</v>
      </c>
      <c r="DK17" s="533" t="s">
        <v>451</v>
      </c>
      <c r="DL17" s="533" t="s">
        <v>452</v>
      </c>
      <c r="DM17" s="533" t="s">
        <v>453</v>
      </c>
      <c r="DN17" s="533" t="s">
        <v>454</v>
      </c>
      <c r="DO17" s="533" t="s">
        <v>455</v>
      </c>
      <c r="DP17" s="533" t="s">
        <v>456</v>
      </c>
      <c r="DQ17" s="533" t="s">
        <v>457</v>
      </c>
      <c r="DR17" s="533" t="s">
        <v>458</v>
      </c>
      <c r="DS17" s="533" t="s">
        <v>447</v>
      </c>
      <c r="DT17" s="533" t="s">
        <v>448</v>
      </c>
      <c r="DU17" s="533" t="s">
        <v>449</v>
      </c>
      <c r="DV17" s="533" t="s">
        <v>450</v>
      </c>
      <c r="DW17" s="533" t="s">
        <v>451</v>
      </c>
      <c r="DX17" s="533" t="s">
        <v>452</v>
      </c>
      <c r="DY17" s="533" t="s">
        <v>453</v>
      </c>
      <c r="DZ17" s="533" t="s">
        <v>454</v>
      </c>
      <c r="EA17" s="533" t="s">
        <v>455</v>
      </c>
      <c r="EB17" s="533" t="s">
        <v>456</v>
      </c>
      <c r="EC17" s="533" t="s">
        <v>457</v>
      </c>
      <c r="ED17" s="533" t="s">
        <v>458</v>
      </c>
      <c r="EE17" s="533" t="s">
        <v>447</v>
      </c>
      <c r="EF17" s="533" t="s">
        <v>448</v>
      </c>
      <c r="EG17" s="533" t="s">
        <v>449</v>
      </c>
      <c r="EH17" s="533" t="s">
        <v>450</v>
      </c>
      <c r="EI17" s="533" t="s">
        <v>451</v>
      </c>
      <c r="EJ17" s="533" t="s">
        <v>452</v>
      </c>
      <c r="EK17" s="533" t="s">
        <v>453</v>
      </c>
      <c r="EL17" s="533" t="s">
        <v>454</v>
      </c>
      <c r="EM17" s="533" t="s">
        <v>455</v>
      </c>
      <c r="EN17" s="533" t="s">
        <v>456</v>
      </c>
      <c r="EO17" s="533" t="s">
        <v>457</v>
      </c>
      <c r="EP17" s="533" t="s">
        <v>458</v>
      </c>
    </row>
    <row r="18" spans="2:146">
      <c r="B18" s="534">
        <v>2000</v>
      </c>
      <c r="C18" s="536">
        <f t="shared" ref="C18:C28" si="0">C4*-1</f>
        <v>0</v>
      </c>
      <c r="D18" s="536">
        <f t="shared" ref="D18:BO18" si="1">D4*-1</f>
        <v>0</v>
      </c>
      <c r="E18" s="536">
        <f t="shared" si="1"/>
        <v>0</v>
      </c>
      <c r="F18" s="536">
        <f t="shared" si="1"/>
        <v>0</v>
      </c>
      <c r="G18" s="536">
        <f t="shared" si="1"/>
        <v>0</v>
      </c>
      <c r="H18" s="536">
        <f t="shared" si="1"/>
        <v>0</v>
      </c>
      <c r="I18" s="536">
        <f t="shared" si="1"/>
        <v>0</v>
      </c>
      <c r="J18" s="536">
        <f t="shared" si="1"/>
        <v>0</v>
      </c>
      <c r="K18" s="536">
        <f t="shared" si="1"/>
        <v>0</v>
      </c>
      <c r="L18" s="536">
        <f t="shared" si="1"/>
        <v>0</v>
      </c>
      <c r="M18" s="536">
        <f t="shared" si="1"/>
        <v>0</v>
      </c>
      <c r="N18" s="536">
        <f t="shared" si="1"/>
        <v>0</v>
      </c>
      <c r="O18" s="536">
        <f t="shared" si="1"/>
        <v>0</v>
      </c>
      <c r="P18" s="536">
        <f t="shared" si="1"/>
        <v>0</v>
      </c>
      <c r="Q18" s="536">
        <f t="shared" si="1"/>
        <v>0</v>
      </c>
      <c r="R18" s="536">
        <f t="shared" si="1"/>
        <v>0</v>
      </c>
      <c r="S18" s="536">
        <f t="shared" si="1"/>
        <v>0</v>
      </c>
      <c r="T18" s="536">
        <f t="shared" si="1"/>
        <v>0</v>
      </c>
      <c r="U18" s="536">
        <f t="shared" si="1"/>
        <v>0</v>
      </c>
      <c r="V18" s="536">
        <f t="shared" si="1"/>
        <v>0</v>
      </c>
      <c r="W18" s="536">
        <f t="shared" si="1"/>
        <v>0</v>
      </c>
      <c r="X18" s="536">
        <f t="shared" si="1"/>
        <v>0</v>
      </c>
      <c r="Y18" s="536">
        <f t="shared" si="1"/>
        <v>0</v>
      </c>
      <c r="Z18" s="536">
        <f t="shared" si="1"/>
        <v>0</v>
      </c>
      <c r="AA18" s="536">
        <f t="shared" si="1"/>
        <v>5.6837184239409728</v>
      </c>
      <c r="AB18" s="536">
        <f t="shared" si="1"/>
        <v>11.569054320609197</v>
      </c>
      <c r="AC18" s="536">
        <f t="shared" si="1"/>
        <v>11.892481160836867</v>
      </c>
      <c r="AD18" s="536">
        <f t="shared" si="1"/>
        <v>11.701224190750128</v>
      </c>
      <c r="AE18" s="536">
        <f t="shared" si="1"/>
        <v>9.4517091641553606</v>
      </c>
      <c r="AF18" s="536">
        <f t="shared" si="1"/>
        <v>6.4163112477082977</v>
      </c>
      <c r="AG18" s="536">
        <f t="shared" si="1"/>
        <v>21.865920815096956</v>
      </c>
      <c r="AH18" s="536">
        <f t="shared" si="1"/>
        <v>21.327865209749199</v>
      </c>
      <c r="AI18" s="536">
        <f t="shared" si="1"/>
        <v>25.652883515687897</v>
      </c>
      <c r="AJ18" s="536">
        <f t="shared" si="1"/>
        <v>21.733839788082804</v>
      </c>
      <c r="AK18" s="536">
        <f t="shared" si="1"/>
        <v>20.429749529932174</v>
      </c>
      <c r="AL18" s="536">
        <f t="shared" si="1"/>
        <v>21.888992659058641</v>
      </c>
      <c r="AM18" s="536">
        <f t="shared" si="1"/>
        <v>0.36214257591913668</v>
      </c>
      <c r="AN18" s="536">
        <f t="shared" si="1"/>
        <v>0.66297536976073657</v>
      </c>
      <c r="AO18" s="536">
        <f t="shared" si="1"/>
        <v>0.8720166540336427</v>
      </c>
      <c r="AP18" s="536">
        <f t="shared" si="1"/>
        <v>0.9446673823763323</v>
      </c>
      <c r="AQ18" s="536">
        <f t="shared" si="1"/>
        <v>0.76328254954863606</v>
      </c>
      <c r="AR18" s="536">
        <f t="shared" si="1"/>
        <v>0.41973404071102333</v>
      </c>
      <c r="AS18" s="536">
        <f t="shared" si="1"/>
        <v>0.86560208499753788</v>
      </c>
      <c r="AT18" s="536">
        <f t="shared" si="1"/>
        <v>0.86304799469408278</v>
      </c>
      <c r="AU18" s="536">
        <f t="shared" si="1"/>
        <v>1.1840168454546807</v>
      </c>
      <c r="AV18" s="536">
        <f t="shared" si="1"/>
        <v>1.1296453899010077</v>
      </c>
      <c r="AW18" s="536">
        <f t="shared" si="1"/>
        <v>0.81742817467790929</v>
      </c>
      <c r="AX18" s="536">
        <f t="shared" si="1"/>
        <v>0.86305790517679815</v>
      </c>
      <c r="AY18" s="536">
        <f t="shared" si="1"/>
        <v>0.7351933920488064</v>
      </c>
      <c r="AZ18" s="536">
        <f t="shared" si="1"/>
        <v>1.8707015287122359</v>
      </c>
      <c r="BA18" s="536">
        <f t="shared" si="1"/>
        <v>2.4606031417656928</v>
      </c>
      <c r="BB18" s="536">
        <f t="shared" si="1"/>
        <v>2.5648230869844082</v>
      </c>
      <c r="BC18" s="536">
        <f t="shared" si="1"/>
        <v>2.0770436784757855</v>
      </c>
      <c r="BD18" s="536">
        <f t="shared" si="1"/>
        <v>0.92198271113885322</v>
      </c>
      <c r="BE18" s="536">
        <f t="shared" si="1"/>
        <v>2.8969100295905807</v>
      </c>
      <c r="BF18" s="536">
        <f t="shared" si="1"/>
        <v>2.850706171284676</v>
      </c>
      <c r="BG18" s="536">
        <f t="shared" si="1"/>
        <v>4.9538864252793813</v>
      </c>
      <c r="BH18" s="536">
        <f t="shared" si="1"/>
        <v>4.0648949041419398</v>
      </c>
      <c r="BI18" s="536">
        <f t="shared" si="1"/>
        <v>2.503295164415968</v>
      </c>
      <c r="BJ18" s="536">
        <f t="shared" si="1"/>
        <v>2.8917485496129505</v>
      </c>
      <c r="BK18" s="536">
        <f t="shared" si="1"/>
        <v>0.17374803714290671</v>
      </c>
      <c r="BL18" s="536">
        <f t="shared" si="1"/>
        <v>0.29883428792262512</v>
      </c>
      <c r="BM18" s="536">
        <f t="shared" si="1"/>
        <v>0.48039755603339063</v>
      </c>
      <c r="BN18" s="536">
        <f t="shared" si="1"/>
        <v>0.53996408770675874</v>
      </c>
      <c r="BO18" s="536">
        <f t="shared" si="1"/>
        <v>0.47988635742934582</v>
      </c>
      <c r="BP18" s="536">
        <f t="shared" ref="BP18:EA18" si="2">BP4*-1</f>
        <v>0.22086411044326104</v>
      </c>
      <c r="BQ18" s="536">
        <f t="shared" si="2"/>
        <v>0.41313764310521489</v>
      </c>
      <c r="BR18" s="536">
        <f t="shared" si="2"/>
        <v>0.41141479328286878</v>
      </c>
      <c r="BS18" s="536">
        <f t="shared" si="2"/>
        <v>0.73386229064102859</v>
      </c>
      <c r="BT18" s="536">
        <f t="shared" si="2"/>
        <v>0.71895480608469731</v>
      </c>
      <c r="BU18" s="536">
        <f t="shared" si="2"/>
        <v>0.47097010089294727</v>
      </c>
      <c r="BV18" s="536">
        <f t="shared" si="2"/>
        <v>0.42976554037815856</v>
      </c>
      <c r="BW18" s="536">
        <f t="shared" si="2"/>
        <v>0.29827235829053589</v>
      </c>
      <c r="BX18" s="536">
        <f t="shared" si="2"/>
        <v>0.63464844823711886</v>
      </c>
      <c r="BY18" s="536">
        <f t="shared" si="2"/>
        <v>0.8965172766891214</v>
      </c>
      <c r="BZ18" s="536">
        <f t="shared" si="2"/>
        <v>0.95932132695536976</v>
      </c>
      <c r="CA18" s="536">
        <f t="shared" si="2"/>
        <v>0.83685650579487236</v>
      </c>
      <c r="CB18" s="536">
        <f t="shared" si="2"/>
        <v>0.37314162854968314</v>
      </c>
      <c r="CC18" s="536">
        <f t="shared" si="2"/>
        <v>0.62977987795285073</v>
      </c>
      <c r="CD18" s="536">
        <f t="shared" si="2"/>
        <v>0.63361808679586495</v>
      </c>
      <c r="CE18" s="536">
        <f t="shared" si="2"/>
        <v>1.3478895357077147</v>
      </c>
      <c r="CF18" s="536">
        <f t="shared" si="2"/>
        <v>1.1545278073089229</v>
      </c>
      <c r="CG18" s="536">
        <f t="shared" si="2"/>
        <v>0.62573343601362719</v>
      </c>
      <c r="CH18" s="536">
        <f t="shared" si="2"/>
        <v>0.6356426811128586</v>
      </c>
      <c r="CI18" s="536">
        <f t="shared" si="2"/>
        <v>0.33979568423873813</v>
      </c>
      <c r="CJ18" s="536">
        <f t="shared" si="2"/>
        <v>0.81550604411960215</v>
      </c>
      <c r="CK18" s="536">
        <f t="shared" si="2"/>
        <v>1.1609242799527337</v>
      </c>
      <c r="CL18" s="536">
        <f t="shared" si="2"/>
        <v>1.2371023176665643</v>
      </c>
      <c r="CM18" s="536">
        <f t="shared" si="2"/>
        <v>1.0462170874050545</v>
      </c>
      <c r="CN18" s="536">
        <f t="shared" si="2"/>
        <v>0.43519445618319669</v>
      </c>
      <c r="CO18" s="536">
        <f t="shared" si="2"/>
        <v>1.309736408304472</v>
      </c>
      <c r="CP18" s="536">
        <f t="shared" si="2"/>
        <v>1.295527908157321</v>
      </c>
      <c r="CQ18" s="536">
        <f t="shared" si="2"/>
        <v>2.5109697766884582</v>
      </c>
      <c r="CR18" s="536">
        <f t="shared" si="2"/>
        <v>2.1419057881173362</v>
      </c>
      <c r="CS18" s="536">
        <f t="shared" si="2"/>
        <v>1.1880731383286278</v>
      </c>
      <c r="CT18" s="536">
        <f t="shared" si="2"/>
        <v>1.3220539229754429</v>
      </c>
      <c r="CU18" s="536">
        <f t="shared" si="2"/>
        <v>0.33391023464435349</v>
      </c>
      <c r="CV18" s="536">
        <f t="shared" si="2"/>
        <v>0.77891849437572902</v>
      </c>
      <c r="CW18" s="536">
        <f t="shared" si="2"/>
        <v>1.0627130935964924</v>
      </c>
      <c r="CX18" s="536">
        <f t="shared" si="2"/>
        <v>1.1525537072808512</v>
      </c>
      <c r="CY18" s="536">
        <f t="shared" si="2"/>
        <v>0.97863639060250696</v>
      </c>
      <c r="CZ18" s="536">
        <f t="shared" si="2"/>
        <v>0.42682943728038286</v>
      </c>
      <c r="DA18" s="536">
        <f t="shared" si="2"/>
        <v>0.90983553538888662</v>
      </c>
      <c r="DB18" s="536">
        <f t="shared" si="2"/>
        <v>0.91736443946026058</v>
      </c>
      <c r="DC18" s="536">
        <f t="shared" si="2"/>
        <v>1.6844448559847951</v>
      </c>
      <c r="DD18" s="536">
        <f t="shared" si="2"/>
        <v>1.465931541320542</v>
      </c>
      <c r="DE18" s="536">
        <f t="shared" si="2"/>
        <v>0.86583098504519318</v>
      </c>
      <c r="DF18" s="536">
        <f t="shared" si="2"/>
        <v>0.91267778479171169</v>
      </c>
      <c r="DG18" s="536">
        <f t="shared" si="2"/>
        <v>1.6251603235446737</v>
      </c>
      <c r="DH18" s="536">
        <f t="shared" si="2"/>
        <v>4.2040756506743762</v>
      </c>
      <c r="DI18" s="536">
        <f t="shared" si="2"/>
        <v>4.8615557336238089</v>
      </c>
      <c r="DJ18" s="536">
        <f t="shared" si="2"/>
        <v>5.0030412506249711</v>
      </c>
      <c r="DK18" s="536">
        <f t="shared" si="2"/>
        <v>4.0364438898291883</v>
      </c>
      <c r="DL18" s="536">
        <f t="shared" si="2"/>
        <v>1.9972999508356857</v>
      </c>
      <c r="DM18" s="536">
        <f t="shared" si="2"/>
        <v>6.1004041270156684</v>
      </c>
      <c r="DN18" s="536">
        <f t="shared" si="2"/>
        <v>6.4259837541299616</v>
      </c>
      <c r="DO18" s="536">
        <f t="shared" si="2"/>
        <v>10.112255527943734</v>
      </c>
      <c r="DP18" s="536">
        <f t="shared" si="2"/>
        <v>8.2922340530889826</v>
      </c>
      <c r="DQ18" s="536">
        <f t="shared" si="2"/>
        <v>5.5892692890553404</v>
      </c>
      <c r="DR18" s="536">
        <f t="shared" si="2"/>
        <v>6.1298465906631883</v>
      </c>
      <c r="DS18" s="536">
        <f t="shared" si="2"/>
        <v>1.3987274169904342</v>
      </c>
      <c r="DT18" s="536">
        <f t="shared" si="2"/>
        <v>2.6815092783045968</v>
      </c>
      <c r="DU18" s="536">
        <f t="shared" si="2"/>
        <v>2.8210336854608138</v>
      </c>
      <c r="DV18" s="536">
        <f t="shared" si="2"/>
        <v>2.7903630024909853</v>
      </c>
      <c r="DW18" s="536">
        <f t="shared" si="2"/>
        <v>2.3469489145047042</v>
      </c>
      <c r="DX18" s="536">
        <f t="shared" si="2"/>
        <v>1.5725670627717936</v>
      </c>
      <c r="DY18" s="536">
        <f t="shared" si="2"/>
        <v>4.0426400763228925</v>
      </c>
      <c r="DZ18" s="536">
        <f t="shared" si="2"/>
        <v>4.0573080401654238</v>
      </c>
      <c r="EA18" s="536">
        <f t="shared" si="2"/>
        <v>4.8014137044569978</v>
      </c>
      <c r="EB18" s="536">
        <f t="shared" ref="EB18:EP18" si="3">EB4*-1</f>
        <v>4.2031236291995118</v>
      </c>
      <c r="EC18" s="536">
        <f t="shared" si="3"/>
        <v>3.9500657510733896</v>
      </c>
      <c r="ED18" s="536">
        <f t="shared" si="3"/>
        <v>4.0543160750816716</v>
      </c>
      <c r="EE18" s="536">
        <f t="shared" si="3"/>
        <v>0.81127479367607569</v>
      </c>
      <c r="EF18" s="536">
        <f t="shared" si="3"/>
        <v>1.5598828425119198</v>
      </c>
      <c r="EG18" s="536">
        <f t="shared" si="3"/>
        <v>1.6728447404140323</v>
      </c>
      <c r="EH18" s="536">
        <f t="shared" si="3"/>
        <v>1.6518463017086689</v>
      </c>
      <c r="EI18" s="536">
        <f t="shared" si="3"/>
        <v>1.4315642599949423</v>
      </c>
      <c r="EJ18" s="536">
        <f t="shared" si="3"/>
        <v>0.91366749859546348</v>
      </c>
      <c r="EK18" s="536">
        <f t="shared" si="3"/>
        <v>1.7886644590366971</v>
      </c>
      <c r="EL18" s="536">
        <f t="shared" si="3"/>
        <v>1.8368827495030706</v>
      </c>
      <c r="EM18" s="536">
        <f t="shared" si="3"/>
        <v>2.2670902554172412</v>
      </c>
      <c r="EN18" s="536">
        <f t="shared" si="3"/>
        <v>1.9870739481337099</v>
      </c>
      <c r="EO18" s="536">
        <f t="shared" si="3"/>
        <v>1.7642522111510766</v>
      </c>
      <c r="EP18" s="536">
        <f t="shared" si="3"/>
        <v>1.7880435513035406</v>
      </c>
    </row>
    <row r="19" spans="2:146">
      <c r="B19" s="534">
        <v>2001</v>
      </c>
      <c r="C19" s="536">
        <f t="shared" si="0"/>
        <v>5.3867534407376993</v>
      </c>
      <c r="D19" s="536">
        <f t="shared" ref="D19:BO19" si="4">D5*-1</f>
        <v>10.721120894728248</v>
      </c>
      <c r="E19" s="536">
        <f t="shared" si="4"/>
        <v>10.799831082541356</v>
      </c>
      <c r="F19" s="536">
        <f t="shared" si="4"/>
        <v>10.692148493783289</v>
      </c>
      <c r="G19" s="536">
        <f t="shared" si="4"/>
        <v>9.436809237805809</v>
      </c>
      <c r="H19" s="536">
        <f t="shared" si="4"/>
        <v>6.9675891911650041</v>
      </c>
      <c r="I19" s="536">
        <f t="shared" si="4"/>
        <v>13.190895256599957</v>
      </c>
      <c r="J19" s="536">
        <f t="shared" si="4"/>
        <v>14.103121697491423</v>
      </c>
      <c r="K19" s="536">
        <f t="shared" si="4"/>
        <v>16.823032922314773</v>
      </c>
      <c r="L19" s="536">
        <f t="shared" si="4"/>
        <v>14.394645994452004</v>
      </c>
      <c r="M19" s="536">
        <f t="shared" si="4"/>
        <v>13.37349852449322</v>
      </c>
      <c r="N19" s="536">
        <f t="shared" si="4"/>
        <v>13.596816112411737</v>
      </c>
      <c r="O19" s="536">
        <f t="shared" si="4"/>
        <v>6.3963484470989558</v>
      </c>
      <c r="P19" s="536">
        <f t="shared" si="4"/>
        <v>11.769819577219575</v>
      </c>
      <c r="Q19" s="536">
        <f t="shared" si="4"/>
        <v>11.893671310837641</v>
      </c>
      <c r="R19" s="536">
        <f t="shared" si="4"/>
        <v>11.765518383989793</v>
      </c>
      <c r="S19" s="536">
        <f t="shared" si="4"/>
        <v>10.150008251858804</v>
      </c>
      <c r="T19" s="536">
        <f t="shared" si="4"/>
        <v>7.6999729771136529</v>
      </c>
      <c r="U19" s="536">
        <f t="shared" si="4"/>
        <v>15.828412168841181</v>
      </c>
      <c r="V19" s="536">
        <f t="shared" si="4"/>
        <v>16.305223909986328</v>
      </c>
      <c r="W19" s="536">
        <f t="shared" si="4"/>
        <v>19.434806875455859</v>
      </c>
      <c r="X19" s="536">
        <f t="shared" si="4"/>
        <v>16.727370743737431</v>
      </c>
      <c r="Y19" s="536">
        <f t="shared" si="4"/>
        <v>15.373792814960852</v>
      </c>
      <c r="Z19" s="536">
        <f t="shared" si="4"/>
        <v>16.152236992590144</v>
      </c>
      <c r="AA19" s="536">
        <f t="shared" si="4"/>
        <v>5.1104423245665949</v>
      </c>
      <c r="AB19" s="536">
        <f t="shared" si="4"/>
        <v>10.094926334918286</v>
      </c>
      <c r="AC19" s="536">
        <f t="shared" si="4"/>
        <v>10.417182195915634</v>
      </c>
      <c r="AD19" s="536">
        <f t="shared" si="4"/>
        <v>10.364654979412267</v>
      </c>
      <c r="AE19" s="536">
        <f t="shared" si="4"/>
        <v>8.9745926524559607</v>
      </c>
      <c r="AF19" s="536">
        <f t="shared" si="4"/>
        <v>6.6734480904995532</v>
      </c>
      <c r="AG19" s="536">
        <f t="shared" si="4"/>
        <v>12.982750826089591</v>
      </c>
      <c r="AH19" s="536">
        <f t="shared" si="4"/>
        <v>13.036887142601469</v>
      </c>
      <c r="AI19" s="536">
        <f t="shared" si="4"/>
        <v>15.469495509438721</v>
      </c>
      <c r="AJ19" s="536">
        <f t="shared" si="4"/>
        <v>13.446170637803631</v>
      </c>
      <c r="AK19" s="536">
        <f t="shared" si="4"/>
        <v>12.71144451019669</v>
      </c>
      <c r="AL19" s="536">
        <f t="shared" si="4"/>
        <v>13.299390653896946</v>
      </c>
      <c r="AM19" s="536">
        <f t="shared" si="4"/>
        <v>4.0646417325311388</v>
      </c>
      <c r="AN19" s="536">
        <f t="shared" si="4"/>
        <v>7.6635361247648817</v>
      </c>
      <c r="AO19" s="536">
        <f t="shared" si="4"/>
        <v>8.353509361270568</v>
      </c>
      <c r="AP19" s="536">
        <f t="shared" si="4"/>
        <v>8.6126893035705372</v>
      </c>
      <c r="AQ19" s="536">
        <f t="shared" si="4"/>
        <v>7.1589543382714496</v>
      </c>
      <c r="AR19" s="536">
        <f t="shared" si="4"/>
        <v>5.1510785348398933</v>
      </c>
      <c r="AS19" s="536">
        <f t="shared" si="4"/>
        <v>9.6810799420784353</v>
      </c>
      <c r="AT19" s="536">
        <f t="shared" si="4"/>
        <v>9.8364153818299673</v>
      </c>
      <c r="AU19" s="536">
        <f t="shared" si="4"/>
        <v>12.187988448622608</v>
      </c>
      <c r="AV19" s="536">
        <f t="shared" si="4"/>
        <v>10.725240892113858</v>
      </c>
      <c r="AW19" s="536">
        <f t="shared" si="4"/>
        <v>8.9768736267395859</v>
      </c>
      <c r="AX19" s="536">
        <f t="shared" si="4"/>
        <v>9.8216370720744379</v>
      </c>
      <c r="AY19" s="536">
        <f t="shared" si="4"/>
        <v>3.2640963751798959</v>
      </c>
      <c r="AZ19" s="536">
        <f t="shared" si="4"/>
        <v>7.0695880567981071</v>
      </c>
      <c r="BA19" s="536">
        <f t="shared" si="4"/>
        <v>8.4377596957748189</v>
      </c>
      <c r="BB19" s="536">
        <f t="shared" si="4"/>
        <v>8.7110179114704849</v>
      </c>
      <c r="BC19" s="536">
        <f t="shared" si="4"/>
        <v>7.437249497803136</v>
      </c>
      <c r="BD19" s="536">
        <f t="shared" si="4"/>
        <v>4.3853709955266078</v>
      </c>
      <c r="BE19" s="536">
        <f t="shared" si="4"/>
        <v>8.8077674168764215</v>
      </c>
      <c r="BF19" s="536">
        <f t="shared" si="4"/>
        <v>8.9032721221292981</v>
      </c>
      <c r="BG19" s="536">
        <f t="shared" si="4"/>
        <v>14.355776481996267</v>
      </c>
      <c r="BH19" s="536">
        <f t="shared" si="4"/>
        <v>11.957180546825084</v>
      </c>
      <c r="BI19" s="536">
        <f t="shared" si="4"/>
        <v>8.0147909319542734</v>
      </c>
      <c r="BJ19" s="536">
        <f t="shared" si="4"/>
        <v>8.9680960242932937</v>
      </c>
      <c r="BK19" s="536">
        <f t="shared" si="4"/>
        <v>1.8703967728558812</v>
      </c>
      <c r="BL19" s="536">
        <f t="shared" si="4"/>
        <v>2.7319290540144734</v>
      </c>
      <c r="BM19" s="536">
        <f t="shared" si="4"/>
        <v>3.0602138438545219</v>
      </c>
      <c r="BN19" s="536">
        <f t="shared" si="4"/>
        <v>3.2224704649070839</v>
      </c>
      <c r="BO19" s="536">
        <f t="shared" si="4"/>
        <v>3.076688272690661</v>
      </c>
      <c r="BP19" s="536">
        <f t="shared" ref="BP19:EA19" si="5">BP5*-1</f>
        <v>2.4692454427106316</v>
      </c>
      <c r="BQ19" s="536">
        <f t="shared" si="5"/>
        <v>2.2119888202973574</v>
      </c>
      <c r="BR19" s="536">
        <f t="shared" si="5"/>
        <v>2.3589587447229134</v>
      </c>
      <c r="BS19" s="536">
        <f t="shared" si="5"/>
        <v>2.950305247234557</v>
      </c>
      <c r="BT19" s="536">
        <f t="shared" si="5"/>
        <v>2.9313718332932024</v>
      </c>
      <c r="BU19" s="536">
        <f t="shared" si="5"/>
        <v>2.4995535407401102</v>
      </c>
      <c r="BV19" s="536">
        <f t="shared" si="5"/>
        <v>2.3635338614993588</v>
      </c>
      <c r="BW19" s="536">
        <f t="shared" si="5"/>
        <v>88.749636006077822</v>
      </c>
      <c r="BX19" s="536">
        <f t="shared" si="5"/>
        <v>91.816651794612113</v>
      </c>
      <c r="BY19" s="536">
        <f t="shared" si="5"/>
        <v>97.502937498140085</v>
      </c>
      <c r="BZ19" s="536">
        <f t="shared" si="5"/>
        <v>97.862549266567882</v>
      </c>
      <c r="CA19" s="536">
        <f t="shared" si="5"/>
        <v>95.19806482227429</v>
      </c>
      <c r="CB19" s="536">
        <f t="shared" si="5"/>
        <v>91.30524627365412</v>
      </c>
      <c r="CC19" s="536">
        <f t="shared" si="5"/>
        <v>85.810799644253905</v>
      </c>
      <c r="CD19" s="536">
        <f t="shared" si="5"/>
        <v>87.115216613739648</v>
      </c>
      <c r="CE19" s="536">
        <f t="shared" si="5"/>
        <v>93.118396003427449</v>
      </c>
      <c r="CF19" s="536">
        <f t="shared" si="5"/>
        <v>94.147812385229912</v>
      </c>
      <c r="CG19" s="536">
        <f t="shared" si="5"/>
        <v>91.497409314812145</v>
      </c>
      <c r="CH19" s="536">
        <f t="shared" si="5"/>
        <v>88.58814575594451</v>
      </c>
      <c r="CI19" s="536">
        <f t="shared" si="5"/>
        <v>90.735801828640746</v>
      </c>
      <c r="CJ19" s="536">
        <f t="shared" si="5"/>
        <v>93.956153321725751</v>
      </c>
      <c r="CK19" s="536">
        <f t="shared" si="5"/>
        <v>100.33101232703569</v>
      </c>
      <c r="CL19" s="536">
        <f t="shared" si="5"/>
        <v>101.51676290301295</v>
      </c>
      <c r="CM19" s="536">
        <f t="shared" si="5"/>
        <v>98.140367921409933</v>
      </c>
      <c r="CN19" s="536">
        <f t="shared" si="5"/>
        <v>93.466640341840758</v>
      </c>
      <c r="CO19" s="536">
        <f t="shared" si="5"/>
        <v>90.318983324748757</v>
      </c>
      <c r="CP19" s="536">
        <f t="shared" si="5"/>
        <v>91.918845761401371</v>
      </c>
      <c r="CQ19" s="536">
        <f t="shared" si="5"/>
        <v>99.782436068871789</v>
      </c>
      <c r="CR19" s="536">
        <f t="shared" si="5"/>
        <v>101.11796417659703</v>
      </c>
      <c r="CS19" s="536">
        <f t="shared" si="5"/>
        <v>97.637679843343363</v>
      </c>
      <c r="CT19" s="536">
        <f t="shared" si="5"/>
        <v>93.974757977275033</v>
      </c>
      <c r="CU19" s="536">
        <f t="shared" si="5"/>
        <v>90.359965520046359</v>
      </c>
      <c r="CV19" s="536">
        <f t="shared" si="5"/>
        <v>93.316776178780174</v>
      </c>
      <c r="CW19" s="536">
        <f t="shared" si="5"/>
        <v>98.731604290154635</v>
      </c>
      <c r="CX19" s="536">
        <f t="shared" si="5"/>
        <v>99.552988648555043</v>
      </c>
      <c r="CY19" s="536">
        <f t="shared" si="5"/>
        <v>96.136181772680345</v>
      </c>
      <c r="CZ19" s="536">
        <f t="shared" si="5"/>
        <v>91.806139525127676</v>
      </c>
      <c r="DA19" s="536">
        <f t="shared" si="5"/>
        <v>91.661319407923756</v>
      </c>
      <c r="DB19" s="536">
        <f t="shared" si="5"/>
        <v>92.519737487026674</v>
      </c>
      <c r="DC19" s="536">
        <f t="shared" si="5"/>
        <v>99.868553201914878</v>
      </c>
      <c r="DD19" s="536">
        <f t="shared" si="5"/>
        <v>101.64869802550793</v>
      </c>
      <c r="DE19" s="536">
        <f t="shared" si="5"/>
        <v>98.456217055198564</v>
      </c>
      <c r="DF19" s="536">
        <f t="shared" si="5"/>
        <v>95.442057947790616</v>
      </c>
      <c r="DG19" s="536">
        <f t="shared" si="5"/>
        <v>86.650140660005732</v>
      </c>
      <c r="DH19" s="536">
        <f t="shared" si="5"/>
        <v>93.046108666018924</v>
      </c>
      <c r="DI19" s="536">
        <f t="shared" si="5"/>
        <v>98.332111537757669</v>
      </c>
      <c r="DJ19" s="536">
        <f t="shared" si="5"/>
        <v>99.094754361356166</v>
      </c>
      <c r="DK19" s="536">
        <f t="shared" si="5"/>
        <v>94.7201488378427</v>
      </c>
      <c r="DL19" s="536">
        <f t="shared" si="5"/>
        <v>88.854653526584741</v>
      </c>
      <c r="DM19" s="536">
        <f t="shared" si="5"/>
        <v>95.093521637214366</v>
      </c>
      <c r="DN19" s="536">
        <f t="shared" si="5"/>
        <v>96.708352154716437</v>
      </c>
      <c r="DO19" s="536">
        <f t="shared" si="5"/>
        <v>107.70904484398952</v>
      </c>
      <c r="DP19" s="536">
        <f t="shared" si="5"/>
        <v>106.55474083410211</v>
      </c>
      <c r="DQ19" s="536">
        <f t="shared" si="5"/>
        <v>99.52309920457644</v>
      </c>
      <c r="DR19" s="536">
        <f t="shared" si="5"/>
        <v>97.060812201718505</v>
      </c>
      <c r="DS19" s="536">
        <f t="shared" si="5"/>
        <v>83.186976960655556</v>
      </c>
      <c r="DT19" s="536">
        <f t="shared" si="5"/>
        <v>88.034367111725174</v>
      </c>
      <c r="DU19" s="536">
        <f t="shared" si="5"/>
        <v>91.591583007930112</v>
      </c>
      <c r="DV19" s="536">
        <f t="shared" si="5"/>
        <v>92.256573161712041</v>
      </c>
      <c r="DW19" s="536">
        <f t="shared" si="5"/>
        <v>89.247883443683975</v>
      </c>
      <c r="DX19" s="536">
        <f t="shared" si="5"/>
        <v>85.112693911650297</v>
      </c>
      <c r="DY19" s="536">
        <f t="shared" si="5"/>
        <v>87.944812356269438</v>
      </c>
      <c r="DZ19" s="536">
        <f t="shared" si="5"/>
        <v>89.368653244419335</v>
      </c>
      <c r="EA19" s="536">
        <f t="shared" si="5"/>
        <v>94.085046185494377</v>
      </c>
      <c r="EB19" s="536">
        <f t="shared" ref="EB19:EP19" si="6">EB5*-1</f>
        <v>94.533620677542501</v>
      </c>
      <c r="EC19" s="536">
        <f t="shared" si="6"/>
        <v>91.596818552906299</v>
      </c>
      <c r="ED19" s="536">
        <f t="shared" si="6"/>
        <v>89.203876227032509</v>
      </c>
      <c r="EE19" s="536">
        <f t="shared" si="6"/>
        <v>80.645170846714919</v>
      </c>
      <c r="EF19" s="536">
        <f t="shared" si="6"/>
        <v>85.966483961846876</v>
      </c>
      <c r="EG19" s="536">
        <f t="shared" si="6"/>
        <v>89.491366638915025</v>
      </c>
      <c r="EH19" s="536">
        <f t="shared" si="6"/>
        <v>89.298274909417444</v>
      </c>
      <c r="EI19" s="536">
        <f t="shared" si="6"/>
        <v>86.322349355551921</v>
      </c>
      <c r="EJ19" s="536">
        <f t="shared" si="6"/>
        <v>82.825330114893035</v>
      </c>
      <c r="EK19" s="536">
        <f t="shared" si="6"/>
        <v>82.316149811959406</v>
      </c>
      <c r="EL19" s="536">
        <f t="shared" si="6"/>
        <v>84.198557727781761</v>
      </c>
      <c r="EM19" s="536">
        <f t="shared" si="6"/>
        <v>88.004552865456503</v>
      </c>
      <c r="EN19" s="536">
        <f t="shared" si="6"/>
        <v>87.637028540455233</v>
      </c>
      <c r="EO19" s="536">
        <f t="shared" si="6"/>
        <v>85.671731345882066</v>
      </c>
      <c r="EP19" s="536">
        <f t="shared" si="6"/>
        <v>84.066464264720636</v>
      </c>
    </row>
    <row r="20" spans="2:146">
      <c r="B20" s="534">
        <v>2002</v>
      </c>
      <c r="C20" s="536">
        <f t="shared" si="0"/>
        <v>76.182649426801717</v>
      </c>
      <c r="D20" s="536">
        <f t="shared" ref="D20:BO20" si="7">D6*-1</f>
        <v>82.653144939052282</v>
      </c>
      <c r="E20" s="536">
        <f t="shared" si="7"/>
        <v>86.023893766732073</v>
      </c>
      <c r="F20" s="536">
        <f t="shared" si="7"/>
        <v>85.893527589128198</v>
      </c>
      <c r="G20" s="536">
        <f t="shared" si="7"/>
        <v>82.490565782356953</v>
      </c>
      <c r="H20" s="536">
        <f t="shared" si="7"/>
        <v>78.468749012835247</v>
      </c>
      <c r="I20" s="536">
        <f t="shared" si="7"/>
        <v>82.621063683993953</v>
      </c>
      <c r="J20" s="536">
        <f t="shared" si="7"/>
        <v>84.92723993544756</v>
      </c>
      <c r="K20" s="536">
        <f t="shared" si="7"/>
        <v>90.268673892973951</v>
      </c>
      <c r="L20" s="536">
        <f t="shared" si="7"/>
        <v>88.467271395985989</v>
      </c>
      <c r="M20" s="536">
        <f t="shared" si="7"/>
        <v>85.31106722777254</v>
      </c>
      <c r="N20" s="536">
        <f t="shared" si="7"/>
        <v>83.542149615228666</v>
      </c>
      <c r="O20" s="536">
        <f t="shared" si="7"/>
        <v>75.243633354766359</v>
      </c>
      <c r="P20" s="536">
        <f t="shared" si="7"/>
        <v>81.488114251545255</v>
      </c>
      <c r="Q20" s="536">
        <f t="shared" si="7"/>
        <v>84.484870357661208</v>
      </c>
      <c r="R20" s="536">
        <f t="shared" si="7"/>
        <v>83.984036564922221</v>
      </c>
      <c r="S20" s="536">
        <f t="shared" si="7"/>
        <v>80.52080120496565</v>
      </c>
      <c r="T20" s="536">
        <f t="shared" si="7"/>
        <v>76.747864066860686</v>
      </c>
      <c r="U20" s="536">
        <f t="shared" si="7"/>
        <v>82.511181965388772</v>
      </c>
      <c r="V20" s="536">
        <f t="shared" si="7"/>
        <v>84.15546524377713</v>
      </c>
      <c r="W20" s="536">
        <f t="shared" si="7"/>
        <v>89.31508723509134</v>
      </c>
      <c r="X20" s="536">
        <f t="shared" si="7"/>
        <v>86.964602174398507</v>
      </c>
      <c r="Y20" s="536">
        <f t="shared" si="7"/>
        <v>84.336768071701783</v>
      </c>
      <c r="Z20" s="536">
        <f t="shared" si="7"/>
        <v>83.416882279443499</v>
      </c>
      <c r="AA20" s="536">
        <f t="shared" si="7"/>
        <v>70.558814918092978</v>
      </c>
      <c r="AB20" s="536">
        <f t="shared" si="7"/>
        <v>75.997815157178991</v>
      </c>
      <c r="AC20" s="536">
        <f t="shared" si="7"/>
        <v>80.06912159751775</v>
      </c>
      <c r="AD20" s="536">
        <f t="shared" si="7"/>
        <v>81.048302672225077</v>
      </c>
      <c r="AE20" s="536">
        <f t="shared" si="7"/>
        <v>77.928089988564281</v>
      </c>
      <c r="AF20" s="536">
        <f t="shared" si="7"/>
        <v>74.183113536467232</v>
      </c>
      <c r="AG20" s="536">
        <f t="shared" si="7"/>
        <v>77.87394469167009</v>
      </c>
      <c r="AH20" s="536">
        <f t="shared" si="7"/>
        <v>78.937452243654732</v>
      </c>
      <c r="AI20" s="536">
        <f t="shared" si="7"/>
        <v>83.154197077642124</v>
      </c>
      <c r="AJ20" s="536">
        <f t="shared" si="7"/>
        <v>81.839425801219818</v>
      </c>
      <c r="AK20" s="536">
        <f t="shared" si="7"/>
        <v>79.882969343129872</v>
      </c>
      <c r="AL20" s="536">
        <f t="shared" si="7"/>
        <v>78.474267986826447</v>
      </c>
      <c r="AM20" s="536">
        <f t="shared" si="7"/>
        <v>78.411440817598958</v>
      </c>
      <c r="AN20" s="536">
        <f t="shared" si="7"/>
        <v>84.139152986630606</v>
      </c>
      <c r="AO20" s="536">
        <f t="shared" si="7"/>
        <v>88.942914804764143</v>
      </c>
      <c r="AP20" s="536">
        <f t="shared" si="7"/>
        <v>90.263278972403583</v>
      </c>
      <c r="AQ20" s="536">
        <f t="shared" si="7"/>
        <v>86.080436017941651</v>
      </c>
      <c r="AR20" s="536">
        <f t="shared" si="7"/>
        <v>80.975827739804956</v>
      </c>
      <c r="AS20" s="536">
        <f t="shared" si="7"/>
        <v>85.55225729622282</v>
      </c>
      <c r="AT20" s="536">
        <f t="shared" si="7"/>
        <v>86.836215873595151</v>
      </c>
      <c r="AU20" s="536">
        <f t="shared" si="7"/>
        <v>92.930860459355699</v>
      </c>
      <c r="AV20" s="536">
        <f t="shared" si="7"/>
        <v>91.044484515823427</v>
      </c>
      <c r="AW20" s="536">
        <f t="shared" si="7"/>
        <v>87.206559937232669</v>
      </c>
      <c r="AX20" s="536">
        <f t="shared" si="7"/>
        <v>86.081545041705482</v>
      </c>
      <c r="AY20" s="536">
        <f t="shared" si="7"/>
        <v>84.051490924516003</v>
      </c>
      <c r="AZ20" s="536">
        <f t="shared" si="7"/>
        <v>90.4730391590533</v>
      </c>
      <c r="BA20" s="536">
        <f t="shared" si="7"/>
        <v>96.814139246563713</v>
      </c>
      <c r="BB20" s="536">
        <f t="shared" si="7"/>
        <v>98.027469349283166</v>
      </c>
      <c r="BC20" s="536">
        <f t="shared" si="7"/>
        <v>93.720143605415686</v>
      </c>
      <c r="BD20" s="536">
        <f t="shared" si="7"/>
        <v>87.192079320472359</v>
      </c>
      <c r="BE20" s="536">
        <f t="shared" si="7"/>
        <v>92.091300468459536</v>
      </c>
      <c r="BF20" s="536">
        <f t="shared" si="7"/>
        <v>93.490878935497705</v>
      </c>
      <c r="BG20" s="536">
        <f t="shared" si="7"/>
        <v>104.63607810407093</v>
      </c>
      <c r="BH20" s="536">
        <f t="shared" si="7"/>
        <v>102.38429286220597</v>
      </c>
      <c r="BI20" s="536">
        <f t="shared" si="7"/>
        <v>95.58291453974249</v>
      </c>
      <c r="BJ20" s="536">
        <f t="shared" si="7"/>
        <v>93.976910573427062</v>
      </c>
      <c r="BK20" s="536">
        <f t="shared" si="7"/>
        <v>86.942583913142499</v>
      </c>
      <c r="BL20" s="536">
        <f t="shared" si="7"/>
        <v>89.990683525844759</v>
      </c>
      <c r="BM20" s="536">
        <f t="shared" si="7"/>
        <v>94.946685908885485</v>
      </c>
      <c r="BN20" s="536">
        <f t="shared" si="7"/>
        <v>95.500343117693518</v>
      </c>
      <c r="BO20" s="536">
        <f t="shared" si="7"/>
        <v>92.763403386248214</v>
      </c>
      <c r="BP20" s="536">
        <f t="shared" ref="BP20:EA20" si="8">BP6*-1</f>
        <v>89.553179407492692</v>
      </c>
      <c r="BQ20" s="536">
        <f t="shared" si="8"/>
        <v>88.458600332037008</v>
      </c>
      <c r="BR20" s="536">
        <f t="shared" si="8"/>
        <v>89.416546270908782</v>
      </c>
      <c r="BS20" s="536">
        <f t="shared" si="8"/>
        <v>94.011403137074169</v>
      </c>
      <c r="BT20" s="536">
        <f t="shared" si="8"/>
        <v>94.854407318061362</v>
      </c>
      <c r="BU20" s="536">
        <f t="shared" si="8"/>
        <v>92.633172379334326</v>
      </c>
      <c r="BV20" s="536">
        <f t="shared" si="8"/>
        <v>89.704237000070776</v>
      </c>
      <c r="BW20" s="536">
        <f t="shared" si="8"/>
        <v>88.791513734218412</v>
      </c>
      <c r="BX20" s="536">
        <f t="shared" si="8"/>
        <v>91.964684738072364</v>
      </c>
      <c r="BY20" s="536">
        <f t="shared" si="8"/>
        <v>97.695028048922822</v>
      </c>
      <c r="BZ20" s="536">
        <f t="shared" si="8"/>
        <v>98.060613764942346</v>
      </c>
      <c r="CA20" s="536">
        <f t="shared" si="8"/>
        <v>95.359629293508689</v>
      </c>
      <c r="CB20" s="536">
        <f t="shared" si="8"/>
        <v>91.360803670784748</v>
      </c>
      <c r="CC20" s="536">
        <f t="shared" si="8"/>
        <v>86.177337296725696</v>
      </c>
      <c r="CD20" s="536">
        <f t="shared" si="8"/>
        <v>87.474618731067523</v>
      </c>
      <c r="CE20" s="536">
        <f t="shared" si="8"/>
        <v>93.929014405384592</v>
      </c>
      <c r="CF20" s="536">
        <f t="shared" si="8"/>
        <v>94.763841777323321</v>
      </c>
      <c r="CG20" s="536">
        <f t="shared" si="8"/>
        <v>91.799657713612973</v>
      </c>
      <c r="CH20" s="536">
        <f t="shared" si="8"/>
        <v>88.952398597312879</v>
      </c>
      <c r="CI20" s="536">
        <f t="shared" si="8"/>
        <v>90.73393893886221</v>
      </c>
      <c r="CJ20" s="536">
        <f t="shared" si="8"/>
        <v>93.958576675391981</v>
      </c>
      <c r="CK20" s="536">
        <f t="shared" si="8"/>
        <v>100.33219469433411</v>
      </c>
      <c r="CL20" s="536">
        <f t="shared" si="8"/>
        <v>101.51715030638486</v>
      </c>
      <c r="CM20" s="536">
        <f t="shared" si="8"/>
        <v>98.139505819562018</v>
      </c>
      <c r="CN20" s="536">
        <f t="shared" si="8"/>
        <v>93.46457434969868</v>
      </c>
      <c r="CO20" s="536">
        <f t="shared" si="8"/>
        <v>90.095374618961117</v>
      </c>
      <c r="CP20" s="536">
        <f t="shared" si="8"/>
        <v>91.699082055325292</v>
      </c>
      <c r="CQ20" s="536">
        <f t="shared" si="8"/>
        <v>99.352222729505172</v>
      </c>
      <c r="CR20" s="536">
        <f t="shared" si="8"/>
        <v>100.76783289460352</v>
      </c>
      <c r="CS20" s="536">
        <f t="shared" si="8"/>
        <v>97.449112318804168</v>
      </c>
      <c r="CT20" s="536">
        <f t="shared" si="8"/>
        <v>93.7518887204766</v>
      </c>
      <c r="CU20" s="536">
        <f t="shared" si="8"/>
        <v>90.661312641658213</v>
      </c>
      <c r="CV20" s="536">
        <f t="shared" si="8"/>
        <v>94.226456952316354</v>
      </c>
      <c r="CW20" s="536">
        <f t="shared" si="8"/>
        <v>99.828611005240944</v>
      </c>
      <c r="CX20" s="536">
        <f t="shared" si="8"/>
        <v>100.68815283312938</v>
      </c>
      <c r="CY20" s="536">
        <f t="shared" si="8"/>
        <v>97.070099738650143</v>
      </c>
      <c r="CZ20" s="536">
        <f t="shared" si="8"/>
        <v>92.191150448193341</v>
      </c>
      <c r="DA20" s="536">
        <f t="shared" si="8"/>
        <v>93.077922191789526</v>
      </c>
      <c r="DB20" s="536">
        <f t="shared" si="8"/>
        <v>93.959851408768841</v>
      </c>
      <c r="DC20" s="536">
        <f t="shared" si="8"/>
        <v>102.47096779465099</v>
      </c>
      <c r="DD20" s="536">
        <f t="shared" si="8"/>
        <v>103.69383448294373</v>
      </c>
      <c r="DE20" s="536">
        <f t="shared" si="8"/>
        <v>99.681848735146133</v>
      </c>
      <c r="DF20" s="536">
        <f t="shared" si="8"/>
        <v>96.857345112274814</v>
      </c>
      <c r="DG20" s="536">
        <f t="shared" si="8"/>
        <v>86.212474835424899</v>
      </c>
      <c r="DH20" s="536">
        <f t="shared" si="8"/>
        <v>91.883811658884355</v>
      </c>
      <c r="DI20" s="536">
        <f t="shared" si="8"/>
        <v>97.020679336628305</v>
      </c>
      <c r="DJ20" s="536">
        <f t="shared" si="8"/>
        <v>97.757812907295232</v>
      </c>
      <c r="DK20" s="536">
        <f t="shared" si="8"/>
        <v>93.649518810011386</v>
      </c>
      <c r="DL20" s="536">
        <f t="shared" si="8"/>
        <v>88.318152174430693</v>
      </c>
      <c r="DM20" s="536">
        <f t="shared" si="8"/>
        <v>93.09808801215199</v>
      </c>
      <c r="DN20" s="536">
        <f t="shared" si="8"/>
        <v>94.60570714564696</v>
      </c>
      <c r="DO20" s="536">
        <f t="shared" si="8"/>
        <v>104.41746855619526</v>
      </c>
      <c r="DP20" s="536">
        <f t="shared" si="8"/>
        <v>103.89470564233977</v>
      </c>
      <c r="DQ20" s="536">
        <f t="shared" si="8"/>
        <v>97.716259439423524</v>
      </c>
      <c r="DR20" s="536">
        <f t="shared" si="8"/>
        <v>95.057710936147757</v>
      </c>
      <c r="DS20" s="536">
        <f t="shared" si="8"/>
        <v>83.18984846697785</v>
      </c>
      <c r="DT20" s="536">
        <f t="shared" si="8"/>
        <v>88.042157580646659</v>
      </c>
      <c r="DU20" s="536">
        <f t="shared" si="8"/>
        <v>91.595638014658306</v>
      </c>
      <c r="DV20" s="536">
        <f t="shared" si="8"/>
        <v>92.2590609987882</v>
      </c>
      <c r="DW20" s="536">
        <f t="shared" si="8"/>
        <v>89.249122343718895</v>
      </c>
      <c r="DX20" s="536">
        <f t="shared" si="8"/>
        <v>85.115703999136798</v>
      </c>
      <c r="DY20" s="536">
        <f t="shared" si="8"/>
        <v>86.893629848425263</v>
      </c>
      <c r="DZ20" s="536">
        <f t="shared" si="8"/>
        <v>88.313245125728372</v>
      </c>
      <c r="EA20" s="536">
        <f t="shared" si="8"/>
        <v>92.857115615223705</v>
      </c>
      <c r="EB20" s="536">
        <f t="shared" ref="EB20:EP20" si="9">EB6*-1</f>
        <v>93.481110821675827</v>
      </c>
      <c r="EC20" s="536">
        <f t="shared" si="9"/>
        <v>90.582096753623688</v>
      </c>
      <c r="ED20" s="536">
        <f t="shared" si="9"/>
        <v>88.149655804521402</v>
      </c>
      <c r="EE20" s="536">
        <f t="shared" si="9"/>
        <v>80.995465865002018</v>
      </c>
      <c r="EF20" s="536">
        <f t="shared" si="9"/>
        <v>86.674134794646676</v>
      </c>
      <c r="EG20" s="536">
        <f t="shared" si="9"/>
        <v>90.18690668339714</v>
      </c>
      <c r="EH20" s="536">
        <f t="shared" si="9"/>
        <v>89.972365188268142</v>
      </c>
      <c r="EI20" s="536">
        <f t="shared" si="9"/>
        <v>86.886563102312294</v>
      </c>
      <c r="EJ20" s="536">
        <f t="shared" si="9"/>
        <v>83.216927392888778</v>
      </c>
      <c r="EK20" s="536">
        <f t="shared" si="9"/>
        <v>83.943117757835523</v>
      </c>
      <c r="EL20" s="536">
        <f t="shared" si="9"/>
        <v>85.869958551141309</v>
      </c>
      <c r="EM20" s="536">
        <f t="shared" si="9"/>
        <v>89.990518857506842</v>
      </c>
      <c r="EN20" s="536">
        <f t="shared" si="9"/>
        <v>89.301006862807697</v>
      </c>
      <c r="EO20" s="536">
        <f t="shared" si="9"/>
        <v>87.230710314889166</v>
      </c>
      <c r="EP20" s="536">
        <f t="shared" si="9"/>
        <v>85.693033585853172</v>
      </c>
    </row>
    <row r="21" spans="2:146">
      <c r="B21" s="534">
        <v>2003</v>
      </c>
      <c r="C21" s="536">
        <f t="shared" si="0"/>
        <v>75.744991756249192</v>
      </c>
      <c r="D21" s="536">
        <f t="shared" ref="D21:BO21" si="10">D7*-1</f>
        <v>81.753192620054335</v>
      </c>
      <c r="E21" s="536">
        <f t="shared" si="10"/>
        <v>85.137446560250254</v>
      </c>
      <c r="F21" s="536">
        <f t="shared" si="10"/>
        <v>85.029999272544771</v>
      </c>
      <c r="G21" s="536">
        <f t="shared" si="10"/>
        <v>81.777025957687187</v>
      </c>
      <c r="H21" s="536">
        <f t="shared" si="10"/>
        <v>77.979651308733239</v>
      </c>
      <c r="I21" s="536">
        <f t="shared" si="10"/>
        <v>81.247561014918745</v>
      </c>
      <c r="J21" s="536">
        <f t="shared" si="10"/>
        <v>83.499444296863871</v>
      </c>
      <c r="K21" s="536">
        <f t="shared" si="10"/>
        <v>88.544446230990317</v>
      </c>
      <c r="L21" s="536">
        <f t="shared" si="10"/>
        <v>87.038081157935082</v>
      </c>
      <c r="M21" s="536">
        <f t="shared" si="10"/>
        <v>83.987598220380264</v>
      </c>
      <c r="N21" s="536">
        <f t="shared" si="10"/>
        <v>82.159831238658228</v>
      </c>
      <c r="O21" s="536">
        <f t="shared" si="10"/>
        <v>74.399335195190247</v>
      </c>
      <c r="P21" s="536">
        <f t="shared" si="10"/>
        <v>79.77413549821199</v>
      </c>
      <c r="Q21" s="536">
        <f t="shared" si="10"/>
        <v>82.781973622889396</v>
      </c>
      <c r="R21" s="536">
        <f t="shared" si="10"/>
        <v>82.31908935814441</v>
      </c>
      <c r="S21" s="536">
        <f t="shared" si="10"/>
        <v>79.178500124407961</v>
      </c>
      <c r="T21" s="536">
        <f t="shared" si="10"/>
        <v>75.804782411629603</v>
      </c>
      <c r="U21" s="536">
        <f t="shared" si="10"/>
        <v>79.782784892742683</v>
      </c>
      <c r="V21" s="536">
        <f t="shared" si="10"/>
        <v>81.388925154266545</v>
      </c>
      <c r="W21" s="536">
        <f t="shared" si="10"/>
        <v>85.963963815361822</v>
      </c>
      <c r="X21" s="536">
        <f t="shared" si="10"/>
        <v>84.163017298375962</v>
      </c>
      <c r="Y21" s="536">
        <f t="shared" si="10"/>
        <v>81.779347858652443</v>
      </c>
      <c r="Z21" s="536">
        <f t="shared" si="10"/>
        <v>80.668964055069893</v>
      </c>
      <c r="AA21" s="536">
        <f t="shared" si="10"/>
        <v>70.13038807211521</v>
      </c>
      <c r="AB21" s="536">
        <f t="shared" si="10"/>
        <v>75.11859151816634</v>
      </c>
      <c r="AC21" s="536">
        <f t="shared" si="10"/>
        <v>79.177407888763426</v>
      </c>
      <c r="AD21" s="536">
        <f t="shared" si="10"/>
        <v>80.174563856543173</v>
      </c>
      <c r="AE21" s="536">
        <f t="shared" si="10"/>
        <v>77.225971074925738</v>
      </c>
      <c r="AF21" s="536">
        <f t="shared" si="10"/>
        <v>73.699892377187055</v>
      </c>
      <c r="AG21" s="536">
        <f t="shared" si="10"/>
        <v>76.655508645817875</v>
      </c>
      <c r="AH21" s="536">
        <f t="shared" si="10"/>
        <v>77.749157626270787</v>
      </c>
      <c r="AI21" s="536">
        <f t="shared" si="10"/>
        <v>81.730722727508976</v>
      </c>
      <c r="AJ21" s="536">
        <f t="shared" si="10"/>
        <v>80.639365002201686</v>
      </c>
      <c r="AK21" s="536">
        <f t="shared" si="10"/>
        <v>78.747944835604287</v>
      </c>
      <c r="AL21" s="536">
        <f t="shared" si="10"/>
        <v>77.254520861704719</v>
      </c>
      <c r="AM21" s="536">
        <f t="shared" si="10"/>
        <v>84.52783246908534</v>
      </c>
      <c r="AN21" s="536">
        <f t="shared" si="10"/>
        <v>92.772423841946718</v>
      </c>
      <c r="AO21" s="536">
        <f t="shared" si="10"/>
        <v>102.70556745240981</v>
      </c>
      <c r="AP21" s="536">
        <f t="shared" si="10"/>
        <v>105.17925435578191</v>
      </c>
      <c r="AQ21" s="536">
        <f t="shared" si="10"/>
        <v>98.358937422853671</v>
      </c>
      <c r="AR21" s="536">
        <f t="shared" si="10"/>
        <v>88.467100172660494</v>
      </c>
      <c r="AS21" s="536">
        <f t="shared" si="10"/>
        <v>89.590323498960387</v>
      </c>
      <c r="AT21" s="536">
        <f t="shared" si="10"/>
        <v>91.047511866032494</v>
      </c>
      <c r="AU21" s="536">
        <f t="shared" si="10"/>
        <v>97.791825018090464</v>
      </c>
      <c r="AV21" s="536">
        <f t="shared" si="10"/>
        <v>96.880235392368959</v>
      </c>
      <c r="AW21" s="536">
        <f t="shared" si="10"/>
        <v>92.072196259792676</v>
      </c>
      <c r="AX21" s="536">
        <f t="shared" si="10"/>
        <v>90.332306200090798</v>
      </c>
      <c r="AY21" s="536">
        <f t="shared" si="10"/>
        <v>90.357946470417815</v>
      </c>
      <c r="AZ21" s="536">
        <f t="shared" si="10"/>
        <v>100.27080798332376</v>
      </c>
      <c r="BA21" s="536">
        <f t="shared" si="10"/>
        <v>112.56420199234603</v>
      </c>
      <c r="BB21" s="536">
        <f t="shared" si="10"/>
        <v>115.13899965799301</v>
      </c>
      <c r="BC21" s="536">
        <f t="shared" si="10"/>
        <v>107.69893339313182</v>
      </c>
      <c r="BD21" s="536">
        <f t="shared" si="10"/>
        <v>95.067775816393791</v>
      </c>
      <c r="BE21" s="536">
        <f t="shared" si="10"/>
        <v>96.187586818031377</v>
      </c>
      <c r="BF21" s="536">
        <f t="shared" si="10"/>
        <v>97.637565218018381</v>
      </c>
      <c r="BG21" s="536">
        <f t="shared" si="10"/>
        <v>109.43434292859064</v>
      </c>
      <c r="BH21" s="536">
        <f t="shared" si="10"/>
        <v>108.64900649809718</v>
      </c>
      <c r="BI21" s="536">
        <f t="shared" si="10"/>
        <v>100.72607826722128</v>
      </c>
      <c r="BJ21" s="536">
        <f t="shared" si="10"/>
        <v>98.279425347180378</v>
      </c>
      <c r="BK21" s="536">
        <f t="shared" si="10"/>
        <v>93.298851605712869</v>
      </c>
      <c r="BL21" s="536">
        <f t="shared" si="10"/>
        <v>102.44921407427196</v>
      </c>
      <c r="BM21" s="536">
        <f t="shared" si="10"/>
        <v>115.05769618499087</v>
      </c>
      <c r="BN21" s="536">
        <f t="shared" si="10"/>
        <v>116.76798679921312</v>
      </c>
      <c r="BO21" s="536">
        <f t="shared" si="10"/>
        <v>109.86033021031002</v>
      </c>
      <c r="BP21" s="536">
        <f t="shared" ref="BP21:EA21" si="11">BP7*-1</f>
        <v>97.911698800723997</v>
      </c>
      <c r="BQ21" s="536">
        <f t="shared" si="11"/>
        <v>94.855697477145824</v>
      </c>
      <c r="BR21" s="536">
        <f t="shared" si="11"/>
        <v>95.774024836729865</v>
      </c>
      <c r="BS21" s="536">
        <f t="shared" si="11"/>
        <v>103.45282699699447</v>
      </c>
      <c r="BT21" s="536">
        <f t="shared" si="11"/>
        <v>104.6451314992393</v>
      </c>
      <c r="BU21" s="536">
        <f t="shared" si="11"/>
        <v>99.96924390744941</v>
      </c>
      <c r="BV21" s="536">
        <f t="shared" si="11"/>
        <v>96.448116282243348</v>
      </c>
      <c r="BW21" s="536">
        <f t="shared" si="11"/>
        <v>95.6831248909712</v>
      </c>
      <c r="BX21" s="536">
        <f t="shared" si="11"/>
        <v>105.00024348924771</v>
      </c>
      <c r="BY21" s="536">
        <f t="shared" si="11"/>
        <v>117.80975449115553</v>
      </c>
      <c r="BZ21" s="536">
        <f t="shared" si="11"/>
        <v>119.01354443981954</v>
      </c>
      <c r="CA21" s="536">
        <f t="shared" si="11"/>
        <v>112.42670787660148</v>
      </c>
      <c r="CB21" s="536">
        <f t="shared" si="11"/>
        <v>100.10750567513361</v>
      </c>
      <c r="CC21" s="536">
        <f t="shared" si="11"/>
        <v>92.06094747023694</v>
      </c>
      <c r="CD21" s="536">
        <f t="shared" si="11"/>
        <v>93.349831537924459</v>
      </c>
      <c r="CE21" s="536">
        <f t="shared" si="11"/>
        <v>102.05543140434918</v>
      </c>
      <c r="CF21" s="536">
        <f t="shared" si="11"/>
        <v>103.61406100040949</v>
      </c>
      <c r="CG21" s="536">
        <f t="shared" si="11"/>
        <v>98.516425974355215</v>
      </c>
      <c r="CH21" s="536">
        <f t="shared" si="11"/>
        <v>95.033857506100631</v>
      </c>
      <c r="CI21" s="536">
        <f t="shared" si="11"/>
        <v>97.616680951583632</v>
      </c>
      <c r="CJ21" s="536">
        <f t="shared" si="11"/>
        <v>106.81655663860914</v>
      </c>
      <c r="CK21" s="536">
        <f t="shared" si="11"/>
        <v>120.5729905116721</v>
      </c>
      <c r="CL21" s="536">
        <f t="shared" si="11"/>
        <v>122.70520047789313</v>
      </c>
      <c r="CM21" s="536">
        <f t="shared" si="11"/>
        <v>115.26143686830719</v>
      </c>
      <c r="CN21" s="536">
        <f t="shared" si="11"/>
        <v>102.22985883497951</v>
      </c>
      <c r="CO21" s="536">
        <f t="shared" si="11"/>
        <v>96.017079748261636</v>
      </c>
      <c r="CP21" s="536">
        <f t="shared" si="11"/>
        <v>97.661567836650576</v>
      </c>
      <c r="CQ21" s="536">
        <f t="shared" si="11"/>
        <v>107.5757860947044</v>
      </c>
      <c r="CR21" s="536">
        <f t="shared" si="11"/>
        <v>109.63965742181234</v>
      </c>
      <c r="CS21" s="536">
        <f t="shared" si="11"/>
        <v>104.24238733612097</v>
      </c>
      <c r="CT21" s="536">
        <f t="shared" si="11"/>
        <v>100.00364026960465</v>
      </c>
      <c r="CU21" s="536">
        <f t="shared" si="11"/>
        <v>98.896490248405655</v>
      </c>
      <c r="CV21" s="536">
        <f t="shared" si="11"/>
        <v>108.28346563819933</v>
      </c>
      <c r="CW21" s="536">
        <f t="shared" si="11"/>
        <v>120.82197551905229</v>
      </c>
      <c r="CX21" s="536">
        <f t="shared" si="11"/>
        <v>122.89607608811363</v>
      </c>
      <c r="CY21" s="536">
        <f t="shared" si="11"/>
        <v>115.3147187448763</v>
      </c>
      <c r="CZ21" s="536">
        <f t="shared" si="11"/>
        <v>102.3869908744764</v>
      </c>
      <c r="DA21" s="536">
        <f t="shared" si="11"/>
        <v>104.02282430014692</v>
      </c>
      <c r="DB21" s="536">
        <f t="shared" si="11"/>
        <v>104.90870605302405</v>
      </c>
      <c r="DC21" s="536">
        <f t="shared" si="11"/>
        <v>118.56778835933531</v>
      </c>
      <c r="DD21" s="536">
        <f t="shared" si="11"/>
        <v>119.08812379794345</v>
      </c>
      <c r="DE21" s="536">
        <f t="shared" si="11"/>
        <v>110.89175823748391</v>
      </c>
      <c r="DF21" s="536">
        <f t="shared" si="11"/>
        <v>108.02232204592033</v>
      </c>
      <c r="DG21" s="536">
        <f t="shared" si="11"/>
        <v>92.360683253541779</v>
      </c>
      <c r="DH21" s="536">
        <f t="shared" si="11"/>
        <v>102.22606295992556</v>
      </c>
      <c r="DI21" s="536">
        <f t="shared" si="11"/>
        <v>113.5504213834616</v>
      </c>
      <c r="DJ21" s="536">
        <f t="shared" si="11"/>
        <v>115.61566969477852</v>
      </c>
      <c r="DK21" s="536">
        <f t="shared" si="11"/>
        <v>108.14632537923087</v>
      </c>
      <c r="DL21" s="536">
        <f t="shared" si="11"/>
        <v>96.223652838268364</v>
      </c>
      <c r="DM21" s="536">
        <f t="shared" si="11"/>
        <v>98.660773840989293</v>
      </c>
      <c r="DN21" s="536">
        <f t="shared" si="11"/>
        <v>100.17225275477729</v>
      </c>
      <c r="DO21" s="536">
        <f t="shared" si="11"/>
        <v>111.74092925725714</v>
      </c>
      <c r="DP21" s="536">
        <f t="shared" si="11"/>
        <v>111.88014638878357</v>
      </c>
      <c r="DQ21" s="536">
        <f t="shared" si="11"/>
        <v>104.01161122029507</v>
      </c>
      <c r="DR21" s="536">
        <f t="shared" si="11"/>
        <v>100.83932086174427</v>
      </c>
      <c r="DS21" s="536">
        <f t="shared" si="11"/>
        <v>90.862708309875444</v>
      </c>
      <c r="DT21" s="536">
        <f t="shared" si="11"/>
        <v>99.923057558702027</v>
      </c>
      <c r="DU21" s="536">
        <f t="shared" si="11"/>
        <v>108.36246415452365</v>
      </c>
      <c r="DV21" s="536">
        <f t="shared" si="11"/>
        <v>109.78208228781335</v>
      </c>
      <c r="DW21" s="536">
        <f t="shared" si="11"/>
        <v>103.70952336275026</v>
      </c>
      <c r="DX21" s="536">
        <f t="shared" si="11"/>
        <v>94.370565085360099</v>
      </c>
      <c r="DY21" s="536">
        <f t="shared" si="11"/>
        <v>94.18938704297247</v>
      </c>
      <c r="DZ21" s="536">
        <f t="shared" si="11"/>
        <v>95.605097778585659</v>
      </c>
      <c r="EA21" s="536">
        <f t="shared" si="11"/>
        <v>101.65191233794725</v>
      </c>
      <c r="EB21" s="536">
        <f t="shared" ref="EB21:EP21" si="12">EB7*-1</f>
        <v>102.58664147585526</v>
      </c>
      <c r="EC21" s="536">
        <f t="shared" si="12"/>
        <v>98.404404121210547</v>
      </c>
      <c r="ED21" s="536">
        <f t="shared" si="12"/>
        <v>95.569336068894955</v>
      </c>
      <c r="EE21" s="536">
        <f t="shared" si="12"/>
        <v>87.861361941689324</v>
      </c>
      <c r="EF21" s="536">
        <f t="shared" si="12"/>
        <v>97.941775020800605</v>
      </c>
      <c r="EG21" s="536">
        <f t="shared" si="12"/>
        <v>106.27455255397895</v>
      </c>
      <c r="EH21" s="536">
        <f t="shared" si="12"/>
        <v>106.65410094988262</v>
      </c>
      <c r="EI21" s="536">
        <f t="shared" si="12"/>
        <v>100.56831673405676</v>
      </c>
      <c r="EJ21" s="536">
        <f t="shared" si="12"/>
        <v>91.703780521868282</v>
      </c>
      <c r="EK21" s="536">
        <f t="shared" si="12"/>
        <v>92.20541517777967</v>
      </c>
      <c r="EL21" s="536">
        <f t="shared" si="12"/>
        <v>94.256723419671943</v>
      </c>
      <c r="EM21" s="536">
        <f t="shared" si="12"/>
        <v>100.34707205772997</v>
      </c>
      <c r="EN21" s="536">
        <f t="shared" si="12"/>
        <v>99.378377288864726</v>
      </c>
      <c r="EO21" s="536">
        <f t="shared" si="12"/>
        <v>95.901720522375683</v>
      </c>
      <c r="EP21" s="536">
        <f t="shared" si="12"/>
        <v>94.063692294587625</v>
      </c>
    </row>
    <row r="22" spans="2:146">
      <c r="B22" s="534">
        <v>2004</v>
      </c>
      <c r="C22" s="536">
        <f t="shared" si="0"/>
        <v>83.953041137026702</v>
      </c>
      <c r="D22" s="536">
        <f t="shared" ref="D22:BO22" si="13">D8*-1</f>
        <v>94.243889339258246</v>
      </c>
      <c r="E22" s="536">
        <f t="shared" si="13"/>
        <v>103.01989774248204</v>
      </c>
      <c r="F22" s="536">
        <f t="shared" si="13"/>
        <v>104.70843109566528</v>
      </c>
      <c r="G22" s="536">
        <f t="shared" si="13"/>
        <v>98.473946030602491</v>
      </c>
      <c r="H22" s="536">
        <f t="shared" si="13"/>
        <v>88.394283517957334</v>
      </c>
      <c r="I22" s="536">
        <f t="shared" si="13"/>
        <v>88.163219835333948</v>
      </c>
      <c r="J22" s="536">
        <f t="shared" si="13"/>
        <v>90.456003836632107</v>
      </c>
      <c r="K22" s="536">
        <f t="shared" si="13"/>
        <v>97.399131667189167</v>
      </c>
      <c r="L22" s="536">
        <f t="shared" si="13"/>
        <v>97.829423604853901</v>
      </c>
      <c r="M22" s="536">
        <f t="shared" si="13"/>
        <v>92.781765707777083</v>
      </c>
      <c r="N22" s="536">
        <f t="shared" si="13"/>
        <v>89.230284394098035</v>
      </c>
      <c r="O22" s="536">
        <f t="shared" si="13"/>
        <v>82.578749804541658</v>
      </c>
      <c r="P22" s="536">
        <f t="shared" si="13"/>
        <v>92.418145100594884</v>
      </c>
      <c r="Q22" s="536">
        <f t="shared" si="13"/>
        <v>101.03779002141002</v>
      </c>
      <c r="R22" s="536">
        <f t="shared" si="13"/>
        <v>102.41631810145935</v>
      </c>
      <c r="S22" s="536">
        <f t="shared" si="13"/>
        <v>96.299933027086595</v>
      </c>
      <c r="T22" s="536">
        <f t="shared" si="13"/>
        <v>86.323437523802582</v>
      </c>
      <c r="U22" s="536">
        <f t="shared" si="13"/>
        <v>87.122477705110072</v>
      </c>
      <c r="V22" s="536">
        <f t="shared" si="13"/>
        <v>88.746595663868803</v>
      </c>
      <c r="W22" s="536">
        <f t="shared" si="13"/>
        <v>95.201454729974785</v>
      </c>
      <c r="X22" s="536">
        <f t="shared" si="13"/>
        <v>95.388733924872696</v>
      </c>
      <c r="Y22" s="536">
        <f t="shared" si="13"/>
        <v>91.055354786896871</v>
      </c>
      <c r="Z22" s="536">
        <f t="shared" si="13"/>
        <v>88.088517006134623</v>
      </c>
      <c r="AA22" s="536">
        <f t="shared" si="13"/>
        <v>78.222781450091546</v>
      </c>
      <c r="AB22" s="536">
        <f t="shared" si="13"/>
        <v>86.557468011939548</v>
      </c>
      <c r="AC22" s="536">
        <f t="shared" si="13"/>
        <v>96.546444853626497</v>
      </c>
      <c r="AD22" s="536">
        <f t="shared" si="13"/>
        <v>99.693330235825414</v>
      </c>
      <c r="AE22" s="536">
        <f t="shared" si="13"/>
        <v>94.043060623906683</v>
      </c>
      <c r="AF22" s="536">
        <f t="shared" si="13"/>
        <v>84.052528510166454</v>
      </c>
      <c r="AG22" s="536">
        <f t="shared" si="13"/>
        <v>87.496066575454677</v>
      </c>
      <c r="AH22" s="536">
        <f t="shared" si="13"/>
        <v>88.565636823179489</v>
      </c>
      <c r="AI22" s="536">
        <f t="shared" si="13"/>
        <v>94.931420580699836</v>
      </c>
      <c r="AJ22" s="536">
        <f t="shared" si="13"/>
        <v>95.426184042443865</v>
      </c>
      <c r="AK22" s="536">
        <f t="shared" si="13"/>
        <v>91.362620721365204</v>
      </c>
      <c r="AL22" s="536">
        <f t="shared" si="13"/>
        <v>88.257693263072355</v>
      </c>
      <c r="AM22" s="536">
        <f t="shared" si="13"/>
        <v>85.263212812903092</v>
      </c>
      <c r="AN22" s="536">
        <f t="shared" si="13"/>
        <v>93.302929787316756</v>
      </c>
      <c r="AO22" s="536">
        <f t="shared" si="13"/>
        <v>103.94139757356432</v>
      </c>
      <c r="AP22" s="536">
        <f t="shared" si="13"/>
        <v>107.82799741638837</v>
      </c>
      <c r="AQ22" s="536">
        <f t="shared" si="13"/>
        <v>101.13332280159726</v>
      </c>
      <c r="AR22" s="536">
        <f t="shared" si="13"/>
        <v>89.949376822831169</v>
      </c>
      <c r="AS22" s="536">
        <f t="shared" si="13"/>
        <v>89.756438089760536</v>
      </c>
      <c r="AT22" s="536">
        <f t="shared" si="13"/>
        <v>91.252356920976908</v>
      </c>
      <c r="AU22" s="536">
        <f t="shared" si="13"/>
        <v>98.161211383987052</v>
      </c>
      <c r="AV22" s="536">
        <f t="shared" si="13"/>
        <v>99.170717908364054</v>
      </c>
      <c r="AW22" s="536">
        <f t="shared" si="13"/>
        <v>93.881234550834634</v>
      </c>
      <c r="AX22" s="536">
        <f t="shared" si="13"/>
        <v>90.47858939511076</v>
      </c>
      <c r="AY22" s="536">
        <f t="shared" si="13"/>
        <v>91.199834197850137</v>
      </c>
      <c r="AZ22" s="536">
        <f t="shared" si="13"/>
        <v>100.66881710350175</v>
      </c>
      <c r="BA22" s="536">
        <f t="shared" si="13"/>
        <v>113.62836301378846</v>
      </c>
      <c r="BB22" s="536">
        <f t="shared" si="13"/>
        <v>117.70719969676739</v>
      </c>
      <c r="BC22" s="536">
        <f t="shared" si="13"/>
        <v>110.44220970570674</v>
      </c>
      <c r="BD22" s="536">
        <f t="shared" si="13"/>
        <v>96.714553281585012</v>
      </c>
      <c r="BE22" s="536">
        <f t="shared" si="13"/>
        <v>95.598974192114241</v>
      </c>
      <c r="BF22" s="536">
        <f t="shared" si="13"/>
        <v>97.043994208248705</v>
      </c>
      <c r="BG22" s="536">
        <f t="shared" si="13"/>
        <v>108.09798294746656</v>
      </c>
      <c r="BH22" s="536">
        <f t="shared" si="13"/>
        <v>109.71487511300714</v>
      </c>
      <c r="BI22" s="536">
        <f t="shared" si="13"/>
        <v>102.19035277663617</v>
      </c>
      <c r="BJ22" s="536">
        <f t="shared" si="13"/>
        <v>97.849190340137639</v>
      </c>
      <c r="BK22" s="536">
        <f t="shared" si="13"/>
        <v>94.861299955953257</v>
      </c>
      <c r="BL22" s="536">
        <f t="shared" si="13"/>
        <v>104.00960193478831</v>
      </c>
      <c r="BM22" s="536">
        <f t="shared" si="13"/>
        <v>117.48490987193321</v>
      </c>
      <c r="BN22" s="536">
        <f t="shared" si="13"/>
        <v>120.49014106422869</v>
      </c>
      <c r="BO22" s="536">
        <f t="shared" si="13"/>
        <v>113.67016624198838</v>
      </c>
      <c r="BP22" s="536">
        <f t="shared" ref="BP22:EA22" si="14">BP8*-1</f>
        <v>100.38489838617085</v>
      </c>
      <c r="BQ22" s="536">
        <f t="shared" si="14"/>
        <v>96.569921955103567</v>
      </c>
      <c r="BR22" s="536">
        <f t="shared" si="14"/>
        <v>97.463478839022599</v>
      </c>
      <c r="BS22" s="536">
        <f t="shared" si="14"/>
        <v>105.96091855439404</v>
      </c>
      <c r="BT22" s="536">
        <f t="shared" si="14"/>
        <v>108.78803908450615</v>
      </c>
      <c r="BU22" s="536">
        <f t="shared" si="14"/>
        <v>103.64474311821327</v>
      </c>
      <c r="BV22" s="536">
        <f t="shared" si="14"/>
        <v>98.588073864145954</v>
      </c>
      <c r="BW22" s="536">
        <f t="shared" si="14"/>
        <v>97.664055013246568</v>
      </c>
      <c r="BX22" s="536">
        <f t="shared" si="14"/>
        <v>107.00186543627007</v>
      </c>
      <c r="BY22" s="536">
        <f t="shared" si="14"/>
        <v>120.66508304293667</v>
      </c>
      <c r="BZ22" s="536">
        <f t="shared" si="14"/>
        <v>122.98268955090126</v>
      </c>
      <c r="CA22" s="536">
        <f t="shared" si="14"/>
        <v>116.53196757441685</v>
      </c>
      <c r="CB22" s="536">
        <f t="shared" si="14"/>
        <v>102.9836861912712</v>
      </c>
      <c r="CC22" s="536">
        <f t="shared" si="14"/>
        <v>93.72260441127132</v>
      </c>
      <c r="CD22" s="536">
        <f t="shared" si="14"/>
        <v>95.006260865800584</v>
      </c>
      <c r="CE22" s="536">
        <f t="shared" si="14"/>
        <v>104.30624608720944</v>
      </c>
      <c r="CF22" s="536">
        <f t="shared" si="14"/>
        <v>107.41765160346064</v>
      </c>
      <c r="CG22" s="536">
        <f t="shared" si="14"/>
        <v>101.94887631212501</v>
      </c>
      <c r="CH22" s="536">
        <f t="shared" si="14"/>
        <v>96.885119179071481</v>
      </c>
      <c r="CI22" s="536">
        <f t="shared" si="14"/>
        <v>99.447369382527341</v>
      </c>
      <c r="CJ22" s="536">
        <f t="shared" si="14"/>
        <v>108.62679501696969</v>
      </c>
      <c r="CK22" s="536">
        <f t="shared" si="14"/>
        <v>123.33442410038241</v>
      </c>
      <c r="CL22" s="536">
        <f t="shared" si="14"/>
        <v>126.65337081204122</v>
      </c>
      <c r="CM22" s="536">
        <f t="shared" si="14"/>
        <v>119.30568878849948</v>
      </c>
      <c r="CN22" s="536">
        <f t="shared" si="14"/>
        <v>104.9651924035776</v>
      </c>
      <c r="CO22" s="536">
        <f t="shared" si="14"/>
        <v>97.832379026848542</v>
      </c>
      <c r="CP22" s="536">
        <f t="shared" si="14"/>
        <v>99.384916593488768</v>
      </c>
      <c r="CQ22" s="536">
        <f t="shared" si="14"/>
        <v>109.99399731624439</v>
      </c>
      <c r="CR22" s="536">
        <f t="shared" si="14"/>
        <v>113.584068546483</v>
      </c>
      <c r="CS22" s="536">
        <f t="shared" si="14"/>
        <v>107.67782847467524</v>
      </c>
      <c r="CT22" s="536">
        <f t="shared" si="14"/>
        <v>102.06551798884239</v>
      </c>
      <c r="CU22" s="536">
        <f t="shared" si="14"/>
        <v>100.10984215701042</v>
      </c>
      <c r="CV22" s="536">
        <f t="shared" si="14"/>
        <v>109.14612233646463</v>
      </c>
      <c r="CW22" s="536">
        <f t="shared" si="14"/>
        <v>122.39360648984021</v>
      </c>
      <c r="CX22" s="536">
        <f t="shared" si="14"/>
        <v>125.99298294811445</v>
      </c>
      <c r="CY22" s="536">
        <f t="shared" si="14"/>
        <v>118.52526771562754</v>
      </c>
      <c r="CZ22" s="536">
        <f t="shared" si="14"/>
        <v>104.48671579029725</v>
      </c>
      <c r="DA22" s="536">
        <f t="shared" si="14"/>
        <v>104.68949661729739</v>
      </c>
      <c r="DB22" s="536">
        <f t="shared" si="14"/>
        <v>105.4522387998655</v>
      </c>
      <c r="DC22" s="536">
        <f t="shared" si="14"/>
        <v>118.99002321874494</v>
      </c>
      <c r="DD22" s="536">
        <f t="shared" si="14"/>
        <v>121.62312278988969</v>
      </c>
      <c r="DE22" s="536">
        <f t="shared" si="14"/>
        <v>113.25932054034705</v>
      </c>
      <c r="DF22" s="536">
        <f t="shared" si="14"/>
        <v>108.76651245688238</v>
      </c>
      <c r="DG22" s="536">
        <f t="shared" si="14"/>
        <v>93.335741610286235</v>
      </c>
      <c r="DH22" s="536">
        <f t="shared" si="14"/>
        <v>103.26077698706638</v>
      </c>
      <c r="DI22" s="536">
        <f t="shared" si="14"/>
        <v>115.38961463439747</v>
      </c>
      <c r="DJ22" s="536">
        <f t="shared" si="14"/>
        <v>118.98837356653632</v>
      </c>
      <c r="DK22" s="536">
        <f t="shared" si="14"/>
        <v>111.49575519036368</v>
      </c>
      <c r="DL22" s="536">
        <f t="shared" si="14"/>
        <v>98.126141540505202</v>
      </c>
      <c r="DM22" s="536">
        <f t="shared" si="14"/>
        <v>97.44736098452961</v>
      </c>
      <c r="DN22" s="536">
        <f t="shared" si="14"/>
        <v>98.809214633611603</v>
      </c>
      <c r="DO22" s="536">
        <f t="shared" si="14"/>
        <v>109.46825271887306</v>
      </c>
      <c r="DP22" s="536">
        <f t="shared" si="14"/>
        <v>112.18777497974308</v>
      </c>
      <c r="DQ22" s="536">
        <f t="shared" si="14"/>
        <v>104.6731341673261</v>
      </c>
      <c r="DR22" s="536">
        <f t="shared" si="14"/>
        <v>99.751202960743115</v>
      </c>
      <c r="DS22" s="536">
        <f t="shared" si="14"/>
        <v>91.432113215512075</v>
      </c>
      <c r="DT22" s="536">
        <f t="shared" si="14"/>
        <v>100.09430783581499</v>
      </c>
      <c r="DU22" s="536">
        <f t="shared" si="14"/>
        <v>109.26798360793055</v>
      </c>
      <c r="DV22" s="536">
        <f t="shared" si="14"/>
        <v>112.09668113463556</v>
      </c>
      <c r="DW22" s="536">
        <f t="shared" si="14"/>
        <v>106.24196523568463</v>
      </c>
      <c r="DX22" s="536">
        <f t="shared" si="14"/>
        <v>95.703698685247659</v>
      </c>
      <c r="DY22" s="536">
        <f t="shared" si="14"/>
        <v>96.305980879629985</v>
      </c>
      <c r="DZ22" s="536">
        <f t="shared" si="14"/>
        <v>97.722415537176573</v>
      </c>
      <c r="EA22" s="536">
        <f t="shared" si="14"/>
        <v>104.26627058195537</v>
      </c>
      <c r="EB22" s="536">
        <f t="shared" ref="EB22:EP22" si="15">EB8*-1</f>
        <v>106.75746441901158</v>
      </c>
      <c r="EC22" s="536">
        <f t="shared" si="15"/>
        <v>101.96046668303148</v>
      </c>
      <c r="ED22" s="536">
        <f t="shared" si="15"/>
        <v>97.711189425804733</v>
      </c>
      <c r="EE22" s="536">
        <f t="shared" si="15"/>
        <v>88.541618222603006</v>
      </c>
      <c r="EF22" s="536">
        <f t="shared" si="15"/>
        <v>98.380957319978023</v>
      </c>
      <c r="EG22" s="536">
        <f t="shared" si="15"/>
        <v>107.46897606632459</v>
      </c>
      <c r="EH22" s="536">
        <f t="shared" si="15"/>
        <v>109.05020199253882</v>
      </c>
      <c r="EI22" s="536">
        <f t="shared" si="15"/>
        <v>103.14570226891911</v>
      </c>
      <c r="EJ22" s="536">
        <f t="shared" si="15"/>
        <v>93.17646861421737</v>
      </c>
      <c r="EK22" s="536">
        <f t="shared" si="15"/>
        <v>93.61116957174572</v>
      </c>
      <c r="EL22" s="536">
        <f t="shared" si="15"/>
        <v>95.684261394336957</v>
      </c>
      <c r="EM22" s="536">
        <f t="shared" si="15"/>
        <v>102.17594129352966</v>
      </c>
      <c r="EN22" s="536">
        <f t="shared" si="15"/>
        <v>102.76696502441858</v>
      </c>
      <c r="EO22" s="536">
        <f t="shared" si="15"/>
        <v>98.637027325823539</v>
      </c>
      <c r="EP22" s="536">
        <f t="shared" si="15"/>
        <v>95.485809482724804</v>
      </c>
    </row>
    <row r="23" spans="2:146">
      <c r="B23" s="534">
        <v>2005</v>
      </c>
      <c r="C23" s="536">
        <f t="shared" si="0"/>
        <v>83.940611378758362</v>
      </c>
      <c r="D23" s="536">
        <f t="shared" ref="D23:BO23" si="16">D9*-1</f>
        <v>94.218331668976077</v>
      </c>
      <c r="E23" s="536">
        <f t="shared" si="16"/>
        <v>102.99472306675952</v>
      </c>
      <c r="F23" s="536">
        <f t="shared" si="16"/>
        <v>104.683914348816</v>
      </c>
      <c r="G23" s="536">
        <f t="shared" si="16"/>
        <v>98.453686999994432</v>
      </c>
      <c r="H23" s="536">
        <f t="shared" si="16"/>
        <v>88.380394585651956</v>
      </c>
      <c r="I23" s="536">
        <f t="shared" si="16"/>
        <v>88.129716958435637</v>
      </c>
      <c r="J23" s="536">
        <f t="shared" si="16"/>
        <v>90.421173099959759</v>
      </c>
      <c r="K23" s="536">
        <f t="shared" si="16"/>
        <v>97.357072482820186</v>
      </c>
      <c r="L23" s="536">
        <f t="shared" si="16"/>
        <v>97.79455913727277</v>
      </c>
      <c r="M23" s="536">
        <f t="shared" si="16"/>
        <v>92.749473724576063</v>
      </c>
      <c r="N23" s="536">
        <f t="shared" si="16"/>
        <v>89.196563336887493</v>
      </c>
      <c r="O23" s="536">
        <f t="shared" si="16"/>
        <v>82.335987968054184</v>
      </c>
      <c r="P23" s="536">
        <f t="shared" si="16"/>
        <v>91.940322354876713</v>
      </c>
      <c r="Q23" s="536">
        <f t="shared" si="16"/>
        <v>100.56122153553346</v>
      </c>
      <c r="R23" s="536">
        <f t="shared" si="16"/>
        <v>101.94964351091349</v>
      </c>
      <c r="S23" s="536">
        <f t="shared" si="16"/>
        <v>95.920958557726749</v>
      </c>
      <c r="T23" s="536">
        <f t="shared" si="16"/>
        <v>86.053452614622842</v>
      </c>
      <c r="U23" s="536">
        <f t="shared" si="16"/>
        <v>87.506406757564889</v>
      </c>
      <c r="V23" s="536">
        <f t="shared" si="16"/>
        <v>89.135810563899966</v>
      </c>
      <c r="W23" s="536">
        <f t="shared" si="16"/>
        <v>95.675369347104706</v>
      </c>
      <c r="X23" s="536">
        <f t="shared" si="16"/>
        <v>95.781781141957154</v>
      </c>
      <c r="Y23" s="536">
        <f t="shared" si="16"/>
        <v>91.413348552018306</v>
      </c>
      <c r="Z23" s="536">
        <f t="shared" si="16"/>
        <v>88.475126186375846</v>
      </c>
      <c r="AA23" s="536">
        <f t="shared" si="16"/>
        <v>78.243296046511162</v>
      </c>
      <c r="AB23" s="536">
        <f t="shared" si="16"/>
        <v>86.599564294509236</v>
      </c>
      <c r="AC23" s="536">
        <f t="shared" si="16"/>
        <v>96.589140919734518</v>
      </c>
      <c r="AD23" s="536">
        <f t="shared" si="16"/>
        <v>99.735161177198819</v>
      </c>
      <c r="AE23" s="536">
        <f t="shared" si="16"/>
        <v>94.076679266026844</v>
      </c>
      <c r="AF23" s="536">
        <f t="shared" si="16"/>
        <v>84.075670387022157</v>
      </c>
      <c r="AG23" s="536">
        <f t="shared" si="16"/>
        <v>87.575942625797722</v>
      </c>
      <c r="AH23" s="536">
        <f t="shared" si="16"/>
        <v>88.643536316760503</v>
      </c>
      <c r="AI23" s="536">
        <f t="shared" si="16"/>
        <v>95.024735511030372</v>
      </c>
      <c r="AJ23" s="536">
        <f t="shared" si="16"/>
        <v>95.504852241463624</v>
      </c>
      <c r="AK23" s="536">
        <f t="shared" si="16"/>
        <v>91.437026039455603</v>
      </c>
      <c r="AL23" s="536">
        <f t="shared" si="16"/>
        <v>88.337653852241459</v>
      </c>
      <c r="AM23" s="536">
        <f t="shared" si="16"/>
        <v>85.212937075471928</v>
      </c>
      <c r="AN23" s="536">
        <f t="shared" si="16"/>
        <v>93.198130602115839</v>
      </c>
      <c r="AO23" s="536">
        <f t="shared" si="16"/>
        <v>103.82663877965304</v>
      </c>
      <c r="AP23" s="536">
        <f t="shared" si="16"/>
        <v>107.7104016181564</v>
      </c>
      <c r="AQ23" s="536">
        <f t="shared" si="16"/>
        <v>101.04382760010235</v>
      </c>
      <c r="AR23" s="536">
        <f t="shared" si="16"/>
        <v>89.892114579316427</v>
      </c>
      <c r="AS23" s="536">
        <f t="shared" si="16"/>
        <v>88.228835872097108</v>
      </c>
      <c r="AT23" s="536">
        <f t="shared" si="16"/>
        <v>89.74283761785631</v>
      </c>
      <c r="AU23" s="536">
        <f t="shared" si="16"/>
        <v>96.246825977825367</v>
      </c>
      <c r="AV23" s="536">
        <f t="shared" si="16"/>
        <v>97.550712829686915</v>
      </c>
      <c r="AW23" s="536">
        <f t="shared" si="16"/>
        <v>92.548043714581254</v>
      </c>
      <c r="AX23" s="536">
        <f t="shared" si="16"/>
        <v>88.95650453532042</v>
      </c>
      <c r="AY23" s="536">
        <f t="shared" si="16"/>
        <v>90.97537939799652</v>
      </c>
      <c r="AZ23" s="536">
        <f t="shared" si="16"/>
        <v>100.05010035211507</v>
      </c>
      <c r="BA23" s="536">
        <f t="shared" si="16"/>
        <v>112.85793747746112</v>
      </c>
      <c r="BB23" s="536">
        <f t="shared" si="16"/>
        <v>116.9204556673578</v>
      </c>
      <c r="BC23" s="536">
        <f t="shared" si="16"/>
        <v>109.81578465465785</v>
      </c>
      <c r="BD23" s="536">
        <f t="shared" si="16"/>
        <v>96.434951721463435</v>
      </c>
      <c r="BE23" s="536">
        <f t="shared" si="16"/>
        <v>95.648600564414835</v>
      </c>
      <c r="BF23" s="536">
        <f t="shared" si="16"/>
        <v>97.092715215576376</v>
      </c>
      <c r="BG23" s="536">
        <f t="shared" si="16"/>
        <v>108.18188629880223</v>
      </c>
      <c r="BH23" s="536">
        <f t="shared" si="16"/>
        <v>109.7813975843264</v>
      </c>
      <c r="BI23" s="536">
        <f t="shared" si="16"/>
        <v>102.23162926616654</v>
      </c>
      <c r="BJ23" s="536">
        <f t="shared" si="16"/>
        <v>97.898539557139827</v>
      </c>
      <c r="BK23" s="536">
        <f t="shared" si="16"/>
        <v>94.848929940128329</v>
      </c>
      <c r="BL23" s="536">
        <f t="shared" si="16"/>
        <v>103.96805641654115</v>
      </c>
      <c r="BM23" s="536">
        <f t="shared" si="16"/>
        <v>117.43028286709936</v>
      </c>
      <c r="BN23" s="536">
        <f t="shared" si="16"/>
        <v>120.43286807981571</v>
      </c>
      <c r="BO23" s="536">
        <f t="shared" si="16"/>
        <v>113.62368162544108</v>
      </c>
      <c r="BP23" s="536">
        <f t="shared" ref="BP23:EA23" si="17">BP9*-1</f>
        <v>100.36885186711969</v>
      </c>
      <c r="BQ23" s="536">
        <f t="shared" si="17"/>
        <v>96.492226261502935</v>
      </c>
      <c r="BR23" s="536">
        <f t="shared" si="17"/>
        <v>97.390230198027595</v>
      </c>
      <c r="BS23" s="536">
        <f t="shared" si="17"/>
        <v>105.83511282407255</v>
      </c>
      <c r="BT23" s="536">
        <f t="shared" si="17"/>
        <v>108.68528446793802</v>
      </c>
      <c r="BU23" s="536">
        <f t="shared" si="17"/>
        <v>103.58049505459883</v>
      </c>
      <c r="BV23" s="536">
        <f t="shared" si="17"/>
        <v>98.513289860210733</v>
      </c>
      <c r="BW23" s="536">
        <f t="shared" si="17"/>
        <v>97.630424987876239</v>
      </c>
      <c r="BX23" s="536">
        <f t="shared" si="17"/>
        <v>106.89029836401077</v>
      </c>
      <c r="BY23" s="536">
        <f t="shared" si="17"/>
        <v>120.51904847169594</v>
      </c>
      <c r="BZ23" s="536">
        <f t="shared" si="17"/>
        <v>122.8314960769377</v>
      </c>
      <c r="CA23" s="536">
        <f t="shared" si="17"/>
        <v>116.40769095279543</v>
      </c>
      <c r="CB23" s="536">
        <f t="shared" si="17"/>
        <v>102.93946536170894</v>
      </c>
      <c r="CC23" s="536">
        <f t="shared" si="17"/>
        <v>93.530513797411757</v>
      </c>
      <c r="CD23" s="536">
        <f t="shared" si="17"/>
        <v>94.817700392407843</v>
      </c>
      <c r="CE23" s="536">
        <f t="shared" si="17"/>
        <v>103.88201272340194</v>
      </c>
      <c r="CF23" s="536">
        <f t="shared" si="17"/>
        <v>107.09357721947981</v>
      </c>
      <c r="CG23" s="536">
        <f t="shared" si="17"/>
        <v>101.78910756522913</v>
      </c>
      <c r="CH23" s="536">
        <f t="shared" si="17"/>
        <v>96.694094497097112</v>
      </c>
      <c r="CI23" s="536">
        <f t="shared" si="17"/>
        <v>99.404330490685567</v>
      </c>
      <c r="CJ23" s="536">
        <f t="shared" si="17"/>
        <v>108.48092761232799</v>
      </c>
      <c r="CK23" s="536">
        <f t="shared" si="17"/>
        <v>123.14069385640997</v>
      </c>
      <c r="CL23" s="536">
        <f t="shared" si="17"/>
        <v>126.45230284592049</v>
      </c>
      <c r="CM23" s="536">
        <f t="shared" si="17"/>
        <v>119.14305059031999</v>
      </c>
      <c r="CN23" s="536">
        <f t="shared" si="17"/>
        <v>104.90804483342968</v>
      </c>
      <c r="CO23" s="536">
        <f t="shared" si="17"/>
        <v>97.690781180814085</v>
      </c>
      <c r="CP23" s="536">
        <f t="shared" si="17"/>
        <v>99.245916473631596</v>
      </c>
      <c r="CQ23" s="536">
        <f t="shared" si="17"/>
        <v>109.72139738503824</v>
      </c>
      <c r="CR23" s="536">
        <f t="shared" si="17"/>
        <v>113.36412585622742</v>
      </c>
      <c r="CS23" s="536">
        <f t="shared" si="17"/>
        <v>107.56005531244578</v>
      </c>
      <c r="CT23" s="536">
        <f t="shared" si="17"/>
        <v>101.92470311650168</v>
      </c>
      <c r="CU23" s="536">
        <f t="shared" si="17"/>
        <v>100.03435834639592</v>
      </c>
      <c r="CV23" s="536">
        <f t="shared" si="17"/>
        <v>108.91974171530558</v>
      </c>
      <c r="CW23" s="536">
        <f t="shared" si="17"/>
        <v>122.11981336717335</v>
      </c>
      <c r="CX23" s="536">
        <f t="shared" si="17"/>
        <v>125.70931848914208</v>
      </c>
      <c r="CY23" s="536">
        <f t="shared" si="17"/>
        <v>118.2916921457842</v>
      </c>
      <c r="CZ23" s="536">
        <f t="shared" si="17"/>
        <v>104.39027788279394</v>
      </c>
      <c r="DA23" s="536">
        <f t="shared" si="17"/>
        <v>104.36969318281371</v>
      </c>
      <c r="DB23" s="536">
        <f t="shared" si="17"/>
        <v>105.12716898193065</v>
      </c>
      <c r="DC23" s="536">
        <f t="shared" si="17"/>
        <v>118.40243671923521</v>
      </c>
      <c r="DD23" s="536">
        <f t="shared" si="17"/>
        <v>121.16052931878403</v>
      </c>
      <c r="DE23" s="536">
        <f t="shared" si="17"/>
        <v>112.98216330731456</v>
      </c>
      <c r="DF23" s="536">
        <f t="shared" si="17"/>
        <v>108.44697973525248</v>
      </c>
      <c r="DG23" s="536">
        <f t="shared" si="17"/>
        <v>93.251140073491328</v>
      </c>
      <c r="DH23" s="536">
        <f t="shared" si="17"/>
        <v>103.03544628832894</v>
      </c>
      <c r="DI23" s="536">
        <f t="shared" si="17"/>
        <v>115.13605786666325</v>
      </c>
      <c r="DJ23" s="536">
        <f t="shared" si="17"/>
        <v>118.73015676056991</v>
      </c>
      <c r="DK23" s="536">
        <f t="shared" si="17"/>
        <v>111.28914717758336</v>
      </c>
      <c r="DL23" s="536">
        <f t="shared" si="17"/>
        <v>98.022456116557152</v>
      </c>
      <c r="DM23" s="536">
        <f t="shared" si="17"/>
        <v>97.164549739990704</v>
      </c>
      <c r="DN23" s="536">
        <f t="shared" si="17"/>
        <v>98.511195538813112</v>
      </c>
      <c r="DO23" s="536">
        <f t="shared" si="17"/>
        <v>109.00194173515138</v>
      </c>
      <c r="DP23" s="536">
        <f t="shared" si="17"/>
        <v>111.81143359282127</v>
      </c>
      <c r="DQ23" s="536">
        <f t="shared" si="17"/>
        <v>104.41732994150314</v>
      </c>
      <c r="DR23" s="536">
        <f t="shared" si="17"/>
        <v>99.467327176536685</v>
      </c>
      <c r="DS23" s="536">
        <f t="shared" si="17"/>
        <v>91.274093064096419</v>
      </c>
      <c r="DT23" s="536">
        <f t="shared" si="17"/>
        <v>99.78262634000825</v>
      </c>
      <c r="DU23" s="536">
        <f t="shared" si="17"/>
        <v>108.95588528914374</v>
      </c>
      <c r="DV23" s="536">
        <f t="shared" si="17"/>
        <v>111.79386679400882</v>
      </c>
      <c r="DW23" s="536">
        <f t="shared" si="17"/>
        <v>105.99051269823023</v>
      </c>
      <c r="DX23" s="536">
        <f t="shared" si="17"/>
        <v>95.52687732468371</v>
      </c>
      <c r="DY23" s="536">
        <f t="shared" si="17"/>
        <v>95.830686564623505</v>
      </c>
      <c r="DZ23" s="536">
        <f t="shared" si="17"/>
        <v>97.245190600882225</v>
      </c>
      <c r="EA23" s="536">
        <f t="shared" si="17"/>
        <v>103.71215913534377</v>
      </c>
      <c r="EB23" s="536">
        <f t="shared" ref="EB23:EP23" si="18">EB9*-1</f>
        <v>106.28371983267593</v>
      </c>
      <c r="EC23" s="536">
        <f t="shared" si="18"/>
        <v>101.50231393756681</v>
      </c>
      <c r="ED23" s="536">
        <f t="shared" si="18"/>
        <v>97.234524486984398</v>
      </c>
      <c r="EE23" s="536">
        <f t="shared" si="18"/>
        <v>88.466393969541272</v>
      </c>
      <c r="EF23" s="536">
        <f t="shared" si="18"/>
        <v>98.229426278937851</v>
      </c>
      <c r="EG23" s="536">
        <f t="shared" si="18"/>
        <v>107.31925742354723</v>
      </c>
      <c r="EH23" s="536">
        <f t="shared" si="18"/>
        <v>108.90492275243787</v>
      </c>
      <c r="EI23" s="536">
        <f t="shared" si="18"/>
        <v>103.02383025139952</v>
      </c>
      <c r="EJ23" s="536">
        <f t="shared" si="18"/>
        <v>93.092335114476242</v>
      </c>
      <c r="EK23" s="536">
        <f t="shared" si="18"/>
        <v>91.149773598057024</v>
      </c>
      <c r="EL23" s="536">
        <f t="shared" si="18"/>
        <v>93.155683143108263</v>
      </c>
      <c r="EM23" s="536">
        <f t="shared" si="18"/>
        <v>99.168003387154897</v>
      </c>
      <c r="EN23" s="536">
        <f t="shared" si="18"/>
        <v>100.2431184928196</v>
      </c>
      <c r="EO23" s="536">
        <f t="shared" si="18"/>
        <v>96.276440579676418</v>
      </c>
      <c r="EP23" s="536">
        <f t="shared" si="18"/>
        <v>93.02503556098651</v>
      </c>
    </row>
    <row r="24" spans="2:146">
      <c r="B24" s="534">
        <v>2006</v>
      </c>
      <c r="C24" s="536">
        <f t="shared" si="0"/>
        <v>83.877860182244945</v>
      </c>
      <c r="D24" s="536">
        <f t="shared" ref="D24:BO24" si="19">D10*-1</f>
        <v>94.089288237840307</v>
      </c>
      <c r="E24" s="536">
        <f t="shared" si="19"/>
        <v>102.86762143769639</v>
      </c>
      <c r="F24" s="536">
        <f t="shared" si="19"/>
        <v>104.56009779449903</v>
      </c>
      <c r="G24" s="536">
        <f t="shared" si="19"/>
        <v>98.351380100815419</v>
      </c>
      <c r="H24" s="536">
        <f t="shared" si="19"/>
        <v>88.310260532530592</v>
      </c>
      <c r="I24" s="536">
        <f t="shared" si="19"/>
        <v>87.960525664117483</v>
      </c>
      <c r="J24" s="536">
        <f t="shared" si="19"/>
        <v>90.245299495263296</v>
      </c>
      <c r="K24" s="536">
        <f t="shared" si="19"/>
        <v>97.144674801018894</v>
      </c>
      <c r="L24" s="536">
        <f t="shared" si="19"/>
        <v>97.61851132314564</v>
      </c>
      <c r="M24" s="536">
        <f t="shared" si="19"/>
        <v>92.586449691822125</v>
      </c>
      <c r="N24" s="536">
        <f t="shared" si="19"/>
        <v>89.026288816479635</v>
      </c>
      <c r="O24" s="536">
        <f t="shared" si="19"/>
        <v>82.226417674574307</v>
      </c>
      <c r="P24" s="536">
        <f t="shared" si="19"/>
        <v>91.717881347408678</v>
      </c>
      <c r="Q24" s="536">
        <f t="shared" si="19"/>
        <v>100.34022270199708</v>
      </c>
      <c r="R24" s="536">
        <f t="shared" si="19"/>
        <v>101.73357238362105</v>
      </c>
      <c r="S24" s="536">
        <f t="shared" si="19"/>
        <v>95.746754152050698</v>
      </c>
      <c r="T24" s="536">
        <f t="shared" si="19"/>
        <v>85.931057410860689</v>
      </c>
      <c r="U24" s="536">
        <f t="shared" si="19"/>
        <v>87.152319571368679</v>
      </c>
      <c r="V24" s="536">
        <f t="shared" si="19"/>
        <v>88.776771671699194</v>
      </c>
      <c r="W24" s="536">
        <f t="shared" si="19"/>
        <v>95.240465282289563</v>
      </c>
      <c r="X24" s="536">
        <f t="shared" si="19"/>
        <v>95.418190575952039</v>
      </c>
      <c r="Y24" s="536">
        <f t="shared" si="19"/>
        <v>91.081446013529657</v>
      </c>
      <c r="Z24" s="536">
        <f t="shared" si="19"/>
        <v>88.118499326974785</v>
      </c>
      <c r="AA24" s="536">
        <f t="shared" si="19"/>
        <v>78.255558746479053</v>
      </c>
      <c r="AB24" s="536">
        <f t="shared" si="19"/>
        <v>86.624734161767506</v>
      </c>
      <c r="AC24" s="536">
        <f t="shared" si="19"/>
        <v>96.614661924181817</v>
      </c>
      <c r="AD24" s="536">
        <f t="shared" si="19"/>
        <v>99.760177344559679</v>
      </c>
      <c r="AE24" s="536">
        <f t="shared" si="19"/>
        <v>94.09677709459072</v>
      </c>
      <c r="AF24" s="536">
        <f t="shared" si="19"/>
        <v>84.089502173340676</v>
      </c>
      <c r="AG24" s="536">
        <f t="shared" si="19"/>
        <v>87.623688914720134</v>
      </c>
      <c r="AH24" s="536">
        <f t="shared" si="19"/>
        <v>88.690098204353376</v>
      </c>
      <c r="AI24" s="536">
        <f t="shared" si="19"/>
        <v>95.080517329796095</v>
      </c>
      <c r="AJ24" s="536">
        <f t="shared" si="19"/>
        <v>95.551881317165979</v>
      </c>
      <c r="AK24" s="536">
        <f t="shared" si="19"/>
        <v>91.481505950288692</v>
      </c>
      <c r="AL24" s="536">
        <f t="shared" si="19"/>
        <v>88.385449160245741</v>
      </c>
      <c r="AM24" s="536">
        <f t="shared" si="19"/>
        <v>85.144614974169002</v>
      </c>
      <c r="AN24" s="536">
        <f t="shared" si="19"/>
        <v>93.055685458514645</v>
      </c>
      <c r="AO24" s="536">
        <f t="shared" si="19"/>
        <v>103.67067541295371</v>
      </c>
      <c r="AP24" s="536">
        <f t="shared" si="19"/>
        <v>107.5505675763504</v>
      </c>
      <c r="AQ24" s="536">
        <f t="shared" si="19"/>
        <v>100.92218657288203</v>
      </c>
      <c r="AR24" s="536">
        <f t="shared" si="19"/>
        <v>89.814289297768624</v>
      </c>
      <c r="AS24" s="536">
        <f t="shared" si="19"/>
        <v>86.969706971984408</v>
      </c>
      <c r="AT24" s="536">
        <f t="shared" si="19"/>
        <v>88.498613916782034</v>
      </c>
      <c r="AU24" s="536">
        <f t="shared" si="19"/>
        <v>94.668884458561863</v>
      </c>
      <c r="AV24" s="536">
        <f t="shared" si="19"/>
        <v>96.215420171129324</v>
      </c>
      <c r="AW24" s="536">
        <f t="shared" si="19"/>
        <v>91.449154911263506</v>
      </c>
      <c r="AX24" s="536">
        <f t="shared" si="19"/>
        <v>87.701925198746693</v>
      </c>
      <c r="AY24" s="536">
        <f t="shared" si="19"/>
        <v>90.792003208627264</v>
      </c>
      <c r="AZ24" s="536">
        <f t="shared" si="19"/>
        <v>99.544620149203539</v>
      </c>
      <c r="BA24" s="536">
        <f t="shared" si="19"/>
        <v>112.22851683353394</v>
      </c>
      <c r="BB24" s="536">
        <f t="shared" si="19"/>
        <v>116.2777039040443</v>
      </c>
      <c r="BC24" s="536">
        <f t="shared" si="19"/>
        <v>109.30400855644429</v>
      </c>
      <c r="BD24" s="536">
        <f t="shared" si="19"/>
        <v>96.206520905585023</v>
      </c>
      <c r="BE24" s="536">
        <f t="shared" si="19"/>
        <v>95.79914981139467</v>
      </c>
      <c r="BF24" s="536">
        <f t="shared" si="19"/>
        <v>97.240494507269617</v>
      </c>
      <c r="BG24" s="536">
        <f t="shared" si="19"/>
        <v>108.43642490090517</v>
      </c>
      <c r="BH24" s="536">
        <f t="shared" si="19"/>
        <v>109.98320292010919</v>
      </c>
      <c r="BI24" s="536">
        <f t="shared" si="19"/>
        <v>102.35684994505527</v>
      </c>
      <c r="BJ24" s="536">
        <f t="shared" si="19"/>
        <v>98.048258355794701</v>
      </c>
      <c r="BK24" s="536">
        <f t="shared" si="19"/>
        <v>94.825946141850608</v>
      </c>
      <c r="BL24" s="536">
        <f t="shared" si="19"/>
        <v>103.89083990743592</v>
      </c>
      <c r="BM24" s="536">
        <f t="shared" si="19"/>
        <v>117.3287538338686</v>
      </c>
      <c r="BN24" s="536">
        <f t="shared" si="19"/>
        <v>120.32642592373416</v>
      </c>
      <c r="BO24" s="536">
        <f t="shared" si="19"/>
        <v>113.53729146554014</v>
      </c>
      <c r="BP24" s="536">
        <f t="shared" ref="BP24:EA24" si="20">BP10*-1</f>
        <v>100.33903672425939</v>
      </c>
      <c r="BQ24" s="536">
        <f t="shared" si="20"/>
        <v>96.347818563118636</v>
      </c>
      <c r="BR24" s="536">
        <f t="shared" si="20"/>
        <v>97.254094357788532</v>
      </c>
      <c r="BS24" s="536">
        <f t="shared" si="20"/>
        <v>105.60129278621964</v>
      </c>
      <c r="BT24" s="536">
        <f t="shared" si="20"/>
        <v>108.49430592031815</v>
      </c>
      <c r="BU24" s="536">
        <f t="shared" si="20"/>
        <v>103.46108710247348</v>
      </c>
      <c r="BV24" s="536">
        <f t="shared" si="20"/>
        <v>98.374294334891104</v>
      </c>
      <c r="BW24" s="536">
        <f t="shared" si="20"/>
        <v>97.59350457516652</v>
      </c>
      <c r="BX24" s="536">
        <f t="shared" si="20"/>
        <v>106.76777493901902</v>
      </c>
      <c r="BY24" s="536">
        <f t="shared" si="20"/>
        <v>120.3586723731311</v>
      </c>
      <c r="BZ24" s="536">
        <f t="shared" si="20"/>
        <v>122.66546902324043</v>
      </c>
      <c r="CA24" s="536">
        <f t="shared" si="20"/>
        <v>116.27121687993522</v>
      </c>
      <c r="CB24" s="536">
        <f t="shared" si="20"/>
        <v>102.89090932907214</v>
      </c>
      <c r="CC24" s="536">
        <f t="shared" si="20"/>
        <v>93.399746500090188</v>
      </c>
      <c r="CD24" s="536">
        <f t="shared" si="20"/>
        <v>94.689340136243118</v>
      </c>
      <c r="CE24" s="536">
        <f t="shared" si="20"/>
        <v>103.59320684899383</v>
      </c>
      <c r="CF24" s="536">
        <f t="shared" si="20"/>
        <v>106.87296794267749</v>
      </c>
      <c r="CG24" s="536">
        <f t="shared" si="20"/>
        <v>101.68035076770825</v>
      </c>
      <c r="CH24" s="536">
        <f t="shared" si="20"/>
        <v>96.564054382193802</v>
      </c>
      <c r="CI24" s="536">
        <f t="shared" si="20"/>
        <v>99.3705045151371</v>
      </c>
      <c r="CJ24" s="536">
        <f t="shared" si="20"/>
        <v>108.36629897920977</v>
      </c>
      <c r="CK24" s="536">
        <f t="shared" si="20"/>
        <v>122.98845195185979</v>
      </c>
      <c r="CL24" s="536">
        <f t="shared" si="20"/>
        <v>126.2942958844458</v>
      </c>
      <c r="CM24" s="536">
        <f t="shared" si="20"/>
        <v>119.01523598102396</v>
      </c>
      <c r="CN24" s="536">
        <f t="shared" si="20"/>
        <v>104.86314216627652</v>
      </c>
      <c r="CO24" s="536">
        <f t="shared" si="20"/>
        <v>97.485024880444612</v>
      </c>
      <c r="CP24" s="536">
        <f t="shared" si="20"/>
        <v>99.043938729388302</v>
      </c>
      <c r="CQ24" s="536">
        <f t="shared" si="20"/>
        <v>109.32527291128264</v>
      </c>
      <c r="CR24" s="536">
        <f t="shared" si="20"/>
        <v>113.04452810313073</v>
      </c>
      <c r="CS24" s="536">
        <f t="shared" si="20"/>
        <v>107.38892048785854</v>
      </c>
      <c r="CT24" s="536">
        <f t="shared" si="20"/>
        <v>101.72009016106321</v>
      </c>
      <c r="CU24" s="536">
        <f t="shared" si="20"/>
        <v>100.01368667435153</v>
      </c>
      <c r="CV24" s="536">
        <f t="shared" si="20"/>
        <v>108.8577469521374</v>
      </c>
      <c r="CW24" s="536">
        <f t="shared" si="20"/>
        <v>122.04483826768845</v>
      </c>
      <c r="CX24" s="536">
        <f t="shared" si="20"/>
        <v>125.63164109935661</v>
      </c>
      <c r="CY24" s="536">
        <f t="shared" si="20"/>
        <v>118.2277392979601</v>
      </c>
      <c r="CZ24" s="536">
        <f t="shared" si="20"/>
        <v>104.36386084315463</v>
      </c>
      <c r="DA24" s="536">
        <f t="shared" si="20"/>
        <v>103.42017143100307</v>
      </c>
      <c r="DB24" s="536">
        <f t="shared" si="20"/>
        <v>104.16201865973299</v>
      </c>
      <c r="DC24" s="536">
        <f t="shared" si="20"/>
        <v>116.65787407681461</v>
      </c>
      <c r="DD24" s="536">
        <f t="shared" si="20"/>
        <v>119.78705265099711</v>
      </c>
      <c r="DE24" s="536">
        <f t="shared" si="20"/>
        <v>112.15927734374741</v>
      </c>
      <c r="DF24" s="536">
        <f t="shared" si="20"/>
        <v>107.49828220103964</v>
      </c>
      <c r="DG24" s="536">
        <f t="shared" si="20"/>
        <v>93.133903450402698</v>
      </c>
      <c r="DH24" s="536">
        <f t="shared" si="20"/>
        <v>102.72320106144585</v>
      </c>
      <c r="DI24" s="536">
        <f t="shared" si="20"/>
        <v>114.78469553814659</v>
      </c>
      <c r="DJ24" s="536">
        <f t="shared" si="20"/>
        <v>118.37233558050985</v>
      </c>
      <c r="DK24" s="536">
        <f t="shared" si="20"/>
        <v>111.00285135780298</v>
      </c>
      <c r="DL24" s="536">
        <f t="shared" si="20"/>
        <v>97.878781782932975</v>
      </c>
      <c r="DM24" s="536">
        <f t="shared" si="20"/>
        <v>97.712631913087222</v>
      </c>
      <c r="DN24" s="536">
        <f t="shared" si="20"/>
        <v>99.088741157398118</v>
      </c>
      <c r="DO24" s="536">
        <f t="shared" si="20"/>
        <v>109.90562921889652</v>
      </c>
      <c r="DP24" s="536">
        <f t="shared" si="20"/>
        <v>112.54076564191497</v>
      </c>
      <c r="DQ24" s="536">
        <f t="shared" si="20"/>
        <v>104.91307877979831</v>
      </c>
      <c r="DR24" s="536">
        <f t="shared" si="20"/>
        <v>100.01747250072549</v>
      </c>
      <c r="DS24" s="536">
        <f t="shared" si="20"/>
        <v>91.138016973576981</v>
      </c>
      <c r="DT24" s="536">
        <f t="shared" si="20"/>
        <v>99.514232901244995</v>
      </c>
      <c r="DU24" s="536">
        <f t="shared" si="20"/>
        <v>108.68714505598207</v>
      </c>
      <c r="DV24" s="536">
        <f t="shared" si="20"/>
        <v>111.53309842589927</v>
      </c>
      <c r="DW24" s="536">
        <f t="shared" si="20"/>
        <v>105.77396876346387</v>
      </c>
      <c r="DX24" s="536">
        <f t="shared" si="20"/>
        <v>95.374609454553251</v>
      </c>
      <c r="DY24" s="536">
        <f t="shared" si="20"/>
        <v>95.421405695866156</v>
      </c>
      <c r="DZ24" s="536">
        <f t="shared" si="20"/>
        <v>96.834243543662453</v>
      </c>
      <c r="EA24" s="536">
        <f t="shared" si="20"/>
        <v>103.23500502654473</v>
      </c>
      <c r="EB24" s="536">
        <f t="shared" ref="EB24:EP24" si="21">EB10*-1</f>
        <v>105.8757770290695</v>
      </c>
      <c r="EC24" s="536">
        <f t="shared" si="21"/>
        <v>101.10780080654163</v>
      </c>
      <c r="ED24" s="536">
        <f t="shared" si="21"/>
        <v>96.824058889520728</v>
      </c>
      <c r="EE24" s="536">
        <f t="shared" si="21"/>
        <v>84.356956435997489</v>
      </c>
      <c r="EF24" s="536">
        <f t="shared" si="21"/>
        <v>92.519532151678703</v>
      </c>
      <c r="EG24" s="536">
        <f t="shared" si="21"/>
        <v>97.54762390236472</v>
      </c>
      <c r="EH24" s="536">
        <f t="shared" si="21"/>
        <v>98.508155282080082</v>
      </c>
      <c r="EI24" s="536">
        <f t="shared" si="21"/>
        <v>94.776631725139879</v>
      </c>
      <c r="EJ24" s="536">
        <f t="shared" si="21"/>
        <v>87.793884190949925</v>
      </c>
      <c r="EK24" s="536">
        <f t="shared" si="21"/>
        <v>86.19353173863945</v>
      </c>
      <c r="EL24" s="536">
        <f t="shared" si="21"/>
        <v>88.139358062804192</v>
      </c>
      <c r="EM24" s="536">
        <f t="shared" si="21"/>
        <v>93.475666884604749</v>
      </c>
      <c r="EN24" s="536">
        <f t="shared" si="21"/>
        <v>94.462721764887959</v>
      </c>
      <c r="EO24" s="536">
        <f t="shared" si="21"/>
        <v>91.042715423613359</v>
      </c>
      <c r="EP24" s="536">
        <f t="shared" si="21"/>
        <v>87.964022025568696</v>
      </c>
    </row>
    <row r="25" spans="2:146">
      <c r="B25" s="534">
        <v>2007</v>
      </c>
      <c r="C25" s="536">
        <f t="shared" si="0"/>
        <v>79.630718526475107</v>
      </c>
      <c r="D25" s="536">
        <f t="shared" ref="D25:BO25" si="22">D11*-1</f>
        <v>88.128804560777709</v>
      </c>
      <c r="E25" s="536">
        <f t="shared" si="22"/>
        <v>92.984190239023405</v>
      </c>
      <c r="F25" s="536">
        <f t="shared" si="22"/>
        <v>94.030263691170177</v>
      </c>
      <c r="G25" s="536">
        <f t="shared" si="22"/>
        <v>89.952865630833145</v>
      </c>
      <c r="H25" s="536">
        <f t="shared" si="22"/>
        <v>83.025987762975149</v>
      </c>
      <c r="I25" s="536">
        <f t="shared" si="22"/>
        <v>84.818775977632797</v>
      </c>
      <c r="J25" s="536">
        <f t="shared" si="22"/>
        <v>87.121664887232157</v>
      </c>
      <c r="K25" s="536">
        <f t="shared" si="22"/>
        <v>93.603791558187538</v>
      </c>
      <c r="L25" s="536">
        <f t="shared" si="22"/>
        <v>93.567371980109613</v>
      </c>
      <c r="M25" s="536">
        <f t="shared" si="22"/>
        <v>88.976807065206941</v>
      </c>
      <c r="N25" s="536">
        <f t="shared" si="22"/>
        <v>85.752240680235587</v>
      </c>
      <c r="O25" s="536">
        <f t="shared" si="22"/>
        <v>78.129871678504401</v>
      </c>
      <c r="P25" s="536">
        <f t="shared" si="22"/>
        <v>85.91661972931945</v>
      </c>
      <c r="Q25" s="536">
        <f t="shared" si="22"/>
        <v>90.481461235355397</v>
      </c>
      <c r="R25" s="536">
        <f t="shared" si="22"/>
        <v>91.241387508838187</v>
      </c>
      <c r="S25" s="536">
        <f t="shared" si="22"/>
        <v>87.369565391220476</v>
      </c>
      <c r="T25" s="536">
        <f t="shared" si="22"/>
        <v>80.722144924576327</v>
      </c>
      <c r="U25" s="536">
        <f t="shared" si="22"/>
        <v>82.787846913019266</v>
      </c>
      <c r="V25" s="536">
        <f t="shared" si="22"/>
        <v>84.374162192261451</v>
      </c>
      <c r="W25" s="536">
        <f t="shared" si="22"/>
        <v>90.187461091133045</v>
      </c>
      <c r="X25" s="536">
        <f t="shared" si="22"/>
        <v>90.136414008678855</v>
      </c>
      <c r="Y25" s="536">
        <f t="shared" si="22"/>
        <v>86.344649090018905</v>
      </c>
      <c r="Z25" s="536">
        <f t="shared" si="22"/>
        <v>83.628441876583096</v>
      </c>
      <c r="AA25" s="536">
        <f t="shared" si="22"/>
        <v>74.334874582424945</v>
      </c>
      <c r="AB25" s="536">
        <f t="shared" si="22"/>
        <v>81.082758600030175</v>
      </c>
      <c r="AC25" s="536">
        <f t="shared" si="22"/>
        <v>86.763929773910363</v>
      </c>
      <c r="AD25" s="536">
        <f t="shared" si="22"/>
        <v>89.225257552698395</v>
      </c>
      <c r="AE25" s="536">
        <f t="shared" si="22"/>
        <v>85.679218764769416</v>
      </c>
      <c r="AF25" s="536">
        <f t="shared" si="22"/>
        <v>79.006107644319741</v>
      </c>
      <c r="AG25" s="536">
        <f t="shared" si="22"/>
        <v>82.294899376700116</v>
      </c>
      <c r="AH25" s="536">
        <f t="shared" si="22"/>
        <v>83.31102382304114</v>
      </c>
      <c r="AI25" s="536">
        <f t="shared" si="22"/>
        <v>88.8651452471846</v>
      </c>
      <c r="AJ25" s="536">
        <f t="shared" si="22"/>
        <v>89.231966473800085</v>
      </c>
      <c r="AK25" s="536">
        <f t="shared" si="22"/>
        <v>85.867080574878415</v>
      </c>
      <c r="AL25" s="536">
        <f t="shared" si="22"/>
        <v>82.910297862288203</v>
      </c>
      <c r="AM25" s="536">
        <f t="shared" si="22"/>
        <v>81.149144308994309</v>
      </c>
      <c r="AN25" s="536">
        <f t="shared" si="22"/>
        <v>87.404275973043895</v>
      </c>
      <c r="AO25" s="536">
        <f t="shared" si="22"/>
        <v>93.678707315969064</v>
      </c>
      <c r="AP25" s="536">
        <f t="shared" si="22"/>
        <v>96.680216463520821</v>
      </c>
      <c r="AQ25" s="536">
        <f t="shared" si="22"/>
        <v>92.309065170657675</v>
      </c>
      <c r="AR25" s="536">
        <f t="shared" si="22"/>
        <v>84.663445842535666</v>
      </c>
      <c r="AS25" s="536">
        <f t="shared" si="22"/>
        <v>83.82345067435287</v>
      </c>
      <c r="AT25" s="536">
        <f t="shared" si="22"/>
        <v>85.186829526263196</v>
      </c>
      <c r="AU25" s="536">
        <f t="shared" si="22"/>
        <v>91.054190867940747</v>
      </c>
      <c r="AV25" s="536">
        <f t="shared" si="22"/>
        <v>92.20202892918563</v>
      </c>
      <c r="AW25" s="536">
        <f t="shared" si="22"/>
        <v>87.789640448290143</v>
      </c>
      <c r="AX25" s="536">
        <f t="shared" si="22"/>
        <v>84.344562173073825</v>
      </c>
      <c r="AY25" s="536">
        <f t="shared" si="22"/>
        <v>86.72649412613228</v>
      </c>
      <c r="AZ25" s="536">
        <f t="shared" si="22"/>
        <v>93.517277313713635</v>
      </c>
      <c r="BA25" s="536">
        <f t="shared" si="22"/>
        <v>101.47391768712731</v>
      </c>
      <c r="BB25" s="536">
        <f t="shared" si="22"/>
        <v>104.6961627872596</v>
      </c>
      <c r="BC25" s="536">
        <f t="shared" si="22"/>
        <v>100.22848205648394</v>
      </c>
      <c r="BD25" s="536">
        <f t="shared" si="22"/>
        <v>90.938815105038771</v>
      </c>
      <c r="BE25" s="536">
        <f t="shared" si="22"/>
        <v>91.367627931393457</v>
      </c>
      <c r="BF25" s="536">
        <f t="shared" si="22"/>
        <v>92.826712554698474</v>
      </c>
      <c r="BG25" s="536">
        <f t="shared" si="22"/>
        <v>102.85953981465867</v>
      </c>
      <c r="BH25" s="536">
        <f t="shared" si="22"/>
        <v>103.97040526113292</v>
      </c>
      <c r="BI25" s="536">
        <f t="shared" si="22"/>
        <v>97.590886236097688</v>
      </c>
      <c r="BJ25" s="536">
        <f t="shared" si="22"/>
        <v>93.473427489486184</v>
      </c>
      <c r="BK25" s="536">
        <f t="shared" si="22"/>
        <v>90.730088603195895</v>
      </c>
      <c r="BL25" s="536">
        <f t="shared" si="22"/>
        <v>97.372964913620493</v>
      </c>
      <c r="BM25" s="536">
        <f t="shared" si="22"/>
        <v>105.53484358481157</v>
      </c>
      <c r="BN25" s="536">
        <f t="shared" si="22"/>
        <v>107.84693133261744</v>
      </c>
      <c r="BO25" s="536">
        <f t="shared" si="22"/>
        <v>103.7560406591673</v>
      </c>
      <c r="BP25" s="536">
        <f t="shared" ref="BP25:EA25" si="23">BP11*-1</f>
        <v>94.909402233320236</v>
      </c>
      <c r="BQ25" s="536">
        <f t="shared" si="23"/>
        <v>92.047602594188547</v>
      </c>
      <c r="BR25" s="536">
        <f t="shared" si="23"/>
        <v>93.00775147727893</v>
      </c>
      <c r="BS25" s="536">
        <f t="shared" si="23"/>
        <v>100.15993406282236</v>
      </c>
      <c r="BT25" s="536">
        <f t="shared" si="23"/>
        <v>102.51999222309126</v>
      </c>
      <c r="BU25" s="536">
        <f t="shared" si="23"/>
        <v>98.5730873973949</v>
      </c>
      <c r="BV25" s="536">
        <f t="shared" si="23"/>
        <v>93.861104795928298</v>
      </c>
      <c r="BW25" s="536">
        <f t="shared" si="23"/>
        <v>93.195876199159315</v>
      </c>
      <c r="BX25" s="536">
        <f t="shared" si="23"/>
        <v>99.496190964835435</v>
      </c>
      <c r="BY25" s="536">
        <f t="shared" si="23"/>
        <v>107.85628409355022</v>
      </c>
      <c r="BZ25" s="536">
        <f t="shared" si="23"/>
        <v>109.64282999178189</v>
      </c>
      <c r="CA25" s="536">
        <f t="shared" si="23"/>
        <v>106.12497560812244</v>
      </c>
      <c r="CB25" s="536">
        <f t="shared" si="23"/>
        <v>97.224919129293681</v>
      </c>
      <c r="CC25" s="536">
        <f t="shared" si="23"/>
        <v>89.093291141933676</v>
      </c>
      <c r="CD25" s="536">
        <f t="shared" si="23"/>
        <v>90.416081330770638</v>
      </c>
      <c r="CE25" s="536">
        <f t="shared" si="23"/>
        <v>97.965528883078136</v>
      </c>
      <c r="CF25" s="536">
        <f t="shared" si="23"/>
        <v>100.74210420338945</v>
      </c>
      <c r="CG25" s="536">
        <f t="shared" si="23"/>
        <v>96.913378590903704</v>
      </c>
      <c r="CH25" s="536">
        <f t="shared" si="23"/>
        <v>92.103038912928199</v>
      </c>
      <c r="CI25" s="536">
        <f t="shared" si="23"/>
        <v>94.99445701883792</v>
      </c>
      <c r="CJ25" s="536">
        <f t="shared" si="23"/>
        <v>101.09309666667565</v>
      </c>
      <c r="CK25" s="536">
        <f t="shared" si="23"/>
        <v>110.14256305806434</v>
      </c>
      <c r="CL25" s="536">
        <f t="shared" si="23"/>
        <v>112.91275320239833</v>
      </c>
      <c r="CM25" s="536">
        <f t="shared" si="23"/>
        <v>108.62399733463103</v>
      </c>
      <c r="CN25" s="536">
        <f t="shared" si="23"/>
        <v>99.178365610544006</v>
      </c>
      <c r="CO25" s="536">
        <f t="shared" si="23"/>
        <v>93.043524071039243</v>
      </c>
      <c r="CP25" s="536">
        <f t="shared" si="23"/>
        <v>94.606627583771399</v>
      </c>
      <c r="CQ25" s="536">
        <f t="shared" si="23"/>
        <v>103.56187458150256</v>
      </c>
      <c r="CR25" s="536">
        <f t="shared" si="23"/>
        <v>106.83536760622869</v>
      </c>
      <c r="CS25" s="536">
        <f t="shared" si="23"/>
        <v>102.46869212052928</v>
      </c>
      <c r="CT25" s="536">
        <f t="shared" si="23"/>
        <v>97.047158691385391</v>
      </c>
      <c r="CU25" s="536">
        <f t="shared" si="23"/>
        <v>95.746951671499673</v>
      </c>
      <c r="CV25" s="536">
        <f t="shared" si="23"/>
        <v>102.26640855681623</v>
      </c>
      <c r="CW25" s="536">
        <f t="shared" si="23"/>
        <v>110.39951826148317</v>
      </c>
      <c r="CX25" s="536">
        <f t="shared" si="23"/>
        <v>113.30700876886439</v>
      </c>
      <c r="CY25" s="536">
        <f t="shared" si="23"/>
        <v>108.59877631693023</v>
      </c>
      <c r="CZ25" s="536">
        <f t="shared" si="23"/>
        <v>98.77878961793084</v>
      </c>
      <c r="DA25" s="536">
        <f t="shared" si="23"/>
        <v>98.448148153430566</v>
      </c>
      <c r="DB25" s="536">
        <f t="shared" si="23"/>
        <v>99.21904284344329</v>
      </c>
      <c r="DC25" s="536">
        <f t="shared" si="23"/>
        <v>110.26202744759105</v>
      </c>
      <c r="DD25" s="536">
        <f t="shared" si="23"/>
        <v>113.14576306816451</v>
      </c>
      <c r="DE25" s="536">
        <f t="shared" si="23"/>
        <v>106.78488799615741</v>
      </c>
      <c r="DF25" s="536">
        <f t="shared" si="23"/>
        <v>102.32194280512796</v>
      </c>
      <c r="DG25" s="536">
        <f t="shared" si="23"/>
        <v>89.007396131640263</v>
      </c>
      <c r="DH25" s="536">
        <f t="shared" si="23"/>
        <v>96.85638189837384</v>
      </c>
      <c r="DI25" s="536">
        <f t="shared" si="23"/>
        <v>104.252832460709</v>
      </c>
      <c r="DJ25" s="536">
        <f t="shared" si="23"/>
        <v>107.03458014455964</v>
      </c>
      <c r="DK25" s="536">
        <f t="shared" si="23"/>
        <v>102.05731580918773</v>
      </c>
      <c r="DL25" s="536">
        <f t="shared" si="23"/>
        <v>92.48624503572178</v>
      </c>
      <c r="DM25" s="536">
        <f t="shared" si="23"/>
        <v>94.532258589832651</v>
      </c>
      <c r="DN25" s="536">
        <f t="shared" si="23"/>
        <v>95.966412051194283</v>
      </c>
      <c r="DO25" s="536">
        <f t="shared" si="23"/>
        <v>106.65190568425794</v>
      </c>
      <c r="DP25" s="536">
        <f t="shared" si="23"/>
        <v>108.57698321701147</v>
      </c>
      <c r="DQ25" s="536">
        <f t="shared" si="23"/>
        <v>101.19369781421447</v>
      </c>
      <c r="DR25" s="536">
        <f t="shared" si="23"/>
        <v>96.661468649076383</v>
      </c>
      <c r="DS25" s="536">
        <f t="shared" si="23"/>
        <v>87.051958618559482</v>
      </c>
      <c r="DT25" s="536">
        <f t="shared" si="23"/>
        <v>93.863796953093669</v>
      </c>
      <c r="DU25" s="536">
        <f t="shared" si="23"/>
        <v>98.993464632819169</v>
      </c>
      <c r="DV25" s="536">
        <f t="shared" si="23"/>
        <v>101.1850548155423</v>
      </c>
      <c r="DW25" s="536">
        <f t="shared" si="23"/>
        <v>97.552656354950642</v>
      </c>
      <c r="DX25" s="536">
        <f t="shared" si="23"/>
        <v>90.142476639073337</v>
      </c>
      <c r="DY25" s="536">
        <f t="shared" si="23"/>
        <v>91.177384552250885</v>
      </c>
      <c r="DZ25" s="536">
        <f t="shared" si="23"/>
        <v>92.591695650233703</v>
      </c>
      <c r="EA25" s="536">
        <f t="shared" si="23"/>
        <v>98.428775239336417</v>
      </c>
      <c r="EB25" s="536">
        <f t="shared" ref="EB25:EP25" si="24">EB11*-1</f>
        <v>100.79521859234953</v>
      </c>
      <c r="EC25" s="536">
        <f t="shared" si="24"/>
        <v>96.544470992168158</v>
      </c>
      <c r="ED25" s="536">
        <f t="shared" si="24"/>
        <v>92.463643842983416</v>
      </c>
      <c r="EE25" s="536">
        <f t="shared" si="24"/>
        <v>84.242966818281744</v>
      </c>
      <c r="EF25" s="536">
        <f t="shared" si="24"/>
        <v>92.289931101598853</v>
      </c>
      <c r="EG25" s="536">
        <f t="shared" si="24"/>
        <v>97.320762073088645</v>
      </c>
      <c r="EH25" s="536">
        <f t="shared" si="24"/>
        <v>98.288028850532896</v>
      </c>
      <c r="EI25" s="536">
        <f t="shared" si="24"/>
        <v>94.591964513566737</v>
      </c>
      <c r="EJ25" s="536">
        <f t="shared" si="24"/>
        <v>87.666397773335319</v>
      </c>
      <c r="EK25" s="536">
        <f t="shared" si="24"/>
        <v>85.927912870768424</v>
      </c>
      <c r="EL25" s="536">
        <f t="shared" si="24"/>
        <v>87.866493133972568</v>
      </c>
      <c r="EM25" s="536">
        <f t="shared" si="24"/>
        <v>93.151067788663795</v>
      </c>
      <c r="EN25" s="536">
        <f t="shared" si="24"/>
        <v>94.19036622958869</v>
      </c>
      <c r="EO25" s="536">
        <f t="shared" si="24"/>
        <v>90.787976038831431</v>
      </c>
      <c r="EP25" s="536">
        <f t="shared" si="24"/>
        <v>87.698471234930025</v>
      </c>
    </row>
    <row r="26" spans="2:146">
      <c r="B26" s="534">
        <v>2008</v>
      </c>
      <c r="C26" s="536">
        <f t="shared" si="0"/>
        <v>79.9995894135605</v>
      </c>
      <c r="D26" s="536">
        <f t="shared" ref="D26:BO26" si="25">D12*-1</f>
        <v>88.489534683437242</v>
      </c>
      <c r="E26" s="536">
        <f t="shared" si="25"/>
        <v>94.012185783917886</v>
      </c>
      <c r="F26" s="536">
        <f t="shared" si="25"/>
        <v>95.165550839959863</v>
      </c>
      <c r="G26" s="536">
        <f t="shared" si="25"/>
        <v>91.104354292238753</v>
      </c>
      <c r="H26" s="536">
        <f t="shared" si="25"/>
        <v>83.466805671691233</v>
      </c>
      <c r="I26" s="536">
        <f t="shared" si="25"/>
        <v>85.126144191965537</v>
      </c>
      <c r="J26" s="536">
        <f t="shared" si="25"/>
        <v>87.442520640953262</v>
      </c>
      <c r="K26" s="536">
        <f t="shared" si="25"/>
        <v>94.402256351281977</v>
      </c>
      <c r="L26" s="536">
        <f t="shared" si="25"/>
        <v>94.664310259443482</v>
      </c>
      <c r="M26" s="536">
        <f t="shared" si="25"/>
        <v>89.499456267655944</v>
      </c>
      <c r="N26" s="536">
        <f t="shared" si="25"/>
        <v>86.063916555513913</v>
      </c>
      <c r="O26" s="536">
        <f t="shared" si="25"/>
        <v>78.713779416709457</v>
      </c>
      <c r="P26" s="536">
        <f t="shared" si="25"/>
        <v>86.678131468697387</v>
      </c>
      <c r="Q26" s="536">
        <f t="shared" si="25"/>
        <v>91.9528913005948</v>
      </c>
      <c r="R26" s="536">
        <f t="shared" si="25"/>
        <v>92.850940429354182</v>
      </c>
      <c r="S26" s="536">
        <f t="shared" si="25"/>
        <v>88.910069098812002</v>
      </c>
      <c r="T26" s="536">
        <f t="shared" si="25"/>
        <v>81.405379462780587</v>
      </c>
      <c r="U26" s="536">
        <f t="shared" si="25"/>
        <v>84.197897246371397</v>
      </c>
      <c r="V26" s="536">
        <f t="shared" si="25"/>
        <v>85.782987399519968</v>
      </c>
      <c r="W26" s="536">
        <f t="shared" si="25"/>
        <v>92.337550074760188</v>
      </c>
      <c r="X26" s="536">
        <f t="shared" si="25"/>
        <v>92.431045386050641</v>
      </c>
      <c r="Y26" s="536">
        <f t="shared" si="25"/>
        <v>87.915366071637663</v>
      </c>
      <c r="Z26" s="536">
        <f t="shared" si="25"/>
        <v>85.028526729838191</v>
      </c>
      <c r="AA26" s="536">
        <f t="shared" si="25"/>
        <v>74.834848492626364</v>
      </c>
      <c r="AB26" s="536">
        <f t="shared" si="25"/>
        <v>81.68912465136259</v>
      </c>
      <c r="AC26" s="536">
        <f t="shared" si="25"/>
        <v>88.080113600325944</v>
      </c>
      <c r="AD26" s="536">
        <f t="shared" si="25"/>
        <v>90.728500749787102</v>
      </c>
      <c r="AE26" s="536">
        <f t="shared" si="25"/>
        <v>87.102433562936653</v>
      </c>
      <c r="AF26" s="536">
        <f t="shared" si="25"/>
        <v>79.594694070794347</v>
      </c>
      <c r="AG26" s="536">
        <f t="shared" si="25"/>
        <v>81.685960441002337</v>
      </c>
      <c r="AH26" s="536">
        <f t="shared" si="25"/>
        <v>82.730259635781223</v>
      </c>
      <c r="AI26" s="536">
        <f t="shared" si="25"/>
        <v>88.627057685513904</v>
      </c>
      <c r="AJ26" s="536">
        <f t="shared" si="25"/>
        <v>89.50404407472675</v>
      </c>
      <c r="AK26" s="536">
        <f t="shared" si="25"/>
        <v>85.567990794481616</v>
      </c>
      <c r="AL26" s="536">
        <f t="shared" si="25"/>
        <v>82.299437017421369</v>
      </c>
      <c r="AM26" s="536">
        <f t="shared" si="25"/>
        <v>81.500984259042326</v>
      </c>
      <c r="AN26" s="536">
        <f t="shared" si="25"/>
        <v>87.725728643477908</v>
      </c>
      <c r="AO26" s="536">
        <f t="shared" si="25"/>
        <v>94.684856879459403</v>
      </c>
      <c r="AP26" s="536">
        <f t="shared" si="25"/>
        <v>97.939653116511437</v>
      </c>
      <c r="AQ26" s="536">
        <f t="shared" si="25"/>
        <v>93.466252419754255</v>
      </c>
      <c r="AR26" s="536">
        <f t="shared" si="25"/>
        <v>85.096483637431177</v>
      </c>
      <c r="AS26" s="536">
        <f t="shared" si="25"/>
        <v>85.243171458352123</v>
      </c>
      <c r="AT26" s="536">
        <f t="shared" si="25"/>
        <v>86.624177260916113</v>
      </c>
      <c r="AU26" s="536">
        <f t="shared" si="25"/>
        <v>93.277740638617615</v>
      </c>
      <c r="AV26" s="536">
        <f t="shared" si="25"/>
        <v>94.65543064312817</v>
      </c>
      <c r="AW26" s="536">
        <f t="shared" si="25"/>
        <v>89.30621462208839</v>
      </c>
      <c r="AX26" s="536">
        <f t="shared" si="25"/>
        <v>85.76176569136301</v>
      </c>
      <c r="AY26" s="536">
        <f t="shared" si="25"/>
        <v>87.123617427898793</v>
      </c>
      <c r="AZ26" s="536">
        <f t="shared" si="25"/>
        <v>93.902936724080959</v>
      </c>
      <c r="BA26" s="536">
        <f t="shared" si="25"/>
        <v>102.55099882127071</v>
      </c>
      <c r="BB26" s="536">
        <f t="shared" si="25"/>
        <v>106.03315860910388</v>
      </c>
      <c r="BC26" s="536">
        <f t="shared" si="25"/>
        <v>101.45160046839148</v>
      </c>
      <c r="BD26" s="536">
        <f t="shared" si="25"/>
        <v>91.461513318637898</v>
      </c>
      <c r="BE26" s="536">
        <f t="shared" si="25"/>
        <v>90.983254723191919</v>
      </c>
      <c r="BF26" s="536">
        <f t="shared" si="25"/>
        <v>92.481555596712482</v>
      </c>
      <c r="BG26" s="536">
        <f t="shared" si="25"/>
        <v>102.46419222328656</v>
      </c>
      <c r="BH26" s="536">
        <f t="shared" si="25"/>
        <v>104.28194445092446</v>
      </c>
      <c r="BI26" s="536">
        <f t="shared" si="25"/>
        <v>97.697947442281588</v>
      </c>
      <c r="BJ26" s="536">
        <f t="shared" si="25"/>
        <v>93.141203757114809</v>
      </c>
      <c r="BK26" s="536">
        <f t="shared" si="25"/>
        <v>91.356982194782347</v>
      </c>
      <c r="BL26" s="536">
        <f t="shared" si="25"/>
        <v>98.162103946187941</v>
      </c>
      <c r="BM26" s="536">
        <f t="shared" si="25"/>
        <v>106.97685775521443</v>
      </c>
      <c r="BN26" s="536">
        <f t="shared" si="25"/>
        <v>109.52657862519573</v>
      </c>
      <c r="BO26" s="536">
        <f t="shared" si="25"/>
        <v>105.31176690454399</v>
      </c>
      <c r="BP26" s="536">
        <f t="shared" ref="BP26:EA26" si="26">BP12*-1</f>
        <v>95.701698665447651</v>
      </c>
      <c r="BQ26" s="536">
        <f t="shared" si="26"/>
        <v>92.813522814138125</v>
      </c>
      <c r="BR26" s="536">
        <f t="shared" si="26"/>
        <v>93.831229054199255</v>
      </c>
      <c r="BS26" s="536">
        <f t="shared" si="26"/>
        <v>101.70021499433429</v>
      </c>
      <c r="BT26" s="536">
        <f t="shared" si="26"/>
        <v>104.33070779933348</v>
      </c>
      <c r="BU26" s="536">
        <f t="shared" si="26"/>
        <v>99.804407935462748</v>
      </c>
      <c r="BV26" s="536">
        <f t="shared" si="26"/>
        <v>94.746775513847169</v>
      </c>
      <c r="BW26" s="536">
        <f t="shared" si="26"/>
        <v>93.946390014597014</v>
      </c>
      <c r="BX26" s="536">
        <f t="shared" si="26"/>
        <v>100.31827049141762</v>
      </c>
      <c r="BY26" s="536">
        <f t="shared" si="26"/>
        <v>109.24137288615607</v>
      </c>
      <c r="BZ26" s="536">
        <f t="shared" si="26"/>
        <v>111.22339435584007</v>
      </c>
      <c r="CA26" s="536">
        <f t="shared" si="26"/>
        <v>107.65113508119029</v>
      </c>
      <c r="CB26" s="536">
        <f t="shared" si="26"/>
        <v>98.122122056374621</v>
      </c>
      <c r="CC26" s="536">
        <f t="shared" si="26"/>
        <v>89.761210546978262</v>
      </c>
      <c r="CD26" s="536">
        <f t="shared" si="26"/>
        <v>91.144177898955945</v>
      </c>
      <c r="CE26" s="536">
        <f t="shared" si="26"/>
        <v>99.238635706103764</v>
      </c>
      <c r="CF26" s="536">
        <f t="shared" si="26"/>
        <v>102.30142483367723</v>
      </c>
      <c r="CG26" s="536">
        <f t="shared" si="26"/>
        <v>97.947829797981925</v>
      </c>
      <c r="CH26" s="536">
        <f t="shared" si="26"/>
        <v>92.811287962278399</v>
      </c>
      <c r="CI26" s="536">
        <f t="shared" si="26"/>
        <v>95.700980201050456</v>
      </c>
      <c r="CJ26" s="536">
        <f t="shared" si="26"/>
        <v>101.88220663748972</v>
      </c>
      <c r="CK26" s="536">
        <f t="shared" si="26"/>
        <v>111.56243230587305</v>
      </c>
      <c r="CL26" s="536">
        <f t="shared" si="26"/>
        <v>114.54019718714406</v>
      </c>
      <c r="CM26" s="536">
        <f t="shared" si="26"/>
        <v>110.15812839400952</v>
      </c>
      <c r="CN26" s="536">
        <f t="shared" si="26"/>
        <v>100.04032643579644</v>
      </c>
      <c r="CO26" s="536">
        <f t="shared" si="26"/>
        <v>93.692642103061274</v>
      </c>
      <c r="CP26" s="536">
        <f t="shared" si="26"/>
        <v>95.291006862255841</v>
      </c>
      <c r="CQ26" s="536">
        <f t="shared" si="26"/>
        <v>104.76164093959912</v>
      </c>
      <c r="CR26" s="536">
        <f t="shared" si="26"/>
        <v>108.3575834470635</v>
      </c>
      <c r="CS26" s="536">
        <f t="shared" si="26"/>
        <v>103.48020871156987</v>
      </c>
      <c r="CT26" s="536">
        <f t="shared" si="26"/>
        <v>97.786411185039952</v>
      </c>
      <c r="CU26" s="536">
        <f t="shared" si="26"/>
        <v>96.276814451206647</v>
      </c>
      <c r="CV26" s="536">
        <f t="shared" si="26"/>
        <v>102.77425619549932</v>
      </c>
      <c r="CW26" s="536">
        <f t="shared" si="26"/>
        <v>111.60004327058891</v>
      </c>
      <c r="CX26" s="536">
        <f t="shared" si="26"/>
        <v>114.80127317562038</v>
      </c>
      <c r="CY26" s="536">
        <f t="shared" si="26"/>
        <v>109.97306868554148</v>
      </c>
      <c r="CZ26" s="536">
        <f t="shared" si="26"/>
        <v>99.456791936194989</v>
      </c>
      <c r="DA26" s="536">
        <f t="shared" si="26"/>
        <v>100.4164498568359</v>
      </c>
      <c r="DB26" s="536">
        <f t="shared" si="26"/>
        <v>101.18353781952305</v>
      </c>
      <c r="DC26" s="536">
        <f t="shared" si="26"/>
        <v>113.94052748853298</v>
      </c>
      <c r="DD26" s="536">
        <f t="shared" si="26"/>
        <v>116.72108073824791</v>
      </c>
      <c r="DE26" s="536">
        <f t="shared" si="26"/>
        <v>108.86645186807765</v>
      </c>
      <c r="DF26" s="536">
        <f t="shared" si="26"/>
        <v>104.30614151780313</v>
      </c>
      <c r="DG26" s="536">
        <f t="shared" si="26"/>
        <v>89.386796889645723</v>
      </c>
      <c r="DH26" s="536">
        <f t="shared" si="26"/>
        <v>97.252473619673097</v>
      </c>
      <c r="DI26" s="536">
        <f t="shared" si="26"/>
        <v>105.34518475468333</v>
      </c>
      <c r="DJ26" s="536">
        <f t="shared" si="26"/>
        <v>108.40477601888162</v>
      </c>
      <c r="DK26" s="536">
        <f t="shared" si="26"/>
        <v>103.31851145854259</v>
      </c>
      <c r="DL26" s="536">
        <f t="shared" si="26"/>
        <v>92.979384537719525</v>
      </c>
      <c r="DM26" s="536">
        <f t="shared" si="26"/>
        <v>94.900504729682979</v>
      </c>
      <c r="DN26" s="536">
        <f t="shared" si="26"/>
        <v>96.342635713256314</v>
      </c>
      <c r="DO26" s="536">
        <f t="shared" si="26"/>
        <v>107.52479332253495</v>
      </c>
      <c r="DP26" s="536">
        <f t="shared" si="26"/>
        <v>109.92925356909309</v>
      </c>
      <c r="DQ26" s="536">
        <f t="shared" si="26"/>
        <v>101.8792424463883</v>
      </c>
      <c r="DR26" s="536">
        <f t="shared" si="26"/>
        <v>97.063388455095478</v>
      </c>
      <c r="DS26" s="536">
        <f t="shared" si="26"/>
        <v>87.489165196824842</v>
      </c>
      <c r="DT26" s="536">
        <f t="shared" si="26"/>
        <v>94.337068965322246</v>
      </c>
      <c r="DU26" s="536">
        <f t="shared" si="26"/>
        <v>100.15145507389273</v>
      </c>
      <c r="DV26" s="536">
        <f t="shared" si="26"/>
        <v>102.57601786255906</v>
      </c>
      <c r="DW26" s="536">
        <f t="shared" si="26"/>
        <v>98.857838893101075</v>
      </c>
      <c r="DX26" s="536">
        <f t="shared" si="26"/>
        <v>90.669009474692047</v>
      </c>
      <c r="DY26" s="536">
        <f t="shared" si="26"/>
        <v>89.887236408531962</v>
      </c>
      <c r="DZ26" s="536">
        <f t="shared" si="26"/>
        <v>91.287251070108553</v>
      </c>
      <c r="EA26" s="536">
        <f t="shared" si="26"/>
        <v>97.369101053705734</v>
      </c>
      <c r="EB26" s="536">
        <f t="shared" ref="EB26:EP26" si="27">EB12*-1</f>
        <v>100.38306542057441</v>
      </c>
      <c r="EC26" s="536">
        <f t="shared" si="27"/>
        <v>95.568812204011067</v>
      </c>
      <c r="ED26" s="536">
        <f t="shared" si="27"/>
        <v>91.169629066779336</v>
      </c>
      <c r="EE26" s="536">
        <f t="shared" si="27"/>
        <v>84.591565668779808</v>
      </c>
      <c r="EF26" s="536">
        <f t="shared" si="27"/>
        <v>92.611752919651636</v>
      </c>
      <c r="EG26" s="536">
        <f t="shared" si="27"/>
        <v>98.312476412897155</v>
      </c>
      <c r="EH26" s="536">
        <f t="shared" si="27"/>
        <v>99.397048766260667</v>
      </c>
      <c r="EI26" s="536">
        <f t="shared" si="27"/>
        <v>95.757128989467162</v>
      </c>
      <c r="EJ26" s="536">
        <f t="shared" si="27"/>
        <v>88.088546060697141</v>
      </c>
      <c r="EK26" s="536">
        <f t="shared" si="27"/>
        <v>87.774864015717981</v>
      </c>
      <c r="EL26" s="536">
        <f t="shared" si="27"/>
        <v>89.760761331367334</v>
      </c>
      <c r="EM26" s="536">
        <f t="shared" si="27"/>
        <v>95.824276270373531</v>
      </c>
      <c r="EN26" s="536">
        <f t="shared" si="27"/>
        <v>96.867860044253646</v>
      </c>
      <c r="EO26" s="536">
        <f t="shared" si="27"/>
        <v>92.809417294212636</v>
      </c>
      <c r="EP26" s="536">
        <f t="shared" si="27"/>
        <v>89.544081155289206</v>
      </c>
    </row>
    <row r="27" spans="2:146">
      <c r="B27" s="534">
        <v>2009</v>
      </c>
      <c r="C27" s="536">
        <f t="shared" si="0"/>
        <v>79.917764826432617</v>
      </c>
      <c r="D27" s="536">
        <f t="shared" ref="D27:BO27" si="28">D13*-1</f>
        <v>88.321281945849492</v>
      </c>
      <c r="E27" s="536">
        <f t="shared" si="28"/>
        <v>93.846463759571535</v>
      </c>
      <c r="F27" s="536">
        <f t="shared" si="28"/>
        <v>95.004112465676982</v>
      </c>
      <c r="G27" s="536">
        <f t="shared" si="28"/>
        <v>90.970957141206924</v>
      </c>
      <c r="H27" s="536">
        <f t="shared" si="28"/>
        <v>83.375364065101195</v>
      </c>
      <c r="I27" s="536">
        <f t="shared" si="28"/>
        <v>83.647987721145043</v>
      </c>
      <c r="J27" s="536">
        <f t="shared" si="28"/>
        <v>85.905937778458835</v>
      </c>
      <c r="K27" s="536">
        <f t="shared" si="28"/>
        <v>92.546661032708769</v>
      </c>
      <c r="L27" s="536">
        <f t="shared" si="28"/>
        <v>93.126230062047526</v>
      </c>
      <c r="M27" s="536">
        <f t="shared" si="28"/>
        <v>88.075164974443823</v>
      </c>
      <c r="N27" s="536">
        <f t="shared" si="28"/>
        <v>84.576283249131563</v>
      </c>
      <c r="O27" s="536">
        <f t="shared" si="28"/>
        <v>78.350289497472389</v>
      </c>
      <c r="P27" s="536">
        <f t="shared" si="28"/>
        <v>85.954878959890593</v>
      </c>
      <c r="Q27" s="536">
        <f t="shared" si="28"/>
        <v>91.233149073540403</v>
      </c>
      <c r="R27" s="536">
        <f t="shared" si="28"/>
        <v>92.146646520689984</v>
      </c>
      <c r="S27" s="536">
        <f t="shared" si="28"/>
        <v>88.339444113316091</v>
      </c>
      <c r="T27" s="536">
        <f t="shared" si="28"/>
        <v>81.000670336437892</v>
      </c>
      <c r="U27" s="536">
        <f t="shared" si="28"/>
        <v>82.596910443428499</v>
      </c>
      <c r="V27" s="536">
        <f t="shared" si="28"/>
        <v>84.159536588208965</v>
      </c>
      <c r="W27" s="536">
        <f t="shared" si="28"/>
        <v>90.373375484457654</v>
      </c>
      <c r="X27" s="536">
        <f t="shared" si="28"/>
        <v>90.785915338053826</v>
      </c>
      <c r="Y27" s="536">
        <f t="shared" si="28"/>
        <v>86.412900647980209</v>
      </c>
      <c r="Z27" s="536">
        <f t="shared" si="28"/>
        <v>83.416028922894824</v>
      </c>
      <c r="AA27" s="536">
        <f t="shared" si="28"/>
        <v>74.681328217783971</v>
      </c>
      <c r="AB27" s="536">
        <f t="shared" si="28"/>
        <v>81.374072915680841</v>
      </c>
      <c r="AC27" s="536">
        <f t="shared" si="28"/>
        <v>87.760586325109415</v>
      </c>
      <c r="AD27" s="536">
        <f t="shared" si="28"/>
        <v>90.415410783138668</v>
      </c>
      <c r="AE27" s="536">
        <f t="shared" si="28"/>
        <v>86.850840681916054</v>
      </c>
      <c r="AF27" s="536">
        <f t="shared" si="28"/>
        <v>79.421534916478933</v>
      </c>
      <c r="AG27" s="536">
        <f t="shared" si="28"/>
        <v>82.51227840365452</v>
      </c>
      <c r="AH27" s="536">
        <f t="shared" si="28"/>
        <v>83.536135818450092</v>
      </c>
      <c r="AI27" s="536">
        <f t="shared" si="28"/>
        <v>89.59241840940166</v>
      </c>
      <c r="AJ27" s="536">
        <f t="shared" si="28"/>
        <v>90.317891594480713</v>
      </c>
      <c r="AK27" s="536">
        <f t="shared" si="28"/>
        <v>86.337731036846577</v>
      </c>
      <c r="AL27" s="536">
        <f t="shared" si="28"/>
        <v>83.126631421539358</v>
      </c>
      <c r="AM27" s="536">
        <f t="shared" si="28"/>
        <v>81.398659716760619</v>
      </c>
      <c r="AN27" s="536">
        <f t="shared" si="28"/>
        <v>87.512382598343905</v>
      </c>
      <c r="AO27" s="536">
        <f t="shared" si="28"/>
        <v>94.451260412720927</v>
      </c>
      <c r="AP27" s="536">
        <f t="shared" si="28"/>
        <v>97.700259542113059</v>
      </c>
      <c r="AQ27" s="536">
        <f t="shared" si="28"/>
        <v>93.284070943381892</v>
      </c>
      <c r="AR27" s="536">
        <f t="shared" si="28"/>
        <v>84.979916269355243</v>
      </c>
      <c r="AS27" s="536">
        <f t="shared" si="28"/>
        <v>84.84298700551328</v>
      </c>
      <c r="AT27" s="536">
        <f t="shared" si="28"/>
        <v>86.228725954443377</v>
      </c>
      <c r="AU27" s="536">
        <f t="shared" si="28"/>
        <v>92.776228216509608</v>
      </c>
      <c r="AV27" s="536">
        <f t="shared" si="28"/>
        <v>94.231037820681195</v>
      </c>
      <c r="AW27" s="536">
        <f t="shared" si="28"/>
        <v>88.956961724360283</v>
      </c>
      <c r="AX27" s="536">
        <f t="shared" si="28"/>
        <v>85.363023382303496</v>
      </c>
      <c r="AY27" s="536">
        <f t="shared" si="28"/>
        <v>87.03474296518435</v>
      </c>
      <c r="AZ27" s="536">
        <f t="shared" si="28"/>
        <v>93.657980792770317</v>
      </c>
      <c r="BA27" s="536">
        <f t="shared" si="28"/>
        <v>102.24597701610537</v>
      </c>
      <c r="BB27" s="536">
        <f t="shared" si="28"/>
        <v>105.7216896465971</v>
      </c>
      <c r="BC27" s="536">
        <f t="shared" si="28"/>
        <v>101.20359283584928</v>
      </c>
      <c r="BD27" s="536">
        <f t="shared" si="28"/>
        <v>91.35081195927296</v>
      </c>
      <c r="BE27" s="536">
        <f t="shared" si="28"/>
        <v>90.084147999312862</v>
      </c>
      <c r="BF27" s="536">
        <f t="shared" si="28"/>
        <v>91.598976094695104</v>
      </c>
      <c r="BG27" s="536">
        <f t="shared" si="28"/>
        <v>100.94404355788231</v>
      </c>
      <c r="BH27" s="536">
        <f t="shared" si="28"/>
        <v>103.0767457123823</v>
      </c>
      <c r="BI27" s="536">
        <f t="shared" si="28"/>
        <v>96.950123174559067</v>
      </c>
      <c r="BJ27" s="536">
        <f t="shared" si="28"/>
        <v>92.247116148606125</v>
      </c>
      <c r="BK27" s="536">
        <f t="shared" si="28"/>
        <v>90.831104519988088</v>
      </c>
      <c r="BL27" s="536">
        <f t="shared" si="28"/>
        <v>97.575451627308013</v>
      </c>
      <c r="BM27" s="536">
        <f t="shared" si="28"/>
        <v>106.31149444225368</v>
      </c>
      <c r="BN27" s="536">
        <f t="shared" si="28"/>
        <v>108.81220661188367</v>
      </c>
      <c r="BO27" s="536">
        <f t="shared" si="28"/>
        <v>104.61458836977769</v>
      </c>
      <c r="BP27" s="536">
        <f t="shared" ref="BP27:EA27" si="29">BP13*-1</f>
        <v>95.091366159982712</v>
      </c>
      <c r="BQ27" s="536">
        <f t="shared" si="29"/>
        <v>92.361507545141237</v>
      </c>
      <c r="BR27" s="536">
        <f t="shared" si="29"/>
        <v>93.359037557387879</v>
      </c>
      <c r="BS27" s="536">
        <f t="shared" si="29"/>
        <v>101.2050082735376</v>
      </c>
      <c r="BT27" s="536">
        <f t="shared" si="29"/>
        <v>103.77335778237568</v>
      </c>
      <c r="BU27" s="536">
        <f t="shared" si="29"/>
        <v>99.224994626187396</v>
      </c>
      <c r="BV27" s="536">
        <f t="shared" si="29"/>
        <v>94.223785296528177</v>
      </c>
      <c r="BW27" s="536">
        <f t="shared" si="29"/>
        <v>93.45137529591824</v>
      </c>
      <c r="BX27" s="536">
        <f t="shared" si="29"/>
        <v>99.79359598235385</v>
      </c>
      <c r="BY27" s="536">
        <f t="shared" si="29"/>
        <v>108.63813875293872</v>
      </c>
      <c r="BZ27" s="536">
        <f t="shared" si="29"/>
        <v>110.55980552017519</v>
      </c>
      <c r="CA27" s="536">
        <f t="shared" si="29"/>
        <v>106.99878418722868</v>
      </c>
      <c r="CB27" s="536">
        <f t="shared" si="29"/>
        <v>97.530291669510461</v>
      </c>
      <c r="CC27" s="536">
        <f t="shared" si="29"/>
        <v>89.272088747281344</v>
      </c>
      <c r="CD27" s="536">
        <f t="shared" si="29"/>
        <v>90.633466575671378</v>
      </c>
      <c r="CE27" s="536">
        <f t="shared" si="29"/>
        <v>98.668069228239119</v>
      </c>
      <c r="CF27" s="536">
        <f t="shared" si="29"/>
        <v>101.67549616151685</v>
      </c>
      <c r="CG27" s="536">
        <f t="shared" si="29"/>
        <v>97.336427105481434</v>
      </c>
      <c r="CH27" s="536">
        <f t="shared" si="29"/>
        <v>92.248238691046879</v>
      </c>
      <c r="CI27" s="536">
        <f t="shared" si="29"/>
        <v>95.24999604784459</v>
      </c>
      <c r="CJ27" s="536">
        <f t="shared" si="29"/>
        <v>101.40241665296169</v>
      </c>
      <c r="CK27" s="536">
        <f t="shared" si="29"/>
        <v>111.00421330012715</v>
      </c>
      <c r="CL27" s="536">
        <f t="shared" si="29"/>
        <v>113.91690308841594</v>
      </c>
      <c r="CM27" s="536">
        <f t="shared" si="29"/>
        <v>109.54145631699842</v>
      </c>
      <c r="CN27" s="536">
        <f t="shared" si="29"/>
        <v>99.481121305783091</v>
      </c>
      <c r="CO27" s="536">
        <f t="shared" si="29"/>
        <v>93.21724670267885</v>
      </c>
      <c r="CP27" s="536">
        <f t="shared" si="29"/>
        <v>94.797446582691023</v>
      </c>
      <c r="CQ27" s="536">
        <f t="shared" si="29"/>
        <v>104.19591248249233</v>
      </c>
      <c r="CR27" s="536">
        <f t="shared" si="29"/>
        <v>107.74049799725967</v>
      </c>
      <c r="CS27" s="536">
        <f t="shared" si="29"/>
        <v>102.88197854754601</v>
      </c>
      <c r="CT27" s="536">
        <f t="shared" si="29"/>
        <v>97.242084321969912</v>
      </c>
      <c r="CU27" s="536">
        <f t="shared" si="29"/>
        <v>95.63320813855529</v>
      </c>
      <c r="CV27" s="536">
        <f t="shared" si="29"/>
        <v>101.9294241264206</v>
      </c>
      <c r="CW27" s="536">
        <f t="shared" si="29"/>
        <v>110.64341950908229</v>
      </c>
      <c r="CX27" s="536">
        <f t="shared" si="29"/>
        <v>113.77322754213525</v>
      </c>
      <c r="CY27" s="536">
        <f t="shared" si="29"/>
        <v>109.0091596560471</v>
      </c>
      <c r="CZ27" s="536">
        <f t="shared" si="29"/>
        <v>98.705725037940695</v>
      </c>
      <c r="DA27" s="536">
        <f t="shared" si="29"/>
        <v>99.490195155270627</v>
      </c>
      <c r="DB27" s="536">
        <f t="shared" si="29"/>
        <v>100.23276438659639</v>
      </c>
      <c r="DC27" s="536">
        <f t="shared" si="29"/>
        <v>112.62742288954195</v>
      </c>
      <c r="DD27" s="536">
        <f t="shared" si="29"/>
        <v>115.48972430086586</v>
      </c>
      <c r="DE27" s="536">
        <f t="shared" si="29"/>
        <v>107.8598691339337</v>
      </c>
      <c r="DF27" s="536">
        <f t="shared" si="29"/>
        <v>103.30150691510688</v>
      </c>
      <c r="DG27" s="536">
        <f t="shared" si="29"/>
        <v>88.938098314144355</v>
      </c>
      <c r="DH27" s="536">
        <f t="shared" si="29"/>
        <v>96.680679561466775</v>
      </c>
      <c r="DI27" s="536">
        <f t="shared" si="29"/>
        <v>104.75336384964943</v>
      </c>
      <c r="DJ27" s="536">
        <f t="shared" si="29"/>
        <v>107.79479349110917</v>
      </c>
      <c r="DK27" s="536">
        <f t="shared" si="29"/>
        <v>102.70423865053161</v>
      </c>
      <c r="DL27" s="536">
        <f t="shared" si="29"/>
        <v>92.447229045322032</v>
      </c>
      <c r="DM27" s="536">
        <f t="shared" si="29"/>
        <v>93.190930489493837</v>
      </c>
      <c r="DN27" s="536">
        <f t="shared" si="29"/>
        <v>94.536232887474938</v>
      </c>
      <c r="DO27" s="536">
        <f t="shared" si="29"/>
        <v>104.92893471556744</v>
      </c>
      <c r="DP27" s="536">
        <f t="shared" si="29"/>
        <v>107.71081087649931</v>
      </c>
      <c r="DQ27" s="536">
        <f t="shared" si="29"/>
        <v>100.19415675926399</v>
      </c>
      <c r="DR27" s="536">
        <f t="shared" si="29"/>
        <v>95.276828485880316</v>
      </c>
      <c r="DS27" s="536">
        <f t="shared" si="29"/>
        <v>85.309849698650083</v>
      </c>
      <c r="DT27" s="536">
        <f t="shared" si="29"/>
        <v>90.959112080953048</v>
      </c>
      <c r="DU27" s="536">
        <f t="shared" si="29"/>
        <v>96.710600861106457</v>
      </c>
      <c r="DV27" s="536">
        <f t="shared" si="29"/>
        <v>99.082882439873401</v>
      </c>
      <c r="DW27" s="536">
        <f t="shared" si="29"/>
        <v>95.372528783049077</v>
      </c>
      <c r="DX27" s="536">
        <f t="shared" si="29"/>
        <v>87.594325722945854</v>
      </c>
      <c r="DY27" s="536">
        <f t="shared" si="29"/>
        <v>88.491551931001396</v>
      </c>
      <c r="DZ27" s="536">
        <f t="shared" si="29"/>
        <v>89.597526267110354</v>
      </c>
      <c r="EA27" s="536">
        <f t="shared" si="29"/>
        <v>95.684752205389941</v>
      </c>
      <c r="EB27" s="536">
        <f t="shared" ref="EB27:EP27" si="30">EB13*-1</f>
        <v>98.557200174192261</v>
      </c>
      <c r="EC27" s="536">
        <f t="shared" si="30"/>
        <v>93.727310316033055</v>
      </c>
      <c r="ED27" s="536">
        <f t="shared" si="30"/>
        <v>89.545714482993688</v>
      </c>
      <c r="EE27" s="536">
        <f t="shared" si="30"/>
        <v>83.218029229397786</v>
      </c>
      <c r="EF27" s="536">
        <f t="shared" si="30"/>
        <v>89.111949606447823</v>
      </c>
      <c r="EG27" s="536">
        <f t="shared" si="30"/>
        <v>94.714982168648206</v>
      </c>
      <c r="EH27" s="536">
        <f t="shared" si="30"/>
        <v>95.713947747348342</v>
      </c>
      <c r="EI27" s="536">
        <f t="shared" si="30"/>
        <v>92.067299198155112</v>
      </c>
      <c r="EJ27" s="536">
        <f t="shared" si="30"/>
        <v>85.042079735296696</v>
      </c>
      <c r="EK27" s="536">
        <f t="shared" si="30"/>
        <v>86.589459915764294</v>
      </c>
      <c r="EL27" s="536">
        <f t="shared" si="30"/>
        <v>87.935576752801282</v>
      </c>
      <c r="EM27" s="536">
        <f t="shared" si="30"/>
        <v>93.839072998052998</v>
      </c>
      <c r="EN27" s="536">
        <f t="shared" si="30"/>
        <v>94.864387890776641</v>
      </c>
      <c r="EO27" s="536">
        <f t="shared" si="30"/>
        <v>90.840294198012941</v>
      </c>
      <c r="EP27" s="536">
        <f t="shared" si="30"/>
        <v>87.910386602430265</v>
      </c>
    </row>
    <row r="28" spans="2:146">
      <c r="B28" s="534">
        <v>2010</v>
      </c>
      <c r="C28" s="536">
        <f t="shared" si="0"/>
        <v>76.537858407501886</v>
      </c>
      <c r="D28" s="536">
        <f t="shared" ref="D28:BO28" si="31">D14*-1</f>
        <v>83.525577899789937</v>
      </c>
      <c r="E28" s="536">
        <f t="shared" si="31"/>
        <v>86.724938604846926</v>
      </c>
      <c r="F28" s="536">
        <f t="shared" si="31"/>
        <v>86.380570221162486</v>
      </c>
      <c r="G28" s="536">
        <f t="shared" si="31"/>
        <v>82.299824484439725</v>
      </c>
      <c r="H28" s="536">
        <f t="shared" si="31"/>
        <v>77.912208061316207</v>
      </c>
      <c r="I28" s="536">
        <f t="shared" si="31"/>
        <v>79.521388369219835</v>
      </c>
      <c r="J28" s="536">
        <f t="shared" si="31"/>
        <v>81.262064461276594</v>
      </c>
      <c r="K28" s="536">
        <f t="shared" si="31"/>
        <v>86.135950872211623</v>
      </c>
      <c r="L28" s="536">
        <f t="shared" si="31"/>
        <v>84.606164061277823</v>
      </c>
      <c r="M28" s="536">
        <f t="shared" si="31"/>
        <v>81.674059187345193</v>
      </c>
      <c r="N28" s="536">
        <f t="shared" si="31"/>
        <v>80.09414376251658</v>
      </c>
      <c r="O28" s="536">
        <f t="shared" si="31"/>
        <v>71.968755894101349</v>
      </c>
      <c r="P28" s="536">
        <f t="shared" si="31"/>
        <v>76.023189891213406</v>
      </c>
      <c r="Q28" s="536">
        <f t="shared" si="31"/>
        <v>78.902917248453917</v>
      </c>
      <c r="R28" s="536">
        <f t="shared" si="31"/>
        <v>78.348955092298979</v>
      </c>
      <c r="S28" s="536">
        <f t="shared" si="31"/>
        <v>75.407841184297936</v>
      </c>
      <c r="T28" s="536">
        <f t="shared" si="31"/>
        <v>72.551205705972706</v>
      </c>
      <c r="U28" s="536">
        <f t="shared" si="31"/>
        <v>70.749885716149066</v>
      </c>
      <c r="V28" s="536">
        <f t="shared" si="31"/>
        <v>71.967867253135324</v>
      </c>
      <c r="W28" s="536">
        <f t="shared" si="31"/>
        <v>74.888874860142764</v>
      </c>
      <c r="X28" s="536">
        <f t="shared" si="31"/>
        <v>74.416328838536387</v>
      </c>
      <c r="Y28" s="536">
        <f t="shared" si="31"/>
        <v>72.845671913849174</v>
      </c>
      <c r="Z28" s="536">
        <f t="shared" si="31"/>
        <v>71.345211232376982</v>
      </c>
      <c r="AA28" s="536">
        <f t="shared" si="31"/>
        <v>68.618679169987729</v>
      </c>
      <c r="AB28" s="536">
        <f t="shared" si="31"/>
        <v>71.181194311841622</v>
      </c>
      <c r="AC28" s="536">
        <f t="shared" si="31"/>
        <v>75.037412718069604</v>
      </c>
      <c r="AD28" s="536">
        <f t="shared" si="31"/>
        <v>76.036111095970412</v>
      </c>
      <c r="AE28" s="536">
        <f t="shared" si="31"/>
        <v>73.49524307035945</v>
      </c>
      <c r="AF28" s="536">
        <f t="shared" si="31"/>
        <v>70.947539702100201</v>
      </c>
      <c r="AG28" s="536">
        <f t="shared" si="31"/>
        <v>70.460856103821115</v>
      </c>
      <c r="AH28" s="536">
        <f t="shared" si="31"/>
        <v>71.36076154601281</v>
      </c>
      <c r="AI28" s="536">
        <f t="shared" si="31"/>
        <v>74.004803671104781</v>
      </c>
      <c r="AJ28" s="536">
        <f t="shared" si="31"/>
        <v>73.940549981898627</v>
      </c>
      <c r="AK28" s="536">
        <f t="shared" si="31"/>
        <v>72.450147426966026</v>
      </c>
      <c r="AL28" s="536">
        <f t="shared" si="31"/>
        <v>70.749623810047311</v>
      </c>
      <c r="AM28" s="536">
        <f t="shared" si="31"/>
        <v>76.18777527469139</v>
      </c>
      <c r="AN28" s="536">
        <f t="shared" si="31"/>
        <v>79.32307345825852</v>
      </c>
      <c r="AO28" s="536">
        <f t="shared" si="31"/>
        <v>83.49972761330649</v>
      </c>
      <c r="AP28" s="536">
        <f t="shared" si="31"/>
        <v>84.565585455349165</v>
      </c>
      <c r="AQ28" s="536">
        <f t="shared" si="31"/>
        <v>81.509769810355749</v>
      </c>
      <c r="AR28" s="536">
        <f t="shared" si="31"/>
        <v>77.811140384743695</v>
      </c>
      <c r="AS28" s="536">
        <f t="shared" si="31"/>
        <v>74.334446284832765</v>
      </c>
      <c r="AT28" s="536">
        <f t="shared" si="31"/>
        <v>75.461975746875183</v>
      </c>
      <c r="AU28" s="536">
        <f t="shared" si="31"/>
        <v>78.461249575261476</v>
      </c>
      <c r="AV28" s="536">
        <f t="shared" si="31"/>
        <v>78.532860189334215</v>
      </c>
      <c r="AW28" s="536">
        <f t="shared" si="31"/>
        <v>77.01376553966719</v>
      </c>
      <c r="AX28" s="536">
        <f t="shared" si="31"/>
        <v>74.730703007096736</v>
      </c>
      <c r="AY28" s="536">
        <f t="shared" si="31"/>
        <v>82.41288408229255</v>
      </c>
      <c r="AZ28" s="536">
        <f t="shared" si="31"/>
        <v>86.250295649306196</v>
      </c>
      <c r="BA28" s="536">
        <f t="shared" si="31"/>
        <v>91.571116992077506</v>
      </c>
      <c r="BB28" s="536">
        <f t="shared" si="31"/>
        <v>92.749097807518865</v>
      </c>
      <c r="BC28" s="536">
        <f t="shared" si="31"/>
        <v>89.3433262683523</v>
      </c>
      <c r="BD28" s="536">
        <f t="shared" si="31"/>
        <v>84.617482285251242</v>
      </c>
      <c r="BE28" s="536">
        <f t="shared" si="31"/>
        <v>82.979017882562317</v>
      </c>
      <c r="BF28" s="536">
        <f t="shared" si="31"/>
        <v>84.315609566697532</v>
      </c>
      <c r="BG28" s="536">
        <f t="shared" si="31"/>
        <v>89.276116968917052</v>
      </c>
      <c r="BH28" s="536">
        <f t="shared" si="31"/>
        <v>89.818834503515291</v>
      </c>
      <c r="BI28" s="536">
        <f t="shared" si="31"/>
        <v>87.505608149400942</v>
      </c>
      <c r="BJ28" s="536">
        <f t="shared" si="31"/>
        <v>84.712514085990932</v>
      </c>
      <c r="BK28" s="536">
        <f t="shared" si="31"/>
        <v>86.63016015777761</v>
      </c>
      <c r="BL28" s="536">
        <f t="shared" si="31"/>
        <v>92.275288707417872</v>
      </c>
      <c r="BM28" s="536">
        <f t="shared" si="31"/>
        <v>98.547577014705851</v>
      </c>
      <c r="BN28" s="536">
        <f t="shared" si="31"/>
        <v>99.14689912977461</v>
      </c>
      <c r="BO28" s="536">
        <f t="shared" si="31"/>
        <v>95.234933275246433</v>
      </c>
      <c r="BP28" s="536">
        <f t="shared" ref="BP28:EA28" si="32">BP14*-1</f>
        <v>89.124430796594737</v>
      </c>
      <c r="BQ28" s="536">
        <f t="shared" si="32"/>
        <v>87.566407811015054</v>
      </c>
      <c r="BR28" s="536">
        <f t="shared" si="32"/>
        <v>88.32558944939926</v>
      </c>
      <c r="BS28" s="536">
        <f t="shared" si="32"/>
        <v>93.475766202626403</v>
      </c>
      <c r="BT28" s="536">
        <f t="shared" si="32"/>
        <v>93.841994953380876</v>
      </c>
      <c r="BU28" s="536">
        <f t="shared" si="32"/>
        <v>91.287203493223743</v>
      </c>
      <c r="BV28" s="536">
        <f t="shared" si="32"/>
        <v>88.661573420245361</v>
      </c>
      <c r="BW28" s="536">
        <f t="shared" si="32"/>
        <v>88.5700899958035</v>
      </c>
      <c r="BX28" s="536">
        <f t="shared" si="32"/>
        <v>93.968170833606123</v>
      </c>
      <c r="BY28" s="536">
        <f t="shared" si="32"/>
        <v>100.61562097989446</v>
      </c>
      <c r="BZ28" s="536">
        <f t="shared" si="32"/>
        <v>100.90012460787401</v>
      </c>
      <c r="CA28" s="536">
        <f t="shared" si="32"/>
        <v>97.38274161150818</v>
      </c>
      <c r="CB28" s="536">
        <f t="shared" si="32"/>
        <v>90.796024739081844</v>
      </c>
      <c r="CC28" s="536">
        <f t="shared" si="32"/>
        <v>85.034944588141826</v>
      </c>
      <c r="CD28" s="536">
        <f t="shared" si="32"/>
        <v>86.063396299120427</v>
      </c>
      <c r="CE28" s="536">
        <f t="shared" si="32"/>
        <v>92.16771359776294</v>
      </c>
      <c r="CF28" s="536">
        <f t="shared" si="32"/>
        <v>92.909655336095824</v>
      </c>
      <c r="CG28" s="536">
        <f t="shared" si="32"/>
        <v>90.247543835834762</v>
      </c>
      <c r="CH28" s="536">
        <f t="shared" si="32"/>
        <v>87.621133219382955</v>
      </c>
      <c r="CI28" s="536">
        <f t="shared" si="32"/>
        <v>90.652919465338655</v>
      </c>
      <c r="CJ28" s="536">
        <f t="shared" si="32"/>
        <v>95.778538593721493</v>
      </c>
      <c r="CK28" s="536">
        <f t="shared" si="32"/>
        <v>102.88263586656653</v>
      </c>
      <c r="CL28" s="536">
        <f t="shared" si="32"/>
        <v>104.00284832074061</v>
      </c>
      <c r="CM28" s="536">
        <f t="shared" si="32"/>
        <v>99.851614245758938</v>
      </c>
      <c r="CN28" s="536">
        <f t="shared" si="32"/>
        <v>92.923944617023935</v>
      </c>
      <c r="CO28" s="536">
        <f t="shared" si="32"/>
        <v>89.045783083920639</v>
      </c>
      <c r="CP28" s="536">
        <f t="shared" si="32"/>
        <v>90.411350759482829</v>
      </c>
      <c r="CQ28" s="536">
        <f t="shared" si="32"/>
        <v>97.924728631346369</v>
      </c>
      <c r="CR28" s="536">
        <f t="shared" si="32"/>
        <v>99.050952086827408</v>
      </c>
      <c r="CS28" s="536">
        <f t="shared" si="32"/>
        <v>95.934931129731609</v>
      </c>
      <c r="CT28" s="536">
        <f t="shared" si="32"/>
        <v>92.497249931536075</v>
      </c>
      <c r="CU28" s="536">
        <f t="shared" si="32"/>
        <v>90.310235946163985</v>
      </c>
      <c r="CV28" s="536">
        <f t="shared" si="32"/>
        <v>93.46521758290622</v>
      </c>
      <c r="CW28" s="536">
        <f t="shared" si="32"/>
        <v>98.923560592156633</v>
      </c>
      <c r="CX28" s="536">
        <f t="shared" si="32"/>
        <v>99.588840281583799</v>
      </c>
      <c r="CY28" s="536">
        <f t="shared" si="32"/>
        <v>96.012549784366158</v>
      </c>
      <c r="CZ28" s="536">
        <f t="shared" si="32"/>
        <v>91.247002353717832</v>
      </c>
      <c r="DA28" s="536">
        <f t="shared" si="32"/>
        <v>90.352208636496655</v>
      </c>
      <c r="DB28" s="536">
        <f t="shared" si="32"/>
        <v>91.019143345349178</v>
      </c>
      <c r="DC28" s="536">
        <f t="shared" si="32"/>
        <v>97.384230519185081</v>
      </c>
      <c r="DD28" s="536">
        <f t="shared" si="32"/>
        <v>99.335744080011807</v>
      </c>
      <c r="DE28" s="536">
        <f t="shared" si="32"/>
        <v>96.914450661139711</v>
      </c>
      <c r="DF28" s="536">
        <f t="shared" si="32"/>
        <v>93.965911255484258</v>
      </c>
      <c r="DG28" s="536">
        <f t="shared" si="32"/>
        <v>0</v>
      </c>
      <c r="DH28" s="536">
        <f t="shared" si="32"/>
        <v>0</v>
      </c>
      <c r="DI28" s="536">
        <f t="shared" si="32"/>
        <v>0</v>
      </c>
      <c r="DJ28" s="536">
        <f t="shared" si="32"/>
        <v>0</v>
      </c>
      <c r="DK28" s="536">
        <f t="shared" si="32"/>
        <v>0</v>
      </c>
      <c r="DL28" s="536">
        <f t="shared" si="32"/>
        <v>0</v>
      </c>
      <c r="DM28" s="536">
        <f t="shared" si="32"/>
        <v>0</v>
      </c>
      <c r="DN28" s="536">
        <f t="shared" si="32"/>
        <v>0</v>
      </c>
      <c r="DO28" s="536">
        <f t="shared" si="32"/>
        <v>0</v>
      </c>
      <c r="DP28" s="536">
        <f t="shared" si="32"/>
        <v>0</v>
      </c>
      <c r="DQ28" s="536">
        <f t="shared" si="32"/>
        <v>0</v>
      </c>
      <c r="DR28" s="536">
        <f t="shared" si="32"/>
        <v>0</v>
      </c>
      <c r="DS28" s="536">
        <f t="shared" si="32"/>
        <v>0</v>
      </c>
      <c r="DT28" s="536">
        <f t="shared" si="32"/>
        <v>0</v>
      </c>
      <c r="DU28" s="536">
        <f t="shared" si="32"/>
        <v>0</v>
      </c>
      <c r="DV28" s="536">
        <f t="shared" si="32"/>
        <v>0</v>
      </c>
      <c r="DW28" s="536">
        <f t="shared" si="32"/>
        <v>0</v>
      </c>
      <c r="DX28" s="536">
        <f t="shared" si="32"/>
        <v>0</v>
      </c>
      <c r="DY28" s="536">
        <f t="shared" si="32"/>
        <v>0</v>
      </c>
      <c r="DZ28" s="536">
        <f t="shared" si="32"/>
        <v>0</v>
      </c>
      <c r="EA28" s="536">
        <f t="shared" si="32"/>
        <v>0</v>
      </c>
      <c r="EB28" s="536">
        <f t="shared" ref="EB28:EP28" si="33">EB14*-1</f>
        <v>0</v>
      </c>
      <c r="EC28" s="536">
        <f t="shared" si="33"/>
        <v>0</v>
      </c>
      <c r="ED28" s="536">
        <f t="shared" si="33"/>
        <v>0</v>
      </c>
      <c r="EE28" s="536">
        <f t="shared" si="33"/>
        <v>0</v>
      </c>
      <c r="EF28" s="536">
        <f t="shared" si="33"/>
        <v>0</v>
      </c>
      <c r="EG28" s="536">
        <f t="shared" si="33"/>
        <v>0</v>
      </c>
      <c r="EH28" s="536">
        <f t="shared" si="33"/>
        <v>0</v>
      </c>
      <c r="EI28" s="536">
        <f t="shared" si="33"/>
        <v>0</v>
      </c>
      <c r="EJ28" s="536">
        <f t="shared" si="33"/>
        <v>0</v>
      </c>
      <c r="EK28" s="536">
        <f t="shared" si="33"/>
        <v>0</v>
      </c>
      <c r="EL28" s="536">
        <f t="shared" si="33"/>
        <v>0</v>
      </c>
      <c r="EM28" s="536">
        <f t="shared" si="33"/>
        <v>0</v>
      </c>
      <c r="EN28" s="536">
        <f t="shared" si="33"/>
        <v>0</v>
      </c>
      <c r="EO28" s="536">
        <f t="shared" si="33"/>
        <v>0</v>
      </c>
      <c r="EP28" s="536">
        <f t="shared" si="33"/>
        <v>0</v>
      </c>
    </row>
    <row r="29" spans="2:146">
      <c r="B29" s="537" t="s">
        <v>459</v>
      </c>
      <c r="C29" s="538">
        <f>MAX(C18:EP28)</f>
        <v>126.65337081204122</v>
      </c>
      <c r="D29" s="536"/>
      <c r="E29" s="536"/>
      <c r="F29" s="536"/>
      <c r="G29" s="536"/>
      <c r="H29" s="536"/>
      <c r="I29" s="536"/>
      <c r="J29" s="536"/>
      <c r="K29" s="536"/>
      <c r="L29" s="536"/>
      <c r="M29" s="536"/>
      <c r="N29" s="536"/>
      <c r="O29" s="536"/>
      <c r="P29" s="536"/>
      <c r="Q29" s="536"/>
      <c r="R29" s="536"/>
      <c r="S29" s="536"/>
      <c r="T29" s="536"/>
      <c r="U29" s="536"/>
      <c r="V29" s="536"/>
      <c r="W29" s="536"/>
      <c r="X29" s="536"/>
      <c r="Y29" s="536"/>
      <c r="Z29" s="536"/>
      <c r="AA29" s="536"/>
      <c r="AB29" s="536"/>
      <c r="AC29" s="536"/>
      <c r="AD29" s="536"/>
      <c r="AE29" s="536"/>
      <c r="AF29" s="536"/>
      <c r="AG29" s="536"/>
      <c r="AH29" s="536"/>
      <c r="AI29" s="536"/>
      <c r="AJ29" s="536"/>
      <c r="AK29" s="536"/>
      <c r="AL29" s="536"/>
      <c r="AM29" s="536"/>
      <c r="AN29" s="536"/>
      <c r="AO29" s="536"/>
      <c r="AP29" s="536"/>
      <c r="AQ29" s="536"/>
      <c r="AR29" s="536"/>
      <c r="AS29" s="536"/>
      <c r="AT29" s="536"/>
      <c r="AU29" s="536"/>
      <c r="AV29" s="536"/>
      <c r="AW29" s="536"/>
      <c r="AX29" s="536"/>
      <c r="AY29" s="536"/>
      <c r="AZ29" s="536"/>
      <c r="BA29" s="536"/>
      <c r="BB29" s="536"/>
      <c r="BC29" s="536"/>
      <c r="BD29" s="536"/>
      <c r="BE29" s="536"/>
      <c r="BF29" s="536"/>
      <c r="BG29" s="536"/>
      <c r="BH29" s="536"/>
      <c r="BI29" s="536"/>
      <c r="BJ29" s="536"/>
      <c r="BK29" s="536"/>
      <c r="BL29" s="536"/>
      <c r="BM29" s="536"/>
      <c r="BN29" s="536"/>
      <c r="BO29" s="536"/>
      <c r="BP29" s="536"/>
      <c r="BQ29" s="536"/>
      <c r="BR29" s="536"/>
      <c r="BS29" s="536"/>
      <c r="BT29" s="536"/>
      <c r="BU29" s="536"/>
      <c r="BV29" s="536"/>
      <c r="BW29" s="536"/>
      <c r="BX29" s="536"/>
      <c r="BY29" s="536"/>
      <c r="BZ29" s="536"/>
      <c r="CA29" s="536"/>
      <c r="CB29" s="536"/>
      <c r="CC29" s="536"/>
      <c r="CD29" s="536"/>
      <c r="CE29" s="536"/>
      <c r="CF29" s="536"/>
      <c r="CG29" s="536"/>
      <c r="CH29" s="536"/>
      <c r="CI29" s="536"/>
      <c r="CJ29" s="536"/>
      <c r="CK29" s="536"/>
      <c r="CL29" s="536"/>
      <c r="CM29" s="536"/>
      <c r="CN29" s="536"/>
      <c r="CO29" s="536"/>
      <c r="CP29" s="536"/>
      <c r="CQ29" s="536"/>
      <c r="CR29" s="536"/>
      <c r="CS29" s="536"/>
      <c r="CT29" s="536"/>
      <c r="CU29" s="536"/>
      <c r="CV29" s="536"/>
      <c r="CW29" s="536"/>
      <c r="CX29" s="536"/>
      <c r="CY29" s="536"/>
      <c r="CZ29" s="536"/>
      <c r="DA29" s="536"/>
      <c r="DB29" s="536"/>
      <c r="DC29" s="536"/>
      <c r="DD29" s="536"/>
      <c r="DE29" s="536"/>
      <c r="DF29" s="536"/>
      <c r="DG29" s="536"/>
      <c r="DH29" s="536"/>
      <c r="DI29" s="536"/>
      <c r="DJ29" s="536"/>
      <c r="DK29" s="536"/>
      <c r="DL29" s="536"/>
      <c r="DM29" s="536"/>
      <c r="DN29" s="536"/>
      <c r="DO29" s="536"/>
      <c r="DP29" s="536"/>
      <c r="DQ29" s="536"/>
      <c r="DR29" s="536"/>
      <c r="DS29" s="536"/>
      <c r="DT29" s="536"/>
      <c r="DU29" s="536"/>
      <c r="DV29" s="536"/>
      <c r="DW29" s="536"/>
      <c r="DX29" s="536"/>
      <c r="DY29" s="536"/>
      <c r="DZ29" s="536"/>
      <c r="EA29" s="536"/>
      <c r="EB29" s="536"/>
      <c r="EC29" s="536"/>
      <c r="ED29" s="536"/>
      <c r="EE29" s="536"/>
      <c r="EF29" s="536"/>
      <c r="EG29" s="536"/>
      <c r="EH29" s="536"/>
      <c r="EI29" s="536"/>
      <c r="EJ29" s="536"/>
      <c r="EK29" s="536"/>
      <c r="EL29" s="536"/>
      <c r="EM29" s="536"/>
      <c r="EN29" s="536"/>
      <c r="EO29" s="536"/>
      <c r="EP29" s="536"/>
    </row>
    <row r="30" spans="2:146">
      <c r="B30" s="539" t="s">
        <v>2</v>
      </c>
      <c r="C30" s="540">
        <f>MIN(C18:EP28)</f>
        <v>0</v>
      </c>
      <c r="D30" s="536"/>
      <c r="E30" s="536"/>
      <c r="F30" s="536"/>
      <c r="G30" s="536"/>
      <c r="H30" s="536"/>
      <c r="I30" s="536"/>
      <c r="J30" s="536"/>
      <c r="K30" s="536"/>
      <c r="L30" s="536"/>
      <c r="M30" s="536"/>
      <c r="N30" s="536"/>
      <c r="O30" s="536"/>
      <c r="P30" s="536"/>
      <c r="Q30" s="536"/>
      <c r="R30" s="536"/>
      <c r="S30" s="536"/>
      <c r="T30" s="536"/>
      <c r="U30" s="536"/>
      <c r="V30" s="536"/>
      <c r="W30" s="536"/>
      <c r="X30" s="536"/>
      <c r="Y30" s="536"/>
      <c r="Z30" s="536"/>
      <c r="AA30" s="536"/>
      <c r="AB30" s="536"/>
      <c r="AC30" s="536"/>
      <c r="AD30" s="536"/>
      <c r="AE30" s="536"/>
      <c r="AF30" s="536"/>
      <c r="AG30" s="536"/>
      <c r="AH30" s="536"/>
      <c r="AI30" s="536"/>
      <c r="AJ30" s="536"/>
      <c r="AK30" s="536"/>
      <c r="AL30" s="536"/>
      <c r="AM30" s="536"/>
      <c r="AN30" s="536"/>
      <c r="AO30" s="536"/>
      <c r="AP30" s="536"/>
      <c r="AQ30" s="536"/>
      <c r="AR30" s="536"/>
      <c r="AS30" s="536"/>
      <c r="AT30" s="536"/>
      <c r="AU30" s="536"/>
      <c r="AV30" s="536"/>
      <c r="AW30" s="536"/>
      <c r="AX30" s="536"/>
      <c r="AY30" s="536"/>
      <c r="AZ30" s="536"/>
      <c r="BA30" s="536"/>
      <c r="BB30" s="536"/>
      <c r="BC30" s="536"/>
      <c r="BD30" s="536"/>
      <c r="BE30" s="536"/>
      <c r="BF30" s="536"/>
      <c r="BG30" s="536"/>
      <c r="BH30" s="536"/>
      <c r="BI30" s="536"/>
      <c r="BJ30" s="536"/>
      <c r="BK30" s="536"/>
      <c r="BL30" s="536"/>
      <c r="BM30" s="536"/>
      <c r="BN30" s="536"/>
      <c r="BO30" s="536"/>
      <c r="BP30" s="536"/>
      <c r="BQ30" s="536"/>
      <c r="BR30" s="536"/>
      <c r="BS30" s="536"/>
      <c r="BT30" s="536"/>
      <c r="BU30" s="536"/>
      <c r="BV30" s="536"/>
      <c r="BW30" s="536"/>
      <c r="BX30" s="536"/>
      <c r="BY30" s="536"/>
      <c r="BZ30" s="536"/>
      <c r="CA30" s="536"/>
      <c r="CB30" s="536"/>
      <c r="CC30" s="536"/>
      <c r="CD30" s="536"/>
      <c r="CE30" s="536"/>
      <c r="CF30" s="536"/>
      <c r="CG30" s="536"/>
      <c r="CH30" s="536"/>
      <c r="CI30" s="536"/>
      <c r="CJ30" s="536"/>
      <c r="CK30" s="536"/>
      <c r="CL30" s="536"/>
      <c r="CM30" s="536"/>
      <c r="CN30" s="536"/>
      <c r="CO30" s="536"/>
      <c r="CP30" s="536"/>
      <c r="CQ30" s="536"/>
      <c r="CR30" s="536"/>
      <c r="CS30" s="536"/>
      <c r="CT30" s="536"/>
      <c r="CU30" s="536"/>
      <c r="CV30" s="536"/>
      <c r="CW30" s="536"/>
      <c r="CX30" s="536"/>
      <c r="CY30" s="536"/>
      <c r="CZ30" s="536"/>
      <c r="DA30" s="536"/>
      <c r="DB30" s="536"/>
      <c r="DC30" s="536"/>
      <c r="DD30" s="536"/>
      <c r="DE30" s="536"/>
      <c r="DF30" s="536"/>
      <c r="DG30" s="536"/>
      <c r="DH30" s="536"/>
      <c r="DI30" s="536"/>
      <c r="DJ30" s="536"/>
      <c r="DK30" s="536"/>
      <c r="DL30" s="536"/>
      <c r="DM30" s="536"/>
      <c r="DN30" s="536"/>
      <c r="DO30" s="536"/>
      <c r="DP30" s="536"/>
      <c r="DQ30" s="536"/>
      <c r="DR30" s="536"/>
      <c r="DS30" s="536"/>
      <c r="DT30" s="536"/>
      <c r="DU30" s="536"/>
      <c r="DV30" s="536"/>
      <c r="DW30" s="536"/>
      <c r="DX30" s="536"/>
      <c r="DY30" s="536"/>
      <c r="DZ30" s="536"/>
      <c r="EA30" s="536"/>
      <c r="EB30" s="536"/>
      <c r="EC30" s="536"/>
      <c r="ED30" s="536"/>
      <c r="EE30" s="536"/>
      <c r="EF30" s="536"/>
      <c r="EG30" s="536"/>
      <c r="EH30" s="536"/>
      <c r="EI30" s="536"/>
      <c r="EJ30" s="536"/>
      <c r="EK30" s="536"/>
      <c r="EL30" s="536"/>
      <c r="EM30" s="536"/>
      <c r="EN30" s="536"/>
      <c r="EO30" s="536"/>
      <c r="EP30" s="536"/>
    </row>
    <row r="31" spans="2:146">
      <c r="B31" s="534"/>
      <c r="C31" s="536"/>
      <c r="D31" s="536"/>
      <c r="E31" s="536"/>
      <c r="F31" s="536"/>
      <c r="G31" s="536"/>
      <c r="H31" s="536"/>
      <c r="I31" s="536"/>
      <c r="J31" s="536"/>
      <c r="K31" s="536"/>
      <c r="L31" s="536"/>
      <c r="M31" s="536"/>
      <c r="N31" s="536"/>
      <c r="O31" s="536"/>
      <c r="P31" s="536"/>
      <c r="Q31" s="536"/>
      <c r="R31" s="536"/>
      <c r="S31" s="536"/>
      <c r="T31" s="536"/>
      <c r="U31" s="536"/>
      <c r="V31" s="536"/>
      <c r="W31" s="536"/>
      <c r="X31" s="536"/>
      <c r="Y31" s="536"/>
      <c r="Z31" s="536"/>
      <c r="AA31" s="536"/>
      <c r="AB31" s="536"/>
      <c r="AC31" s="536"/>
      <c r="AD31" s="536"/>
      <c r="AE31" s="536"/>
      <c r="AF31" s="536"/>
      <c r="AG31" s="536"/>
      <c r="AH31" s="536"/>
      <c r="AI31" s="536"/>
      <c r="AJ31" s="536"/>
      <c r="AK31" s="536"/>
      <c r="AL31" s="536"/>
      <c r="AM31" s="536"/>
      <c r="AN31" s="536"/>
      <c r="AO31" s="536"/>
      <c r="AP31" s="536"/>
      <c r="AQ31" s="536"/>
      <c r="AR31" s="536"/>
      <c r="AS31" s="536"/>
      <c r="AT31" s="536"/>
      <c r="AU31" s="536"/>
      <c r="AV31" s="536"/>
      <c r="AW31" s="536"/>
      <c r="AX31" s="536"/>
      <c r="AY31" s="536"/>
      <c r="AZ31" s="536"/>
      <c r="BA31" s="536"/>
      <c r="BB31" s="536"/>
      <c r="BC31" s="536"/>
      <c r="BD31" s="536"/>
      <c r="BE31" s="536"/>
      <c r="BF31" s="536"/>
      <c r="BG31" s="536"/>
      <c r="BH31" s="536"/>
      <c r="BI31" s="536"/>
      <c r="BJ31" s="536"/>
      <c r="BK31" s="536"/>
      <c r="BL31" s="536"/>
      <c r="BM31" s="536"/>
      <c r="BN31" s="536"/>
      <c r="BO31" s="536"/>
      <c r="BP31" s="536"/>
      <c r="BQ31" s="536"/>
      <c r="BR31" s="536"/>
      <c r="BS31" s="536"/>
      <c r="BT31" s="536"/>
      <c r="BU31" s="536"/>
      <c r="BV31" s="536"/>
      <c r="BW31" s="536"/>
      <c r="BX31" s="536"/>
      <c r="BY31" s="536"/>
      <c r="BZ31" s="536"/>
      <c r="CA31" s="536"/>
      <c r="CB31" s="536"/>
      <c r="CC31" s="536"/>
      <c r="CD31" s="536"/>
      <c r="CE31" s="536"/>
      <c r="CF31" s="536"/>
      <c r="CG31" s="536"/>
      <c r="CH31" s="536"/>
      <c r="CI31" s="536"/>
      <c r="CJ31" s="536"/>
      <c r="CK31" s="536"/>
      <c r="CL31" s="536"/>
      <c r="CM31" s="536"/>
      <c r="CN31" s="536"/>
      <c r="CO31" s="536"/>
      <c r="CP31" s="536"/>
      <c r="CQ31" s="536"/>
      <c r="CR31" s="536"/>
      <c r="CS31" s="536"/>
      <c r="CT31" s="536"/>
      <c r="CU31" s="536"/>
      <c r="CV31" s="536"/>
      <c r="CW31" s="536"/>
      <c r="CX31" s="536"/>
      <c r="CY31" s="536"/>
      <c r="CZ31" s="536"/>
      <c r="DA31" s="536"/>
      <c r="DB31" s="536"/>
      <c r="DC31" s="536"/>
      <c r="DD31" s="536"/>
      <c r="DE31" s="536"/>
      <c r="DF31" s="536"/>
      <c r="DG31" s="536"/>
      <c r="DH31" s="536"/>
      <c r="DI31" s="536"/>
      <c r="DJ31" s="536"/>
      <c r="DK31" s="536"/>
      <c r="DL31" s="536"/>
      <c r="DM31" s="536"/>
      <c r="DN31" s="536"/>
      <c r="DO31" s="536"/>
      <c r="DP31" s="536"/>
      <c r="DQ31" s="536"/>
      <c r="DR31" s="536"/>
      <c r="DS31" s="536"/>
      <c r="DT31" s="536"/>
      <c r="DU31" s="536"/>
      <c r="DV31" s="536"/>
      <c r="DW31" s="536"/>
      <c r="DX31" s="536"/>
      <c r="DY31" s="536"/>
      <c r="DZ31" s="536"/>
      <c r="EA31" s="536"/>
      <c r="EB31" s="536"/>
      <c r="EC31" s="536"/>
      <c r="ED31" s="536"/>
      <c r="EE31" s="536"/>
      <c r="EF31" s="536"/>
      <c r="EG31" s="536"/>
      <c r="EH31" s="536"/>
      <c r="EI31" s="536"/>
      <c r="EJ31" s="536"/>
      <c r="EK31" s="536"/>
      <c r="EL31" s="536"/>
      <c r="EM31" s="536"/>
      <c r="EN31" s="536"/>
      <c r="EO31" s="536"/>
      <c r="EP31" s="536"/>
    </row>
    <row r="32" spans="2:146">
      <c r="B32" s="532" t="s">
        <v>23</v>
      </c>
      <c r="C32" s="541" t="s">
        <v>435</v>
      </c>
      <c r="D32" s="534" t="s">
        <v>436</v>
      </c>
      <c r="E32" s="541" t="s">
        <v>437</v>
      </c>
      <c r="F32" s="534" t="s">
        <v>438</v>
      </c>
      <c r="G32" s="541" t="s">
        <v>439</v>
      </c>
      <c r="H32" s="534" t="s">
        <v>440</v>
      </c>
      <c r="I32" s="541" t="s">
        <v>441</v>
      </c>
      <c r="J32" s="534" t="s">
        <v>442</v>
      </c>
      <c r="K32" s="541" t="s">
        <v>443</v>
      </c>
      <c r="L32" s="534" t="s">
        <v>444</v>
      </c>
      <c r="M32" s="541" t="s">
        <v>445</v>
      </c>
      <c r="N32" s="534" t="s">
        <v>446</v>
      </c>
      <c r="O32" s="542" t="s">
        <v>460</v>
      </c>
    </row>
    <row r="33" spans="2:25">
      <c r="B33" s="534">
        <v>2000</v>
      </c>
      <c r="C33" s="536">
        <f>IF(C$17="WD1",MAX(C18:N18),0)</f>
        <v>0</v>
      </c>
      <c r="D33" s="536">
        <f>IF(O$17="WD1",MAX(O18:Z18),0)</f>
        <v>0</v>
      </c>
      <c r="E33" s="536">
        <f>IF(AA$17="WD1",MAX(AA18:AL18),0)</f>
        <v>25.652883515687897</v>
      </c>
      <c r="F33" s="536">
        <f>IF(AM$17="WD1",MAX(AM18:AX18),0)</f>
        <v>1.1840168454546807</v>
      </c>
      <c r="G33" s="536">
        <f>IF(AY$17="WD1",MAX(AY18:BJ18),0)</f>
        <v>4.9538864252793813</v>
      </c>
      <c r="H33" s="536">
        <f>IF(BK$17="WD1",MAX(BK18:BV18),0)</f>
        <v>0.73386229064102859</v>
      </c>
      <c r="I33" s="536">
        <f>IF(BW$17="WD1",MAX(BW18:CH18),0)</f>
        <v>1.3478895357077147</v>
      </c>
      <c r="J33" s="536">
        <f>IF(CI$17="WD1",MAX(CI18:CT18),0)</f>
        <v>2.5109697766884582</v>
      </c>
      <c r="K33" s="536">
        <f>IF(CU$17="WD1",MAX(CU18:DF18),0)</f>
        <v>1.6844448559847951</v>
      </c>
      <c r="L33" s="536">
        <f>IF(DG$17="WD1",MAX(DG18:DR18),0)</f>
        <v>10.112255527943734</v>
      </c>
      <c r="M33" s="536">
        <f>IF(DS$17="WD1",MAX(DS18:ED18),0)</f>
        <v>4.8014137044569978</v>
      </c>
      <c r="N33" s="536">
        <f>IF(EE$17="WD1",MAX(EE18:EP18),0)</f>
        <v>2.2670902554172412</v>
      </c>
      <c r="O33" s="536">
        <f>MAX(C33:N33)</f>
        <v>25.652883515687897</v>
      </c>
      <c r="P33" s="536"/>
      <c r="Q33" s="536"/>
      <c r="R33" s="536"/>
      <c r="S33" s="536"/>
      <c r="T33" s="536"/>
      <c r="U33" s="536"/>
      <c r="V33" s="536"/>
      <c r="W33" s="536"/>
      <c r="X33" s="536"/>
      <c r="Y33" s="536"/>
    </row>
    <row r="34" spans="2:25">
      <c r="B34" s="534">
        <v>2001</v>
      </c>
      <c r="C34" s="536">
        <f t="shared" ref="C34:C43" si="34">IF(C$17="WD1",MAX(C19:N19),0)</f>
        <v>16.823032922314773</v>
      </c>
      <c r="D34" s="536">
        <f t="shared" ref="D34:D43" si="35">IF(O$17="WD1",MAX(O19:Z19),0)</f>
        <v>19.434806875455859</v>
      </c>
      <c r="E34" s="536">
        <f t="shared" ref="E34:E43" si="36">IF(AA$17="WD1",MAX(AA19:AL19),0)</f>
        <v>15.469495509438721</v>
      </c>
      <c r="F34" s="536">
        <f t="shared" ref="F34:F43" si="37">IF(AM$17="WD1",MAX(AM19:AX19),0)</f>
        <v>12.187988448622608</v>
      </c>
      <c r="G34" s="536">
        <f t="shared" ref="G34:G43" si="38">IF(AY$17="WD1",MAX(AY19:BJ19),0)</f>
        <v>14.355776481996267</v>
      </c>
      <c r="H34" s="536">
        <f t="shared" ref="H34:H43" si="39">IF(BK$17="WD1",MAX(BK19:BV19),0)</f>
        <v>3.2224704649070839</v>
      </c>
      <c r="I34" s="536">
        <f t="shared" ref="I34:I43" si="40">IF(BW$17="WD1",MAX(BW19:CH19),0)</f>
        <v>97.862549266567882</v>
      </c>
      <c r="J34" s="536">
        <f t="shared" ref="J34:J43" si="41">IF(CI$17="WD1",MAX(CI19:CT19),0)</f>
        <v>101.51676290301295</v>
      </c>
      <c r="K34" s="536">
        <f t="shared" ref="K34:K43" si="42">IF(CU$17="WD1",MAX(CU19:DF19),0)</f>
        <v>101.64869802550793</v>
      </c>
      <c r="L34" s="536">
        <f t="shared" ref="L34:L43" si="43">IF(DG$17="WD1",MAX(DG19:DR19),0)</f>
        <v>107.70904484398952</v>
      </c>
      <c r="M34" s="536">
        <f t="shared" ref="M34:M43" si="44">IF(DS$17="WD1",MAX(DS19:ED19),0)</f>
        <v>94.533620677542501</v>
      </c>
      <c r="N34" s="536">
        <f t="shared" ref="N34:N43" si="45">IF(EE$17="WD1",MAX(EE19:EP19),0)</f>
        <v>89.491366638915025</v>
      </c>
      <c r="O34" s="536">
        <f t="shared" ref="O34:O43" si="46">MAX(C34:N34)</f>
        <v>107.70904484398952</v>
      </c>
      <c r="P34" s="536"/>
      <c r="Q34" s="536"/>
      <c r="R34" s="536"/>
      <c r="S34" s="536"/>
      <c r="T34" s="536"/>
      <c r="U34" s="536"/>
      <c r="V34" s="536"/>
      <c r="W34" s="536"/>
      <c r="X34" s="536"/>
      <c r="Y34" s="536"/>
    </row>
    <row r="35" spans="2:25">
      <c r="B35" s="534">
        <v>2002</v>
      </c>
      <c r="C35" s="536">
        <f t="shared" si="34"/>
        <v>90.268673892973951</v>
      </c>
      <c r="D35" s="536">
        <f t="shared" si="35"/>
        <v>89.31508723509134</v>
      </c>
      <c r="E35" s="536">
        <f t="shared" si="36"/>
        <v>83.154197077642124</v>
      </c>
      <c r="F35" s="536">
        <f t="shared" si="37"/>
        <v>92.930860459355699</v>
      </c>
      <c r="G35" s="536">
        <f t="shared" si="38"/>
        <v>104.63607810407093</v>
      </c>
      <c r="H35" s="536">
        <f t="shared" si="39"/>
        <v>95.500343117693518</v>
      </c>
      <c r="I35" s="536">
        <f t="shared" si="40"/>
        <v>98.060613764942346</v>
      </c>
      <c r="J35" s="536">
        <f t="shared" si="41"/>
        <v>101.51715030638486</v>
      </c>
      <c r="K35" s="536">
        <f t="shared" si="42"/>
        <v>103.69383448294373</v>
      </c>
      <c r="L35" s="536">
        <f t="shared" si="43"/>
        <v>104.41746855619526</v>
      </c>
      <c r="M35" s="536">
        <f t="shared" si="44"/>
        <v>93.481110821675827</v>
      </c>
      <c r="N35" s="536">
        <f t="shared" si="45"/>
        <v>90.18690668339714</v>
      </c>
      <c r="O35" s="536">
        <f t="shared" si="46"/>
        <v>104.63607810407093</v>
      </c>
      <c r="P35" s="536"/>
      <c r="Q35" s="536"/>
      <c r="R35" s="536"/>
      <c r="S35" s="536"/>
      <c r="T35" s="536"/>
      <c r="U35" s="536"/>
      <c r="V35" s="536"/>
      <c r="W35" s="536"/>
      <c r="X35" s="536"/>
      <c r="Y35" s="536"/>
    </row>
    <row r="36" spans="2:25">
      <c r="B36" s="534">
        <v>2003</v>
      </c>
      <c r="C36" s="536">
        <f t="shared" si="34"/>
        <v>88.544446230990317</v>
      </c>
      <c r="D36" s="536">
        <f t="shared" si="35"/>
        <v>85.963963815361822</v>
      </c>
      <c r="E36" s="536">
        <f t="shared" si="36"/>
        <v>81.730722727508976</v>
      </c>
      <c r="F36" s="536">
        <f t="shared" si="37"/>
        <v>105.17925435578191</v>
      </c>
      <c r="G36" s="536">
        <f t="shared" si="38"/>
        <v>115.13899965799301</v>
      </c>
      <c r="H36" s="536">
        <f t="shared" si="39"/>
        <v>116.76798679921312</v>
      </c>
      <c r="I36" s="536">
        <f t="shared" si="40"/>
        <v>119.01354443981954</v>
      </c>
      <c r="J36" s="536">
        <f t="shared" si="41"/>
        <v>122.70520047789313</v>
      </c>
      <c r="K36" s="536">
        <f t="shared" si="42"/>
        <v>122.89607608811363</v>
      </c>
      <c r="L36" s="536">
        <f t="shared" si="43"/>
        <v>115.61566969477852</v>
      </c>
      <c r="M36" s="536">
        <f t="shared" si="44"/>
        <v>109.78208228781335</v>
      </c>
      <c r="N36" s="536">
        <f t="shared" si="45"/>
        <v>106.65410094988262</v>
      </c>
      <c r="O36" s="536">
        <f t="shared" si="46"/>
        <v>122.89607608811363</v>
      </c>
      <c r="P36" s="536"/>
      <c r="Q36" s="536"/>
      <c r="R36" s="536"/>
      <c r="S36" s="536"/>
      <c r="T36" s="536"/>
      <c r="U36" s="536"/>
      <c r="V36" s="536"/>
      <c r="W36" s="536"/>
      <c r="X36" s="536"/>
      <c r="Y36" s="536"/>
    </row>
    <row r="37" spans="2:25">
      <c r="B37" s="534">
        <v>2004</v>
      </c>
      <c r="C37" s="536">
        <f t="shared" si="34"/>
        <v>104.70843109566528</v>
      </c>
      <c r="D37" s="536">
        <f t="shared" si="35"/>
        <v>102.41631810145935</v>
      </c>
      <c r="E37" s="536">
        <f t="shared" si="36"/>
        <v>99.693330235825414</v>
      </c>
      <c r="F37" s="536">
        <f t="shared" si="37"/>
        <v>107.82799741638837</v>
      </c>
      <c r="G37" s="536">
        <f t="shared" si="38"/>
        <v>117.70719969676739</v>
      </c>
      <c r="H37" s="536">
        <f t="shared" si="39"/>
        <v>120.49014106422869</v>
      </c>
      <c r="I37" s="536">
        <f t="shared" si="40"/>
        <v>122.98268955090126</v>
      </c>
      <c r="J37" s="536">
        <f t="shared" si="41"/>
        <v>126.65337081204122</v>
      </c>
      <c r="K37" s="536">
        <f t="shared" si="42"/>
        <v>125.99298294811445</v>
      </c>
      <c r="L37" s="536">
        <f t="shared" si="43"/>
        <v>118.98837356653632</v>
      </c>
      <c r="M37" s="536">
        <f t="shared" si="44"/>
        <v>112.09668113463556</v>
      </c>
      <c r="N37" s="536">
        <f t="shared" si="45"/>
        <v>109.05020199253882</v>
      </c>
      <c r="O37" s="536">
        <f t="shared" si="46"/>
        <v>126.65337081204122</v>
      </c>
      <c r="P37" s="536"/>
      <c r="Q37" s="536"/>
      <c r="R37" s="536"/>
      <c r="S37" s="536"/>
      <c r="T37" s="536"/>
      <c r="U37" s="536"/>
      <c r="V37" s="536"/>
      <c r="W37" s="536"/>
      <c r="X37" s="536"/>
      <c r="Y37" s="536"/>
    </row>
    <row r="38" spans="2:25">
      <c r="B38" s="534">
        <v>2005</v>
      </c>
      <c r="C38" s="536">
        <f t="shared" si="34"/>
        <v>104.683914348816</v>
      </c>
      <c r="D38" s="536">
        <f t="shared" si="35"/>
        <v>101.94964351091349</v>
      </c>
      <c r="E38" s="536">
        <f t="shared" si="36"/>
        <v>99.735161177198819</v>
      </c>
      <c r="F38" s="536">
        <f t="shared" si="37"/>
        <v>107.7104016181564</v>
      </c>
      <c r="G38" s="536">
        <f t="shared" si="38"/>
        <v>116.9204556673578</v>
      </c>
      <c r="H38" s="536">
        <f t="shared" si="39"/>
        <v>120.43286807981571</v>
      </c>
      <c r="I38" s="536">
        <f t="shared" si="40"/>
        <v>122.8314960769377</v>
      </c>
      <c r="J38" s="536">
        <f t="shared" si="41"/>
        <v>126.45230284592049</v>
      </c>
      <c r="K38" s="536">
        <f t="shared" si="42"/>
        <v>125.70931848914208</v>
      </c>
      <c r="L38" s="536">
        <f t="shared" si="43"/>
        <v>118.73015676056991</v>
      </c>
      <c r="M38" s="536">
        <f t="shared" si="44"/>
        <v>111.79386679400882</v>
      </c>
      <c r="N38" s="536">
        <f t="shared" si="45"/>
        <v>108.90492275243787</v>
      </c>
      <c r="O38" s="536">
        <f t="shared" si="46"/>
        <v>126.45230284592049</v>
      </c>
      <c r="P38" s="536"/>
      <c r="Q38" s="536"/>
      <c r="R38" s="536"/>
      <c r="S38" s="536"/>
      <c r="T38" s="536"/>
      <c r="U38" s="536"/>
      <c r="V38" s="536"/>
      <c r="W38" s="536"/>
      <c r="X38" s="536"/>
      <c r="Y38" s="536"/>
    </row>
    <row r="39" spans="2:25">
      <c r="B39" s="534">
        <v>2006</v>
      </c>
      <c r="C39" s="536">
        <f t="shared" si="34"/>
        <v>104.56009779449903</v>
      </c>
      <c r="D39" s="536">
        <f t="shared" si="35"/>
        <v>101.73357238362105</v>
      </c>
      <c r="E39" s="536">
        <f t="shared" si="36"/>
        <v>99.760177344559679</v>
      </c>
      <c r="F39" s="536">
        <f t="shared" si="37"/>
        <v>107.5505675763504</v>
      </c>
      <c r="G39" s="536">
        <f t="shared" si="38"/>
        <v>116.2777039040443</v>
      </c>
      <c r="H39" s="536">
        <f t="shared" si="39"/>
        <v>120.32642592373416</v>
      </c>
      <c r="I39" s="536">
        <f t="shared" si="40"/>
        <v>122.66546902324043</v>
      </c>
      <c r="J39" s="536">
        <f t="shared" si="41"/>
        <v>126.2942958844458</v>
      </c>
      <c r="K39" s="536">
        <f t="shared" si="42"/>
        <v>125.63164109935661</v>
      </c>
      <c r="L39" s="536">
        <f t="shared" si="43"/>
        <v>118.37233558050985</v>
      </c>
      <c r="M39" s="536">
        <f t="shared" si="44"/>
        <v>111.53309842589927</v>
      </c>
      <c r="N39" s="536">
        <f t="shared" si="45"/>
        <v>98.508155282080082</v>
      </c>
      <c r="O39" s="536">
        <f t="shared" si="46"/>
        <v>126.2942958844458</v>
      </c>
      <c r="P39" s="536"/>
      <c r="Q39" s="536"/>
      <c r="R39" s="536"/>
      <c r="S39" s="536"/>
      <c r="T39" s="536"/>
      <c r="U39" s="536"/>
      <c r="V39" s="536"/>
      <c r="W39" s="536"/>
      <c r="X39" s="536"/>
      <c r="Y39" s="536"/>
    </row>
    <row r="40" spans="2:25">
      <c r="B40" s="534">
        <v>2007</v>
      </c>
      <c r="C40" s="536">
        <f t="shared" si="34"/>
        <v>94.030263691170177</v>
      </c>
      <c r="D40" s="536">
        <f t="shared" si="35"/>
        <v>91.241387508838187</v>
      </c>
      <c r="E40" s="536">
        <f t="shared" si="36"/>
        <v>89.231966473800085</v>
      </c>
      <c r="F40" s="536">
        <f t="shared" si="37"/>
        <v>96.680216463520821</v>
      </c>
      <c r="G40" s="536">
        <f t="shared" si="38"/>
        <v>104.6961627872596</v>
      </c>
      <c r="H40" s="536">
        <f t="shared" si="39"/>
        <v>107.84693133261744</v>
      </c>
      <c r="I40" s="536">
        <f t="shared" si="40"/>
        <v>109.64282999178189</v>
      </c>
      <c r="J40" s="536">
        <f t="shared" si="41"/>
        <v>112.91275320239833</v>
      </c>
      <c r="K40" s="536">
        <f t="shared" si="42"/>
        <v>113.30700876886439</v>
      </c>
      <c r="L40" s="536">
        <f t="shared" si="43"/>
        <v>108.57698321701147</v>
      </c>
      <c r="M40" s="536">
        <f t="shared" si="44"/>
        <v>101.1850548155423</v>
      </c>
      <c r="N40" s="536">
        <f t="shared" si="45"/>
        <v>98.288028850532896</v>
      </c>
      <c r="O40" s="536">
        <f t="shared" si="46"/>
        <v>113.30700876886439</v>
      </c>
      <c r="P40" s="536"/>
      <c r="Q40" s="536"/>
      <c r="R40" s="536"/>
      <c r="S40" s="536"/>
      <c r="T40" s="536"/>
      <c r="U40" s="536"/>
      <c r="V40" s="536"/>
      <c r="W40" s="536"/>
      <c r="X40" s="536"/>
      <c r="Y40" s="536"/>
    </row>
    <row r="41" spans="2:25">
      <c r="B41" s="534">
        <v>2008</v>
      </c>
      <c r="C41" s="536">
        <f t="shared" si="34"/>
        <v>95.165550839959863</v>
      </c>
      <c r="D41" s="536">
        <f t="shared" si="35"/>
        <v>92.850940429354182</v>
      </c>
      <c r="E41" s="536">
        <f t="shared" si="36"/>
        <v>90.728500749787102</v>
      </c>
      <c r="F41" s="536">
        <f t="shared" si="37"/>
        <v>97.939653116511437</v>
      </c>
      <c r="G41" s="536">
        <f t="shared" si="38"/>
        <v>106.03315860910388</v>
      </c>
      <c r="H41" s="536">
        <f t="shared" si="39"/>
        <v>109.52657862519573</v>
      </c>
      <c r="I41" s="536">
        <f t="shared" si="40"/>
        <v>111.22339435584007</v>
      </c>
      <c r="J41" s="536">
        <f t="shared" si="41"/>
        <v>114.54019718714406</v>
      </c>
      <c r="K41" s="536">
        <f t="shared" si="42"/>
        <v>116.72108073824791</v>
      </c>
      <c r="L41" s="536">
        <f t="shared" si="43"/>
        <v>109.92925356909309</v>
      </c>
      <c r="M41" s="536">
        <f t="shared" si="44"/>
        <v>102.57601786255906</v>
      </c>
      <c r="N41" s="536">
        <f t="shared" si="45"/>
        <v>99.397048766260667</v>
      </c>
      <c r="O41" s="536">
        <f t="shared" si="46"/>
        <v>116.72108073824791</v>
      </c>
      <c r="P41" s="536"/>
      <c r="Q41" s="536"/>
      <c r="R41" s="536"/>
      <c r="S41" s="536"/>
      <c r="T41" s="536"/>
      <c r="U41" s="536"/>
      <c r="V41" s="536"/>
      <c r="W41" s="536"/>
      <c r="X41" s="536"/>
      <c r="Y41" s="536"/>
    </row>
    <row r="42" spans="2:25">
      <c r="B42" s="534">
        <v>2009</v>
      </c>
      <c r="C42" s="536">
        <f t="shared" si="34"/>
        <v>95.004112465676982</v>
      </c>
      <c r="D42" s="536">
        <f t="shared" si="35"/>
        <v>92.146646520689984</v>
      </c>
      <c r="E42" s="536">
        <f t="shared" si="36"/>
        <v>90.415410783138668</v>
      </c>
      <c r="F42" s="536">
        <f t="shared" si="37"/>
        <v>97.700259542113059</v>
      </c>
      <c r="G42" s="536">
        <f t="shared" si="38"/>
        <v>105.7216896465971</v>
      </c>
      <c r="H42" s="536">
        <f t="shared" si="39"/>
        <v>108.81220661188367</v>
      </c>
      <c r="I42" s="536">
        <f t="shared" si="40"/>
        <v>110.55980552017519</v>
      </c>
      <c r="J42" s="536">
        <f t="shared" si="41"/>
        <v>113.91690308841594</v>
      </c>
      <c r="K42" s="536">
        <f t="shared" si="42"/>
        <v>115.48972430086586</v>
      </c>
      <c r="L42" s="536">
        <f t="shared" si="43"/>
        <v>107.79479349110917</v>
      </c>
      <c r="M42" s="536">
        <f t="shared" si="44"/>
        <v>99.082882439873401</v>
      </c>
      <c r="N42" s="536">
        <f t="shared" si="45"/>
        <v>95.713947747348342</v>
      </c>
      <c r="O42" s="536">
        <f t="shared" si="46"/>
        <v>115.48972430086586</v>
      </c>
      <c r="P42" s="536"/>
      <c r="Q42" s="536"/>
      <c r="R42" s="536"/>
      <c r="S42" s="536"/>
      <c r="T42" s="536"/>
      <c r="U42" s="536"/>
      <c r="V42" s="536"/>
      <c r="W42" s="536"/>
      <c r="X42" s="536"/>
      <c r="Y42" s="536"/>
    </row>
    <row r="43" spans="2:25">
      <c r="B43" s="534">
        <v>2010</v>
      </c>
      <c r="C43" s="536">
        <f t="shared" si="34"/>
        <v>86.724938604846926</v>
      </c>
      <c r="D43" s="536">
        <f t="shared" si="35"/>
        <v>78.902917248453917</v>
      </c>
      <c r="E43" s="536">
        <f t="shared" si="36"/>
        <v>76.036111095970412</v>
      </c>
      <c r="F43" s="536">
        <f t="shared" si="37"/>
        <v>84.565585455349165</v>
      </c>
      <c r="G43" s="536">
        <f t="shared" si="38"/>
        <v>92.749097807518865</v>
      </c>
      <c r="H43" s="536">
        <f t="shared" si="39"/>
        <v>99.14689912977461</v>
      </c>
      <c r="I43" s="536">
        <f t="shared" si="40"/>
        <v>100.90012460787401</v>
      </c>
      <c r="J43" s="536">
        <f t="shared" si="41"/>
        <v>104.00284832074061</v>
      </c>
      <c r="K43" s="536">
        <f t="shared" si="42"/>
        <v>99.588840281583799</v>
      </c>
      <c r="L43" s="536">
        <f t="shared" si="43"/>
        <v>0</v>
      </c>
      <c r="M43" s="536">
        <f t="shared" si="44"/>
        <v>0</v>
      </c>
      <c r="N43" s="536">
        <f t="shared" si="45"/>
        <v>0</v>
      </c>
      <c r="O43" s="536">
        <f t="shared" si="46"/>
        <v>104.00284832074061</v>
      </c>
      <c r="P43" s="536"/>
      <c r="Q43" s="536"/>
      <c r="R43" s="536"/>
      <c r="S43" s="536"/>
      <c r="T43" s="536"/>
      <c r="U43" s="536"/>
      <c r="V43" s="536"/>
      <c r="W43" s="536"/>
      <c r="X43" s="536"/>
      <c r="Y43" s="536"/>
    </row>
    <row r="44" spans="2:25">
      <c r="C44" s="536"/>
    </row>
  </sheetData>
  <pageMargins left="0.75" right="0.75" top="1" bottom="1" header="0.5" footer="0.5"/>
  <pageSetup orientation="portrait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D18"/>
  <sheetViews>
    <sheetView zoomScale="75" zoomScaleNormal="75" workbookViewId="0"/>
  </sheetViews>
  <sheetFormatPr defaultColWidth="9.28515625" defaultRowHeight="12.75"/>
  <cols>
    <col min="1" max="1" width="63.85546875" style="12" bestFit="1" customWidth="1"/>
    <col min="2" max="6" width="24.5703125" style="12" customWidth="1"/>
    <col min="7" max="16384" width="9.28515625" style="12"/>
  </cols>
  <sheetData>
    <row r="2" spans="1:4" ht="18.75">
      <c r="A2" s="87" t="str">
        <f>Assumptions!A3</f>
        <v>PROJECT NAME:  Retail Shorts</v>
      </c>
    </row>
    <row r="4" spans="1:4" ht="18.75">
      <c r="A4" s="171" t="s">
        <v>124</v>
      </c>
    </row>
    <row r="6" spans="1:4" ht="13.5" thickBot="1"/>
    <row r="7" spans="1:4" ht="13.5" thickBot="1">
      <c r="A7" s="523"/>
      <c r="B7" s="479" t="s">
        <v>413</v>
      </c>
      <c r="C7" s="480" t="s">
        <v>0</v>
      </c>
      <c r="D7" s="481"/>
    </row>
    <row r="8" spans="1:4">
      <c r="A8" s="482"/>
      <c r="B8" s="295" t="s">
        <v>126</v>
      </c>
      <c r="C8" s="295" t="s">
        <v>2</v>
      </c>
      <c r="D8" s="483" t="s">
        <v>420</v>
      </c>
    </row>
    <row r="9" spans="1:4" ht="13.5" thickBot="1">
      <c r="A9" s="484" t="s">
        <v>123</v>
      </c>
      <c r="B9" s="485">
        <f>'Returns Analysis'!C39</f>
        <v>7.8562864661216744E-2</v>
      </c>
      <c r="C9" s="486">
        <f>Debt!E69</f>
        <v>1.4999999999999978</v>
      </c>
      <c r="D9" s="487">
        <f>Debt!E68</f>
        <v>1.4999999999999998</v>
      </c>
    </row>
    <row r="10" spans="1:4">
      <c r="A10" s="63"/>
      <c r="C10" s="488"/>
      <c r="D10" s="488"/>
    </row>
    <row r="11" spans="1:4" ht="13.5" thickBot="1"/>
    <row r="12" spans="1:4">
      <c r="A12" s="489" t="s">
        <v>378</v>
      </c>
      <c r="B12" s="490">
        <f>B9</f>
        <v>7.8562864661216744E-2</v>
      </c>
      <c r="C12" s="491">
        <f>C9</f>
        <v>1.4999999999999978</v>
      </c>
      <c r="D12" s="492">
        <f>D9</f>
        <v>1.4999999999999998</v>
      </c>
    </row>
    <row r="13" spans="1:4">
      <c r="A13" s="41"/>
      <c r="B13" s="13"/>
      <c r="C13" s="13"/>
      <c r="D13" s="40"/>
    </row>
    <row r="14" spans="1:4">
      <c r="A14" s="41"/>
      <c r="B14" s="13"/>
      <c r="C14" s="13"/>
      <c r="D14" s="40"/>
    </row>
    <row r="15" spans="1:4">
      <c r="A15" s="41"/>
      <c r="B15" s="13"/>
      <c r="C15" s="13"/>
      <c r="D15" s="40"/>
    </row>
    <row r="16" spans="1:4">
      <c r="A16" s="41"/>
      <c r="B16" s="13"/>
      <c r="C16" s="13"/>
      <c r="D16" s="40"/>
    </row>
    <row r="17" spans="1:4">
      <c r="A17" s="41"/>
      <c r="B17" s="13"/>
      <c r="C17" s="13"/>
      <c r="D17" s="40"/>
    </row>
    <row r="18" spans="1:4" ht="13.5" thickBot="1">
      <c r="A18" s="173"/>
      <c r="B18" s="42"/>
      <c r="C18" s="42"/>
      <c r="D18" s="81"/>
    </row>
  </sheetData>
  <pageMargins left="0.45" right="0.45" top="0.5" bottom="0.5" header="0.25" footer="0.25"/>
  <pageSetup scale="90" orientation="landscape" r:id="rId1"/>
  <headerFooter alignWithMargins="0">
    <oddFooter xml:space="preserve">&amp;L&amp;T, &amp;D&amp;C&amp;F&amp;R&amp;P 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pageSetUpPr fitToPage="1"/>
  </sheetPr>
  <dimension ref="A1:AL153"/>
  <sheetViews>
    <sheetView tabSelected="1" topLeftCell="A53" zoomScale="75" zoomScaleNormal="75" workbookViewId="0">
      <selection activeCell="H54" sqref="H54"/>
    </sheetView>
  </sheetViews>
  <sheetFormatPr defaultRowHeight="12.75"/>
  <cols>
    <col min="1" max="1" width="53.85546875" style="12" customWidth="1"/>
    <col min="2" max="2" width="20.140625" style="12" customWidth="1"/>
    <col min="3" max="3" width="20.7109375" style="12" bestFit="1" customWidth="1"/>
    <col min="4" max="4" width="17.85546875" style="12" customWidth="1"/>
    <col min="5" max="5" width="4.28515625" style="12" customWidth="1"/>
    <col min="6" max="6" width="35" style="12" customWidth="1"/>
    <col min="7" max="7" width="18" style="12" customWidth="1"/>
    <col min="8" max="8" width="18.28515625" style="12" customWidth="1"/>
    <col min="9" max="10" width="17.85546875" style="12" customWidth="1"/>
    <col min="11" max="11" width="5" style="12" customWidth="1"/>
    <col min="12" max="12" width="34.7109375" style="12" customWidth="1"/>
    <col min="13" max="13" width="13.28515625" style="12" customWidth="1"/>
    <col min="14" max="23" width="12.85546875" style="12" customWidth="1"/>
    <col min="24" max="24" width="16" style="12" bestFit="1" customWidth="1"/>
    <col min="25" max="25" width="17.85546875" style="12" bestFit="1" customWidth="1"/>
    <col min="26" max="27" width="12" style="12" customWidth="1"/>
    <col min="28" max="28" width="13.7109375" style="12" bestFit="1" customWidth="1"/>
    <col min="29" max="33" width="12" style="12" customWidth="1"/>
    <col min="34" max="34" width="9.140625" style="12"/>
    <col min="35" max="37" width="10" style="12" customWidth="1"/>
    <col min="38" max="38" width="12" style="12" customWidth="1"/>
    <col min="39" max="39" width="17.5703125" style="12" customWidth="1"/>
    <col min="40" max="40" width="22.42578125" style="12" customWidth="1"/>
    <col min="41" max="41" width="19" style="12" customWidth="1"/>
    <col min="42" max="42" width="10.28515625" style="12" customWidth="1"/>
    <col min="43" max="62" width="13.140625" style="12" customWidth="1"/>
    <col min="63" max="63" width="9.140625" style="12"/>
    <col min="64" max="73" width="10" style="12" customWidth="1"/>
    <col min="74" max="74" width="9.140625" style="12"/>
    <col min="75" max="80" width="10" style="12" customWidth="1"/>
    <col min="81" max="81" width="9.140625" style="12"/>
    <col min="82" max="87" width="10" style="12" customWidth="1"/>
    <col min="88" max="16384" width="9.140625" style="12"/>
  </cols>
  <sheetData>
    <row r="1" spans="1:38" ht="25.5" hidden="1">
      <c r="A1" s="245" t="s">
        <v>84</v>
      </c>
      <c r="I1" s="80"/>
      <c r="AL1" s="80"/>
    </row>
    <row r="2" spans="1:38" ht="13.5" customHeight="1">
      <c r="A2" s="245"/>
      <c r="I2" s="80"/>
      <c r="AL2" s="80"/>
    </row>
    <row r="3" spans="1:38" ht="19.5" customHeight="1">
      <c r="A3" s="179" t="s">
        <v>462</v>
      </c>
      <c r="I3" s="80"/>
      <c r="AL3" s="80"/>
    </row>
    <row r="4" spans="1:38" s="5" customFormat="1" ht="19.5" customHeight="1">
      <c r="A4" s="246"/>
      <c r="I4" s="177"/>
      <c r="AL4" s="177"/>
    </row>
    <row r="5" spans="1:38" ht="19.5" customHeight="1">
      <c r="A5" s="171" t="s">
        <v>3</v>
      </c>
      <c r="C5" s="5"/>
      <c r="D5" s="5"/>
    </row>
    <row r="7" spans="1:38" ht="13.5" thickBot="1"/>
    <row r="8" spans="1:38" ht="15.75">
      <c r="A8" s="95" t="s">
        <v>4</v>
      </c>
      <c r="B8" s="38"/>
      <c r="C8" s="38"/>
      <c r="D8" s="185"/>
      <c r="E8" s="13"/>
      <c r="F8" s="94" t="s">
        <v>92</v>
      </c>
      <c r="G8" s="114"/>
      <c r="H8" s="115"/>
      <c r="I8" s="200"/>
      <c r="J8" s="39"/>
      <c r="L8" s="95" t="s">
        <v>204</v>
      </c>
      <c r="M8" s="120"/>
      <c r="N8" s="38"/>
      <c r="O8" s="38"/>
      <c r="P8" s="39"/>
      <c r="U8" s="339" t="s">
        <v>237</v>
      </c>
      <c r="V8" s="340" t="s">
        <v>242</v>
      </c>
      <c r="W8" s="340" t="s">
        <v>246</v>
      </c>
      <c r="X8" s="340" t="s">
        <v>125</v>
      </c>
      <c r="Y8" s="340" t="s">
        <v>262</v>
      </c>
      <c r="Z8" s="340" t="s">
        <v>263</v>
      </c>
      <c r="AA8" s="340" t="s">
        <v>264</v>
      </c>
      <c r="AB8" s="362" t="s">
        <v>323</v>
      </c>
    </row>
    <row r="9" spans="1:38" ht="15.75">
      <c r="A9" s="41"/>
      <c r="B9" s="13"/>
      <c r="C9" s="13"/>
      <c r="D9" s="40"/>
      <c r="E9" s="13"/>
      <c r="F9" s="117"/>
      <c r="G9" s="176"/>
      <c r="H9" s="176"/>
      <c r="I9" s="13"/>
      <c r="J9" s="40"/>
      <c r="L9" s="119" t="s">
        <v>311</v>
      </c>
      <c r="M9" s="13"/>
      <c r="N9" s="13"/>
      <c r="O9" s="13"/>
      <c r="P9" s="40"/>
      <c r="U9" s="329" t="s">
        <v>241</v>
      </c>
      <c r="V9" s="330" t="s">
        <v>243</v>
      </c>
      <c r="W9" s="330" t="s">
        <v>317</v>
      </c>
      <c r="X9" s="330" t="s">
        <v>258</v>
      </c>
      <c r="Y9" s="330" t="s">
        <v>267</v>
      </c>
      <c r="Z9" s="330" t="s">
        <v>265</v>
      </c>
      <c r="AA9" s="330" t="s">
        <v>265</v>
      </c>
      <c r="AB9" s="363" t="s">
        <v>326</v>
      </c>
    </row>
    <row r="10" spans="1:38" ht="15.75">
      <c r="A10" s="96" t="s">
        <v>6</v>
      </c>
      <c r="B10" s="97" t="s">
        <v>7</v>
      </c>
      <c r="C10" s="194" t="s">
        <v>8</v>
      </c>
      <c r="D10" s="348" t="s">
        <v>199</v>
      </c>
      <c r="E10" s="13"/>
      <c r="F10" s="117" t="s">
        <v>106</v>
      </c>
      <c r="G10" s="13"/>
      <c r="H10" s="219" t="s">
        <v>120</v>
      </c>
      <c r="I10" s="13"/>
      <c r="J10" s="40"/>
      <c r="L10" s="41"/>
      <c r="M10" s="13"/>
      <c r="N10" s="13"/>
      <c r="O10" s="13"/>
      <c r="P10" s="40"/>
      <c r="U10" s="293" t="s">
        <v>238</v>
      </c>
      <c r="V10" s="205" t="s">
        <v>244</v>
      </c>
      <c r="W10" s="205" t="s">
        <v>318</v>
      </c>
      <c r="X10" s="205" t="s">
        <v>256</v>
      </c>
      <c r="Y10" s="205" t="s">
        <v>332</v>
      </c>
      <c r="Z10" s="205" t="s">
        <v>266</v>
      </c>
      <c r="AA10" s="205" t="s">
        <v>266</v>
      </c>
      <c r="AB10" s="364" t="s">
        <v>324</v>
      </c>
    </row>
    <row r="11" spans="1:38" ht="15.75">
      <c r="A11" s="99" t="s">
        <v>9</v>
      </c>
      <c r="B11" s="270">
        <f>C11/C14</f>
        <v>0.29061638358368519</v>
      </c>
      <c r="C11" s="195">
        <f>C58-C12</f>
        <v>30435.069278949784</v>
      </c>
      <c r="D11" s="349">
        <f>C11/$H$68</f>
        <v>161.88866637739247</v>
      </c>
      <c r="E11" s="13"/>
      <c r="F11" s="117" t="s">
        <v>216</v>
      </c>
      <c r="G11" s="13"/>
      <c r="H11" s="284">
        <v>14260.449607331708</v>
      </c>
      <c r="I11" s="13"/>
      <c r="J11" s="40"/>
      <c r="L11" s="119" t="s">
        <v>131</v>
      </c>
      <c r="M11" s="13"/>
      <c r="N11" s="261">
        <v>0.03</v>
      </c>
      <c r="O11" s="221"/>
      <c r="P11" s="40"/>
      <c r="U11" s="293" t="s">
        <v>39</v>
      </c>
      <c r="V11" s="205" t="s">
        <v>241</v>
      </c>
      <c r="W11" s="205"/>
      <c r="X11" s="205" t="s">
        <v>319</v>
      </c>
      <c r="Y11" s="205"/>
      <c r="Z11" s="205"/>
      <c r="AA11" s="205"/>
      <c r="AB11" s="364" t="s">
        <v>325</v>
      </c>
    </row>
    <row r="12" spans="1:38" ht="15.75">
      <c r="A12" s="99" t="s">
        <v>87</v>
      </c>
      <c r="B12" s="152">
        <f>C12/C14</f>
        <v>0.70938361641631476</v>
      </c>
      <c r="C12" s="195">
        <f>Debt!B19</f>
        <v>74290.854647447763</v>
      </c>
      <c r="D12" s="349">
        <f>C12/$H$68</f>
        <v>395.16412046514768</v>
      </c>
      <c r="E12" s="13"/>
      <c r="F12" s="117" t="s">
        <v>11</v>
      </c>
      <c r="G12" s="176"/>
      <c r="H12" s="251">
        <v>4</v>
      </c>
      <c r="I12" s="111"/>
      <c r="J12" s="40"/>
      <c r="L12" s="102"/>
      <c r="M12" s="13"/>
      <c r="N12" s="13"/>
      <c r="O12" s="221"/>
      <c r="P12" s="40"/>
      <c r="U12" s="341"/>
      <c r="V12" s="205" t="s">
        <v>39</v>
      </c>
      <c r="W12" s="13"/>
      <c r="X12" s="205" t="s">
        <v>261</v>
      </c>
      <c r="Y12" s="13"/>
      <c r="Z12" s="13"/>
      <c r="AA12" s="13"/>
      <c r="AB12" s="335"/>
    </row>
    <row r="13" spans="1:38" ht="15.75">
      <c r="A13" s="100"/>
      <c r="B13" s="247"/>
      <c r="C13" s="195"/>
      <c r="D13" s="349"/>
      <c r="E13" s="13"/>
      <c r="F13" s="117" t="s">
        <v>270</v>
      </c>
      <c r="G13" s="176"/>
      <c r="H13" s="252">
        <v>47</v>
      </c>
      <c r="I13" s="111"/>
      <c r="J13" s="40"/>
      <c r="L13" s="119" t="s">
        <v>89</v>
      </c>
      <c r="M13" s="13"/>
      <c r="N13" s="98"/>
      <c r="O13" s="221"/>
      <c r="P13" s="40"/>
      <c r="U13" s="329">
        <v>3</v>
      </c>
      <c r="V13" s="330">
        <v>1</v>
      </c>
      <c r="W13" s="330">
        <v>1</v>
      </c>
      <c r="X13" s="330">
        <v>1</v>
      </c>
      <c r="Y13" s="330">
        <v>2</v>
      </c>
      <c r="Z13" s="330">
        <v>1</v>
      </c>
      <c r="AA13" s="330">
        <f>IF(C28&gt;0,1,2)</f>
        <v>1</v>
      </c>
      <c r="AB13" s="363">
        <v>1</v>
      </c>
    </row>
    <row r="14" spans="1:38" ht="15.75">
      <c r="A14" s="101" t="s">
        <v>10</v>
      </c>
      <c r="B14" s="149">
        <f>C14/$C$14</f>
        <v>1</v>
      </c>
      <c r="C14" s="196">
        <f>SUM(C11:C12)</f>
        <v>104725.92392639755</v>
      </c>
      <c r="D14" s="454">
        <f>C14/$H$68</f>
        <v>557.05278684254017</v>
      </c>
      <c r="E14" s="13"/>
      <c r="F14" s="117" t="s">
        <v>381</v>
      </c>
      <c r="G14" s="176"/>
      <c r="H14" s="251">
        <v>10100</v>
      </c>
      <c r="I14" s="13"/>
      <c r="J14" s="40"/>
      <c r="L14" s="41"/>
      <c r="M14" s="13"/>
      <c r="N14" s="273" t="s">
        <v>201</v>
      </c>
      <c r="O14" s="204" t="s">
        <v>175</v>
      </c>
      <c r="P14" s="201" t="s">
        <v>428</v>
      </c>
      <c r="U14" s="294" t="str">
        <f>CHOOSE(U13,U9,U10,U11)</f>
        <v>Custom</v>
      </c>
      <c r="V14" s="295" t="str">
        <f>CHOOSE(V13,V9,V10,V11,V12)</f>
        <v>Base</v>
      </c>
      <c r="W14" s="295" t="str">
        <f>CHOOSE(W13,W9,W10,W11,W12)</f>
        <v>Pass-through</v>
      </c>
      <c r="X14" s="295" t="str">
        <f>CHOOSE(X13,X9,X10,X11,X12)</f>
        <v>EBITDA Exit Multiple</v>
      </c>
      <c r="Y14" s="295">
        <f>IF(Y13=1,1,2)</f>
        <v>2</v>
      </c>
      <c r="Z14" s="295">
        <f>IF(C32&gt;0,10,20)</f>
        <v>10</v>
      </c>
      <c r="AA14" s="295" t="str">
        <f>CHOOSE(AA13,AA9,AA10,AA11,AA12)</f>
        <v>Yes</v>
      </c>
      <c r="AB14" s="331" t="str">
        <f>CHOOSE(AB13,AB9,AB10,AB11,AB12)</f>
        <v>Bank LT Debt</v>
      </c>
    </row>
    <row r="15" spans="1:38" ht="15.75">
      <c r="A15" s="41"/>
      <c r="B15" s="13"/>
      <c r="C15" s="13"/>
      <c r="D15" s="351"/>
      <c r="E15" s="13"/>
      <c r="F15" s="117" t="s">
        <v>382</v>
      </c>
      <c r="G15" s="176"/>
      <c r="H15" s="251">
        <v>10200</v>
      </c>
      <c r="I15" s="111"/>
      <c r="J15" s="40"/>
      <c r="L15" s="102" t="s">
        <v>202</v>
      </c>
      <c r="M15" s="13"/>
      <c r="N15" s="546">
        <v>153.19999999999999</v>
      </c>
      <c r="O15" s="222"/>
      <c r="P15" s="262">
        <v>0.59</v>
      </c>
    </row>
    <row r="16" spans="1:38" ht="15.75">
      <c r="A16" s="119" t="s">
        <v>472</v>
      </c>
      <c r="B16" s="559" t="s">
        <v>265</v>
      </c>
      <c r="C16" s="13"/>
      <c r="D16" s="351"/>
      <c r="E16" s="13"/>
      <c r="F16" s="117" t="s">
        <v>194</v>
      </c>
      <c r="G16" s="13"/>
      <c r="H16" s="548">
        <v>8</v>
      </c>
      <c r="I16" s="13"/>
      <c r="J16" s="40"/>
      <c r="L16" s="105" t="s">
        <v>250</v>
      </c>
      <c r="M16" s="13"/>
      <c r="N16" s="547">
        <v>576.9</v>
      </c>
      <c r="O16" s="298"/>
      <c r="P16" s="299">
        <v>1.64</v>
      </c>
      <c r="U16" s="333"/>
      <c r="V16" s="57" t="s">
        <v>271</v>
      </c>
      <c r="W16" s="334" t="s">
        <v>272</v>
      </c>
    </row>
    <row r="17" spans="1:23" ht="15.75">
      <c r="A17" s="558" t="s">
        <v>105</v>
      </c>
      <c r="B17" s="168"/>
      <c r="C17" s="13"/>
      <c r="D17" s="351"/>
      <c r="E17" s="13"/>
      <c r="F17" s="117" t="s">
        <v>108</v>
      </c>
      <c r="G17" s="176"/>
      <c r="H17" s="254">
        <v>37012</v>
      </c>
      <c r="I17" s="13"/>
      <c r="J17" s="40"/>
      <c r="L17" s="117" t="s">
        <v>247</v>
      </c>
      <c r="M17" s="6"/>
      <c r="N17" s="276">
        <f>SUM(N15:N16)</f>
        <v>730.09999999999991</v>
      </c>
      <c r="O17" s="223"/>
      <c r="P17" s="300">
        <f>SUM(P15:P16)</f>
        <v>2.23</v>
      </c>
      <c r="U17" s="55" t="s">
        <v>267</v>
      </c>
      <c r="V17" s="13">
        <v>11</v>
      </c>
      <c r="W17" s="335">
        <v>21</v>
      </c>
    </row>
    <row r="18" spans="1:23" ht="15.75">
      <c r="A18" s="99" t="s">
        <v>422</v>
      </c>
      <c r="B18" s="13"/>
      <c r="C18" s="13"/>
      <c r="D18" s="351"/>
      <c r="E18" s="13"/>
      <c r="F18" s="102" t="s">
        <v>134</v>
      </c>
      <c r="G18" s="98"/>
      <c r="H18" s="276">
        <f>13-MONTH(H17)</f>
        <v>8</v>
      </c>
      <c r="I18" s="111"/>
      <c r="J18" s="40"/>
      <c r="L18" s="41"/>
      <c r="M18" s="13"/>
      <c r="N18" s="13"/>
      <c r="O18" s="13"/>
      <c r="P18" s="545" t="s">
        <v>461</v>
      </c>
      <c r="U18" s="336" t="s">
        <v>268</v>
      </c>
      <c r="V18" s="58">
        <v>12</v>
      </c>
      <c r="W18" s="296">
        <v>22</v>
      </c>
    </row>
    <row r="19" spans="1:23" ht="15.75">
      <c r="A19" s="102" t="s">
        <v>423</v>
      </c>
      <c r="B19" s="169">
        <f t="shared" ref="B19:B33" si="0">C19/$C$58</f>
        <v>0.54467696526999743</v>
      </c>
      <c r="C19" s="197">
        <f>H11*H12</f>
        <v>57041.798429326831</v>
      </c>
      <c r="D19" s="349">
        <f t="shared" ref="D19:D33" si="1">C19/$H$68</f>
        <v>303.41382143258954</v>
      </c>
      <c r="E19" s="13"/>
      <c r="F19" s="117" t="s">
        <v>107</v>
      </c>
      <c r="G19" s="13"/>
      <c r="H19" s="251">
        <v>10</v>
      </c>
      <c r="I19" s="111"/>
      <c r="J19" s="40"/>
      <c r="L19" s="102" t="s">
        <v>203</v>
      </c>
      <c r="M19" s="13"/>
      <c r="N19" s="253">
        <v>450</v>
      </c>
      <c r="O19" s="272">
        <f t="shared" ref="O19:O25" si="2">N19/$H$68</f>
        <v>2.3936170212765959</v>
      </c>
      <c r="P19" s="40"/>
    </row>
    <row r="20" spans="1:23" ht="15.75">
      <c r="A20" s="102" t="s">
        <v>259</v>
      </c>
      <c r="B20" s="169">
        <f t="shared" si="0"/>
        <v>2.3680860545503227E-3</v>
      </c>
      <c r="C20" s="197">
        <f>62*H12</f>
        <v>248</v>
      </c>
      <c r="D20" s="349">
        <f t="shared" si="1"/>
        <v>1.3191489361702127</v>
      </c>
      <c r="E20" s="13"/>
      <c r="F20" s="117" t="s">
        <v>304</v>
      </c>
      <c r="G20" s="13"/>
      <c r="H20" s="338" t="s">
        <v>305</v>
      </c>
      <c r="I20" s="111"/>
      <c r="J20" s="40"/>
      <c r="L20" s="102" t="s">
        <v>35</v>
      </c>
      <c r="M20" s="13"/>
      <c r="N20" s="253">
        <v>200</v>
      </c>
      <c r="O20" s="272">
        <f t="shared" si="2"/>
        <v>1.0638297872340425</v>
      </c>
      <c r="P20" s="40"/>
    </row>
    <row r="21" spans="1:23" ht="15.75">
      <c r="A21" s="46" t="s">
        <v>474</v>
      </c>
      <c r="B21" s="169">
        <f t="shared" si="0"/>
        <v>1.7187721363671696E-2</v>
      </c>
      <c r="C21" s="197">
        <f>450*H12</f>
        <v>1800</v>
      </c>
      <c r="D21" s="349">
        <f t="shared" si="1"/>
        <v>9.5744680851063837</v>
      </c>
      <c r="E21" s="13"/>
      <c r="F21" s="41"/>
      <c r="G21" s="13"/>
      <c r="H21" s="13"/>
      <c r="I21" s="13"/>
      <c r="J21" s="40"/>
      <c r="L21" s="102" t="s">
        <v>36</v>
      </c>
      <c r="M21" s="13"/>
      <c r="N21" s="253">
        <v>150</v>
      </c>
      <c r="O21" s="272">
        <f t="shared" si="2"/>
        <v>0.7978723404255319</v>
      </c>
      <c r="P21" s="40"/>
    </row>
    <row r="22" spans="1:23" ht="15.75">
      <c r="A22" s="102" t="s">
        <v>177</v>
      </c>
      <c r="B22" s="169">
        <f t="shared" si="0"/>
        <v>0.22093860939590873</v>
      </c>
      <c r="C22" s="249">
        <v>23138</v>
      </c>
      <c r="D22" s="349">
        <f t="shared" si="1"/>
        <v>123.07446808510639</v>
      </c>
      <c r="E22" s="13"/>
      <c r="F22" s="116" t="s">
        <v>257</v>
      </c>
      <c r="G22" s="13"/>
      <c r="H22" s="328"/>
      <c r="I22" s="13"/>
      <c r="J22" s="40"/>
      <c r="L22" s="102" t="s">
        <v>354</v>
      </c>
      <c r="M22" s="13"/>
      <c r="N22" s="253">
        <v>0</v>
      </c>
      <c r="O22" s="272">
        <f t="shared" si="2"/>
        <v>0</v>
      </c>
      <c r="P22" s="40"/>
    </row>
    <row r="23" spans="1:23" ht="15.75">
      <c r="A23" s="102" t="s">
        <v>110</v>
      </c>
      <c r="B23" s="169">
        <f t="shared" si="0"/>
        <v>1.432310113639308E-2</v>
      </c>
      <c r="C23" s="249">
        <v>1500</v>
      </c>
      <c r="D23" s="349">
        <f t="shared" si="1"/>
        <v>7.9787234042553195</v>
      </c>
      <c r="E23" s="13"/>
      <c r="F23" s="327" t="s">
        <v>258</v>
      </c>
      <c r="G23" s="176"/>
      <c r="H23" s="326">
        <v>5</v>
      </c>
      <c r="I23" s="360"/>
      <c r="J23" s="40"/>
      <c r="L23" s="102" t="s">
        <v>45</v>
      </c>
      <c r="M23" s="13"/>
      <c r="N23" s="253">
        <v>0</v>
      </c>
      <c r="O23" s="272">
        <f t="shared" si="2"/>
        <v>0</v>
      </c>
      <c r="P23" s="40"/>
    </row>
    <row r="24" spans="1:23" ht="15.75">
      <c r="A24" s="102" t="s">
        <v>111</v>
      </c>
      <c r="B24" s="169">
        <f t="shared" si="0"/>
        <v>1.0837813193204097E-2</v>
      </c>
      <c r="C24" s="249">
        <v>1135</v>
      </c>
      <c r="D24" s="349">
        <f t="shared" si="1"/>
        <v>6.0372340425531918</v>
      </c>
      <c r="E24" s="13"/>
      <c r="F24" s="327" t="s">
        <v>380</v>
      </c>
      <c r="G24" s="13"/>
      <c r="H24" s="359">
        <v>0.2</v>
      </c>
      <c r="I24" s="111"/>
      <c r="J24" s="40"/>
      <c r="L24" s="102" t="s">
        <v>37</v>
      </c>
      <c r="M24" s="13"/>
      <c r="N24" s="253">
        <v>0</v>
      </c>
      <c r="O24" s="272">
        <f t="shared" si="2"/>
        <v>0</v>
      </c>
      <c r="P24" s="40"/>
    </row>
    <row r="25" spans="1:23" ht="16.5" thickBot="1">
      <c r="A25" s="102" t="s">
        <v>112</v>
      </c>
      <c r="B25" s="169">
        <f t="shared" si="0"/>
        <v>4.5833923636457857E-2</v>
      </c>
      <c r="C25" s="249">
        <v>4800</v>
      </c>
      <c r="D25" s="349">
        <f t="shared" si="1"/>
        <v>25.531914893617021</v>
      </c>
      <c r="E25" s="13"/>
      <c r="F25" s="248" t="s">
        <v>199</v>
      </c>
      <c r="G25" s="42"/>
      <c r="H25" s="358">
        <v>250</v>
      </c>
      <c r="I25" s="42"/>
      <c r="J25" s="81"/>
      <c r="L25" s="105" t="s">
        <v>38</v>
      </c>
      <c r="M25" s="217"/>
      <c r="N25" s="297">
        <v>200</v>
      </c>
      <c r="O25" s="301">
        <f t="shared" si="2"/>
        <v>1.0638297872340425</v>
      </c>
      <c r="P25" s="40"/>
    </row>
    <row r="26" spans="1:23" ht="16.5" thickBot="1">
      <c r="A26" s="102" t="s">
        <v>113</v>
      </c>
      <c r="B26" s="169">
        <f t="shared" si="0"/>
        <v>0</v>
      </c>
      <c r="C26" s="249">
        <v>0</v>
      </c>
      <c r="D26" s="349">
        <f t="shared" si="1"/>
        <v>0</v>
      </c>
      <c r="E26" s="13"/>
      <c r="L26" s="117" t="s">
        <v>248</v>
      </c>
      <c r="M26" s="6"/>
      <c r="N26" s="276">
        <f>SUM(N19:N25)</f>
        <v>1000</v>
      </c>
      <c r="O26" s="302">
        <f>SUM(O19:O25)</f>
        <v>5.3191489361702127</v>
      </c>
      <c r="P26" s="365"/>
    </row>
    <row r="27" spans="1:23" ht="15.75">
      <c r="A27" s="102" t="s">
        <v>114</v>
      </c>
      <c r="B27" s="169">
        <f t="shared" si="0"/>
        <v>0</v>
      </c>
      <c r="C27" s="249">
        <v>0</v>
      </c>
      <c r="D27" s="349">
        <f t="shared" si="1"/>
        <v>0</v>
      </c>
      <c r="E27" s="13"/>
      <c r="F27" s="95" t="s">
        <v>119</v>
      </c>
      <c r="G27" s="38"/>
      <c r="H27" s="38"/>
      <c r="I27" s="84"/>
      <c r="J27" s="39"/>
      <c r="L27" s="41"/>
      <c r="M27" s="13"/>
      <c r="N27" s="13"/>
      <c r="O27" s="13"/>
      <c r="P27" s="40"/>
      <c r="R27" s="3"/>
    </row>
    <row r="28" spans="1:23" ht="15.75">
      <c r="A28" s="102" t="s">
        <v>337</v>
      </c>
      <c r="B28" s="169">
        <f t="shared" si="0"/>
        <v>5.8724714659211634E-3</v>
      </c>
      <c r="C28" s="249">
        <v>615</v>
      </c>
      <c r="D28" s="349">
        <f t="shared" si="1"/>
        <v>3.271276595744681</v>
      </c>
      <c r="E28" s="13"/>
      <c r="F28" s="356" t="s">
        <v>117</v>
      </c>
      <c r="G28" s="357"/>
      <c r="H28" s="357" t="s">
        <v>322</v>
      </c>
      <c r="I28" s="180"/>
      <c r="J28" s="332"/>
      <c r="L28" s="119" t="s">
        <v>90</v>
      </c>
      <c r="M28" s="13"/>
      <c r="N28" s="162"/>
      <c r="O28" s="223"/>
      <c r="P28" s="40"/>
      <c r="R28" s="3"/>
    </row>
    <row r="29" spans="1:23" ht="15.75">
      <c r="A29" s="102" t="s">
        <v>115</v>
      </c>
      <c r="B29" s="169">
        <f t="shared" si="0"/>
        <v>0</v>
      </c>
      <c r="C29" s="249">
        <v>0</v>
      </c>
      <c r="D29" s="349">
        <f t="shared" si="1"/>
        <v>0</v>
      </c>
      <c r="E29" s="13"/>
      <c r="F29" s="327" t="s">
        <v>85</v>
      </c>
      <c r="G29" s="254">
        <v>36617</v>
      </c>
      <c r="H29" s="355"/>
      <c r="I29" s="180"/>
      <c r="J29" s="332"/>
      <c r="L29" s="102" t="s">
        <v>237</v>
      </c>
      <c r="M29" s="13"/>
      <c r="N29" s="276">
        <f>IS!C18</f>
        <v>4087.7651219999998</v>
      </c>
      <c r="O29" s="223">
        <f>N29/$H$68</f>
        <v>21.7434315</v>
      </c>
      <c r="P29" s="40"/>
      <c r="R29" s="343"/>
    </row>
    <row r="30" spans="1:23" ht="15.75">
      <c r="A30" s="102" t="s">
        <v>178</v>
      </c>
      <c r="B30" s="169">
        <f t="shared" si="0"/>
        <v>0</v>
      </c>
      <c r="C30" s="249">
        <v>0</v>
      </c>
      <c r="D30" s="349">
        <f t="shared" si="1"/>
        <v>0</v>
      </c>
      <c r="E30" s="13"/>
      <c r="F30" s="327" t="s">
        <v>127</v>
      </c>
      <c r="G30" s="254">
        <v>36557</v>
      </c>
      <c r="H30" s="355"/>
      <c r="I30" s="180"/>
      <c r="J30" s="332"/>
      <c r="L30" s="102" t="s">
        <v>215</v>
      </c>
      <c r="M30" s="13"/>
      <c r="N30" s="276">
        <f>IS!C25/IS!C6</f>
        <v>600</v>
      </c>
      <c r="O30" s="223">
        <f>N30/$H$68</f>
        <v>3.1914893617021276</v>
      </c>
      <c r="P30" s="544">
        <v>0.02</v>
      </c>
      <c r="R30" s="3"/>
    </row>
    <row r="31" spans="1:23" ht="15.75">
      <c r="A31" s="102" t="s">
        <v>179</v>
      </c>
      <c r="B31" s="169">
        <f t="shared" si="0"/>
        <v>0</v>
      </c>
      <c r="C31" s="249">
        <v>0</v>
      </c>
      <c r="D31" s="349">
        <f t="shared" si="1"/>
        <v>0</v>
      </c>
      <c r="E31" s="13"/>
      <c r="F31" s="41"/>
      <c r="G31" s="13"/>
      <c r="H31" s="6"/>
      <c r="I31" s="180"/>
      <c r="J31" s="332"/>
      <c r="L31" s="102" t="s">
        <v>205</v>
      </c>
      <c r="M31" s="13"/>
      <c r="N31" s="276">
        <f>IS!C26/IS!C6</f>
        <v>255.49006961967399</v>
      </c>
      <c r="O31" s="223">
        <f>N31/$H$68</f>
        <v>1.3589897320195425</v>
      </c>
      <c r="P31" s="40"/>
      <c r="R31" s="3"/>
    </row>
    <row r="32" spans="1:23" ht="15.75">
      <c r="A32" s="102" t="s">
        <v>429</v>
      </c>
      <c r="B32" s="169">
        <f t="shared" si="0"/>
        <v>3.8777409143261533E-2</v>
      </c>
      <c r="C32" s="249">
        <v>4061</v>
      </c>
      <c r="D32" s="349">
        <f t="shared" si="1"/>
        <v>21.601063829787233</v>
      </c>
      <c r="E32" s="13"/>
      <c r="F32" s="106" t="s">
        <v>14</v>
      </c>
      <c r="G32" s="107">
        <f>Debt!B19</f>
        <v>74290.854647447763</v>
      </c>
      <c r="H32" s="107"/>
      <c r="I32" s="180"/>
      <c r="J32" s="332"/>
      <c r="L32" s="102" t="s">
        <v>209</v>
      </c>
      <c r="M32" s="13"/>
      <c r="N32" s="276">
        <f>IS!C27/IS!C6</f>
        <v>0</v>
      </c>
      <c r="O32" s="223">
        <f>N32/$H$68</f>
        <v>0</v>
      </c>
      <c r="P32" s="40"/>
      <c r="Q32" s="66"/>
      <c r="R32" s="3"/>
    </row>
    <row r="33" spans="1:18" ht="16.5" thickBot="1">
      <c r="A33" s="105" t="s">
        <v>116</v>
      </c>
      <c r="B33" s="184">
        <f t="shared" si="0"/>
        <v>1.2413354318207337E-2</v>
      </c>
      <c r="C33" s="250">
        <v>1300</v>
      </c>
      <c r="D33" s="350">
        <f t="shared" si="1"/>
        <v>6.9148936170212769</v>
      </c>
      <c r="E33" s="13"/>
      <c r="F33" s="106" t="s">
        <v>15</v>
      </c>
      <c r="G33" s="255">
        <v>10</v>
      </c>
      <c r="H33" s="107"/>
      <c r="I33" s="180"/>
      <c r="J33" s="332"/>
      <c r="L33" s="104" t="s">
        <v>430</v>
      </c>
      <c r="M33" s="42"/>
      <c r="N33" s="279">
        <f>IS!C28/IS!C6</f>
        <v>0</v>
      </c>
      <c r="O33" s="224">
        <f>N33/$H$68</f>
        <v>0</v>
      </c>
      <c r="P33" s="81"/>
      <c r="R33" s="3"/>
    </row>
    <row r="34" spans="1:18" ht="16.5" thickBot="1">
      <c r="A34" s="102" t="s">
        <v>109</v>
      </c>
      <c r="B34" s="169">
        <f>SUM(B19:B33)</f>
        <v>0.91322945497757335</v>
      </c>
      <c r="C34" s="197">
        <f>SUM(C19:C33)</f>
        <v>95638.798429326824</v>
      </c>
      <c r="D34" s="349">
        <f>SUM(D19:D33)</f>
        <v>508.71701292195121</v>
      </c>
      <c r="E34" s="13"/>
      <c r="F34" s="106" t="s">
        <v>16</v>
      </c>
      <c r="G34" s="355">
        <v>40634</v>
      </c>
      <c r="H34" s="355"/>
      <c r="I34" s="180"/>
      <c r="J34" s="332"/>
      <c r="N34" s="199"/>
      <c r="R34" s="3"/>
    </row>
    <row r="35" spans="1:18" ht="15.75">
      <c r="A35" s="41"/>
      <c r="B35" s="13"/>
      <c r="C35" s="13"/>
      <c r="D35" s="351"/>
      <c r="E35" s="13"/>
      <c r="F35" s="106" t="s">
        <v>17</v>
      </c>
      <c r="G35" s="122">
        <f>Debt!E66</f>
        <v>3.2603098536813477</v>
      </c>
      <c r="H35" s="384" t="str">
        <f>IF(H32,Debt!#REF!," ")</f>
        <v xml:space="preserve"> </v>
      </c>
      <c r="I35" s="180"/>
      <c r="J35" s="332"/>
      <c r="L35" s="94" t="s">
        <v>22</v>
      </c>
      <c r="M35" s="115"/>
      <c r="N35" s="263"/>
      <c r="O35" s="120"/>
      <c r="P35" s="39"/>
      <c r="R35" s="5"/>
    </row>
    <row r="36" spans="1:18" ht="15.75">
      <c r="A36" s="99" t="s">
        <v>383</v>
      </c>
      <c r="B36" s="13"/>
      <c r="C36" s="13"/>
      <c r="D36" s="352"/>
      <c r="E36" s="13"/>
      <c r="F36" s="106"/>
      <c r="G36" s="13"/>
      <c r="H36" s="13"/>
      <c r="I36" s="180"/>
      <c r="J36" s="332"/>
      <c r="L36" s="41"/>
      <c r="M36" s="170"/>
      <c r="N36" s="13"/>
      <c r="O36" s="13"/>
      <c r="P36" s="40"/>
      <c r="R36" s="5"/>
    </row>
    <row r="37" spans="1:18" ht="15.75">
      <c r="A37" s="99" t="s">
        <v>166</v>
      </c>
      <c r="B37" s="169">
        <f t="shared" ref="B37:B49" si="3">C37/$C$58</f>
        <v>0</v>
      </c>
      <c r="C37" s="249">
        <v>0</v>
      </c>
      <c r="D37" s="349">
        <f t="shared" ref="D37:D50" si="4">C37/$H$68</f>
        <v>0</v>
      </c>
      <c r="E37" s="13"/>
      <c r="F37" s="102" t="s">
        <v>18</v>
      </c>
      <c r="G37" s="256">
        <v>6.5000000000000002E-2</v>
      </c>
      <c r="H37" s="256">
        <v>6.5000000000000002E-2</v>
      </c>
      <c r="I37" s="180"/>
      <c r="J37" s="332"/>
      <c r="L37" s="102"/>
      <c r="M37" s="13"/>
      <c r="N37" s="148" t="s">
        <v>23</v>
      </c>
      <c r="O37" s="148" t="s">
        <v>24</v>
      </c>
      <c r="P37" s="172" t="s">
        <v>25</v>
      </c>
      <c r="R37" s="13"/>
    </row>
    <row r="38" spans="1:18" ht="15.75">
      <c r="A38" s="99" t="s">
        <v>433</v>
      </c>
      <c r="B38" s="169">
        <f t="shared" si="3"/>
        <v>0</v>
      </c>
      <c r="C38" s="249">
        <v>0</v>
      </c>
      <c r="D38" s="349">
        <f t="shared" si="4"/>
        <v>0</v>
      </c>
      <c r="E38" s="13"/>
      <c r="F38" s="102" t="s">
        <v>19</v>
      </c>
      <c r="G38" s="257">
        <v>0.02</v>
      </c>
      <c r="H38" s="257">
        <v>0.02</v>
      </c>
      <c r="I38" s="180"/>
      <c r="J38" s="332"/>
      <c r="L38" s="116" t="s">
        <v>26</v>
      </c>
      <c r="M38" s="13"/>
      <c r="N38" s="264"/>
      <c r="O38" s="264"/>
      <c r="P38" s="103"/>
      <c r="R38" s="13"/>
    </row>
    <row r="39" spans="1:18" ht="15.75">
      <c r="A39" s="99" t="s">
        <v>167</v>
      </c>
      <c r="B39" s="169">
        <f t="shared" si="3"/>
        <v>5.7292404545572322E-3</v>
      </c>
      <c r="C39" s="249">
        <v>600</v>
      </c>
      <c r="D39" s="349">
        <f t="shared" si="4"/>
        <v>3.1914893617021276</v>
      </c>
      <c r="E39" s="13"/>
      <c r="F39" s="106" t="s">
        <v>327</v>
      </c>
      <c r="G39" s="108">
        <f>Debt!E64</f>
        <v>8.5000000000000006E-2</v>
      </c>
      <c r="H39" s="108">
        <f>SUM(H37:H38)</f>
        <v>8.5000000000000006E-2</v>
      </c>
      <c r="I39" s="180"/>
      <c r="J39" s="332"/>
      <c r="L39" s="117" t="s">
        <v>27</v>
      </c>
      <c r="M39" s="13"/>
      <c r="N39" s="274">
        <v>15</v>
      </c>
      <c r="O39" s="265" t="s">
        <v>28</v>
      </c>
      <c r="P39" s="189">
        <v>0</v>
      </c>
      <c r="R39" s="3"/>
    </row>
    <row r="40" spans="1:18" ht="15.75">
      <c r="A40" s="102" t="s">
        <v>432</v>
      </c>
      <c r="B40" s="169">
        <f t="shared" si="3"/>
        <v>0</v>
      </c>
      <c r="C40" s="249">
        <v>0</v>
      </c>
      <c r="D40" s="349">
        <f t="shared" si="4"/>
        <v>0</v>
      </c>
      <c r="E40" s="13"/>
      <c r="F40" s="102"/>
      <c r="G40" s="98"/>
      <c r="H40" s="98"/>
      <c r="I40" s="98"/>
      <c r="J40" s="187"/>
      <c r="L40" s="117" t="s">
        <v>253</v>
      </c>
      <c r="M40" s="13"/>
      <c r="N40" s="274">
        <v>5</v>
      </c>
      <c r="O40" s="265" t="s">
        <v>30</v>
      </c>
      <c r="P40" s="189">
        <v>0</v>
      </c>
      <c r="R40" s="3"/>
    </row>
    <row r="41" spans="1:18" ht="15.75">
      <c r="A41" s="99" t="s">
        <v>168</v>
      </c>
      <c r="B41" s="169">
        <f t="shared" si="3"/>
        <v>0</v>
      </c>
      <c r="C41" s="249">
        <v>0</v>
      </c>
      <c r="D41" s="349">
        <f t="shared" si="4"/>
        <v>0</v>
      </c>
      <c r="E41" s="13"/>
      <c r="F41" s="102" t="s">
        <v>128</v>
      </c>
      <c r="G41" s="255">
        <v>0</v>
      </c>
      <c r="H41" s="255">
        <v>0</v>
      </c>
      <c r="I41" s="98" t="s">
        <v>129</v>
      </c>
      <c r="J41" s="188"/>
      <c r="L41" s="117" t="s">
        <v>29</v>
      </c>
      <c r="M41" s="13"/>
      <c r="N41" s="274">
        <v>20</v>
      </c>
      <c r="O41" s="265" t="s">
        <v>30</v>
      </c>
      <c r="P41" s="189">
        <v>0</v>
      </c>
      <c r="R41" s="343"/>
    </row>
    <row r="42" spans="1:18" ht="15.75">
      <c r="A42" s="99" t="s">
        <v>176</v>
      </c>
      <c r="B42" s="169">
        <f t="shared" si="3"/>
        <v>0</v>
      </c>
      <c r="C42" s="249">
        <v>0</v>
      </c>
      <c r="D42" s="349">
        <f t="shared" si="4"/>
        <v>0</v>
      </c>
      <c r="E42" s="13"/>
      <c r="F42" s="102" t="s">
        <v>20</v>
      </c>
      <c r="G42" s="258">
        <v>0.02</v>
      </c>
      <c r="H42" s="98"/>
      <c r="I42" s="98"/>
      <c r="J42" s="188"/>
      <c r="L42" s="117"/>
      <c r="M42" s="13"/>
      <c r="N42" s="266"/>
      <c r="O42" s="266"/>
      <c r="P42" s="267"/>
      <c r="R42" s="225"/>
    </row>
    <row r="43" spans="1:18" ht="15.75">
      <c r="A43" s="99" t="s">
        <v>169</v>
      </c>
      <c r="B43" s="169">
        <f t="shared" si="3"/>
        <v>0</v>
      </c>
      <c r="C43" s="249">
        <v>0</v>
      </c>
      <c r="D43" s="349">
        <f t="shared" si="4"/>
        <v>0</v>
      </c>
      <c r="E43" s="13"/>
      <c r="F43" s="102" t="s">
        <v>21</v>
      </c>
      <c r="G43" s="258">
        <v>0</v>
      </c>
      <c r="H43" s="13"/>
      <c r="I43" s="13"/>
      <c r="J43" s="40"/>
      <c r="L43" s="116" t="s">
        <v>31</v>
      </c>
      <c r="M43" s="13"/>
      <c r="N43" s="266"/>
      <c r="O43" s="266"/>
      <c r="P43" s="190"/>
    </row>
    <row r="44" spans="1:18" ht="15.75">
      <c r="A44" s="99" t="s">
        <v>170</v>
      </c>
      <c r="B44" s="169">
        <f t="shared" si="3"/>
        <v>1.432310113639308E-3</v>
      </c>
      <c r="C44" s="249">
        <v>150</v>
      </c>
      <c r="D44" s="349">
        <f t="shared" si="4"/>
        <v>0.7978723404255319</v>
      </c>
      <c r="E44" s="13"/>
      <c r="F44" s="41"/>
      <c r="G44" s="13"/>
      <c r="H44" s="13"/>
      <c r="I44" s="13"/>
      <c r="J44" s="40"/>
      <c r="L44" s="117" t="s">
        <v>27</v>
      </c>
      <c r="M44" s="13"/>
      <c r="N44" s="274">
        <v>30</v>
      </c>
      <c r="O44" s="265" t="s">
        <v>30</v>
      </c>
      <c r="P44" s="190">
        <v>0.1</v>
      </c>
    </row>
    <row r="45" spans="1:18" ht="15.75">
      <c r="A45" s="99" t="s">
        <v>173</v>
      </c>
      <c r="B45" s="169">
        <f t="shared" si="3"/>
        <v>4.7743670454643603E-4</v>
      </c>
      <c r="C45" s="249">
        <v>50</v>
      </c>
      <c r="D45" s="349">
        <f t="shared" si="4"/>
        <v>0.26595744680851063</v>
      </c>
      <c r="E45" s="13"/>
      <c r="F45" s="356" t="s">
        <v>118</v>
      </c>
      <c r="G45" s="13"/>
      <c r="H45" s="13"/>
      <c r="I45" s="13"/>
      <c r="J45" s="40"/>
      <c r="L45" s="117" t="s">
        <v>253</v>
      </c>
      <c r="M45" s="13"/>
      <c r="N45" s="274">
        <v>5</v>
      </c>
      <c r="O45" s="265" t="s">
        <v>30</v>
      </c>
      <c r="P45" s="189">
        <v>0</v>
      </c>
    </row>
    <row r="46" spans="1:18" ht="16.5" thickBot="1">
      <c r="A46" s="102" t="s">
        <v>217</v>
      </c>
      <c r="B46" s="169">
        <f t="shared" si="3"/>
        <v>4.1663089075606841E-2</v>
      </c>
      <c r="C46" s="197">
        <f>IDC!H34</f>
        <v>4363.2054970707268</v>
      </c>
      <c r="D46" s="349">
        <f t="shared" si="4"/>
        <v>23.208539878035779</v>
      </c>
      <c r="E46" s="13"/>
      <c r="F46" s="327" t="s">
        <v>86</v>
      </c>
      <c r="G46" s="254">
        <v>36617</v>
      </c>
      <c r="H46" s="13"/>
      <c r="I46" s="13"/>
      <c r="J46" s="40"/>
      <c r="L46" s="118" t="s">
        <v>29</v>
      </c>
      <c r="M46" s="42"/>
      <c r="N46" s="275">
        <v>20</v>
      </c>
      <c r="O46" s="268" t="s">
        <v>30</v>
      </c>
      <c r="P46" s="191">
        <v>0</v>
      </c>
    </row>
    <row r="47" spans="1:18" ht="16.5" thickBot="1">
      <c r="A47" s="102" t="s">
        <v>180</v>
      </c>
      <c r="B47" s="169">
        <f t="shared" si="3"/>
        <v>0</v>
      </c>
      <c r="C47" s="249">
        <v>0</v>
      </c>
      <c r="D47" s="349">
        <f t="shared" si="4"/>
        <v>0</v>
      </c>
      <c r="E47" s="13"/>
      <c r="F47" s="102" t="s">
        <v>12</v>
      </c>
      <c r="G47" s="259">
        <v>0</v>
      </c>
      <c r="H47" s="145">
        <f>G47*C11</f>
        <v>0</v>
      </c>
      <c r="I47" s="13"/>
      <c r="J47" s="40"/>
    </row>
    <row r="48" spans="1:18" ht="16.5" thickBot="1">
      <c r="A48" s="102" t="s">
        <v>275</v>
      </c>
      <c r="B48" s="169">
        <f t="shared" si="3"/>
        <v>2.7919734583148306E-2</v>
      </c>
      <c r="C48" s="197">
        <f>SUM(C22:C33)*N55</f>
        <v>2923.92</v>
      </c>
      <c r="D48" s="349">
        <f t="shared" si="4"/>
        <v>15.552765957446809</v>
      </c>
      <c r="E48" s="64"/>
      <c r="F48" s="104" t="s">
        <v>13</v>
      </c>
      <c r="G48" s="271">
        <f>1-G47</f>
        <v>1</v>
      </c>
      <c r="H48" s="146">
        <f>G48*C11</f>
        <v>30435.069278949784</v>
      </c>
      <c r="I48" s="42"/>
      <c r="J48" s="81"/>
      <c r="L48" s="94" t="s">
        <v>384</v>
      </c>
      <c r="M48" s="115"/>
      <c r="N48" s="281"/>
      <c r="O48" s="282"/>
      <c r="P48" s="366"/>
    </row>
    <row r="49" spans="1:16" ht="16.5" thickBot="1">
      <c r="A49" s="96" t="s">
        <v>181</v>
      </c>
      <c r="B49" s="184">
        <f t="shared" si="3"/>
        <v>0</v>
      </c>
      <c r="C49" s="250">
        <v>0</v>
      </c>
      <c r="D49" s="350">
        <f t="shared" si="4"/>
        <v>0</v>
      </c>
      <c r="E49" s="43"/>
      <c r="L49" s="182"/>
      <c r="M49" s="176"/>
      <c r="N49" s="158"/>
      <c r="O49" s="6"/>
      <c r="P49" s="365"/>
    </row>
    <row r="50" spans="1:16" ht="15.75">
      <c r="A50" s="102" t="s">
        <v>109</v>
      </c>
      <c r="B50" s="169">
        <f>SUM(B37:B49)</f>
        <v>7.7221810931498117E-2</v>
      </c>
      <c r="C50" s="197">
        <f>SUM(C37:C49)</f>
        <v>8087.1254970707269</v>
      </c>
      <c r="D50" s="349">
        <f t="shared" si="4"/>
        <v>43.016624984418762</v>
      </c>
      <c r="E50" s="13"/>
      <c r="F50" s="94" t="s">
        <v>200</v>
      </c>
      <c r="G50" s="114"/>
      <c r="H50" s="120"/>
      <c r="I50" s="202"/>
      <c r="J50" s="39"/>
      <c r="L50" s="117" t="s">
        <v>132</v>
      </c>
      <c r="M50" s="6"/>
      <c r="N50" s="264">
        <v>0.35</v>
      </c>
      <c r="O50" s="6"/>
      <c r="P50" s="365"/>
    </row>
    <row r="51" spans="1:16" ht="15.75">
      <c r="A51" s="41"/>
      <c r="B51" s="13"/>
      <c r="C51" s="197"/>
      <c r="D51" s="352"/>
      <c r="E51" s="85"/>
      <c r="F51" s="105" t="s">
        <v>306</v>
      </c>
      <c r="G51" s="13"/>
      <c r="H51" s="13"/>
      <c r="I51" s="111"/>
      <c r="J51" s="40"/>
      <c r="L51" s="117" t="s">
        <v>289</v>
      </c>
      <c r="M51" s="6"/>
      <c r="N51" s="261">
        <v>7.0000000000000007E-2</v>
      </c>
      <c r="O51" s="367" t="s">
        <v>235</v>
      </c>
      <c r="P51" s="365"/>
    </row>
    <row r="52" spans="1:16" ht="15.75">
      <c r="A52" s="99" t="s">
        <v>102</v>
      </c>
      <c r="B52" s="13"/>
      <c r="C52" s="197"/>
      <c r="D52" s="351"/>
      <c r="E52" s="85"/>
      <c r="F52" s="102" t="s">
        <v>308</v>
      </c>
      <c r="G52" s="13"/>
      <c r="H52" s="566">
        <v>10</v>
      </c>
      <c r="I52" s="13"/>
      <c r="J52" s="40"/>
      <c r="L52" s="117" t="s">
        <v>255</v>
      </c>
      <c r="M52" s="6"/>
      <c r="N52" s="261">
        <v>2.5000000000000001E-3</v>
      </c>
      <c r="O52" s="367" t="s">
        <v>235</v>
      </c>
      <c r="P52" s="365"/>
    </row>
    <row r="53" spans="1:16" ht="15.75">
      <c r="A53" s="99" t="s">
        <v>171</v>
      </c>
      <c r="B53" s="169">
        <f>C53/$C$58</f>
        <v>0</v>
      </c>
      <c r="C53" s="249">
        <v>0</v>
      </c>
      <c r="D53" s="349">
        <f>C53/$H$68</f>
        <v>0</v>
      </c>
      <c r="E53" s="13"/>
      <c r="F53" s="102" t="s">
        <v>419</v>
      </c>
      <c r="G53" s="13"/>
      <c r="H53" s="567">
        <v>5.5</v>
      </c>
      <c r="I53" s="111"/>
      <c r="J53" s="40"/>
      <c r="L53" s="117" t="s">
        <v>210</v>
      </c>
      <c r="M53" s="6"/>
      <c r="N53" s="261">
        <v>0</v>
      </c>
      <c r="O53" s="367" t="s">
        <v>235</v>
      </c>
      <c r="P53" s="365"/>
    </row>
    <row r="54" spans="1:16" ht="15.75">
      <c r="A54" s="99" t="s">
        <v>172</v>
      </c>
      <c r="B54" s="169">
        <f>C54/$C$58</f>
        <v>0</v>
      </c>
      <c r="C54" s="249">
        <v>0</v>
      </c>
      <c r="D54" s="349">
        <f>C54/$H$68</f>
        <v>0</v>
      </c>
      <c r="E54" s="13"/>
      <c r="F54" s="102" t="s">
        <v>475</v>
      </c>
      <c r="G54" s="13"/>
      <c r="H54" s="567">
        <v>28</v>
      </c>
      <c r="I54" s="13"/>
      <c r="J54" s="40"/>
      <c r="L54" s="117" t="s">
        <v>240</v>
      </c>
      <c r="M54" s="13"/>
      <c r="N54" s="261">
        <v>1.4999999999999999E-2</v>
      </c>
      <c r="O54" s="367" t="s">
        <v>235</v>
      </c>
      <c r="P54" s="40"/>
    </row>
    <row r="55" spans="1:16" ht="16.5" thickBot="1">
      <c r="A55" s="105" t="s">
        <v>103</v>
      </c>
      <c r="B55" s="184">
        <f>C55/$C$58</f>
        <v>9.5487340909287208E-3</v>
      </c>
      <c r="C55" s="250">
        <v>1000</v>
      </c>
      <c r="D55" s="349">
        <f>C55/$H$68</f>
        <v>5.3191489361702127</v>
      </c>
      <c r="E55" s="13"/>
      <c r="F55" s="41"/>
      <c r="G55" s="13"/>
      <c r="H55" s="13"/>
      <c r="I55" s="13"/>
      <c r="J55" s="40"/>
      <c r="L55" s="118" t="s">
        <v>276</v>
      </c>
      <c r="M55" s="42"/>
      <c r="N55" s="277">
        <v>0.08</v>
      </c>
      <c r="O55" s="368" t="s">
        <v>235</v>
      </c>
      <c r="P55" s="81"/>
    </row>
    <row r="56" spans="1:16" ht="15.75">
      <c r="A56" s="102" t="s">
        <v>109</v>
      </c>
      <c r="B56" s="169">
        <f>SUM(B53:B55)</f>
        <v>9.5487340909287208E-3</v>
      </c>
      <c r="C56" s="112">
        <f>SUM(C53:C55)</f>
        <v>1000</v>
      </c>
      <c r="D56" s="349">
        <f>C56/$H$68</f>
        <v>5.3191489361702127</v>
      </c>
      <c r="E56" s="13"/>
      <c r="F56" s="105" t="s">
        <v>309</v>
      </c>
      <c r="G56" s="13"/>
      <c r="H56" s="13"/>
      <c r="I56" s="13"/>
      <c r="J56" s="40"/>
    </row>
    <row r="57" spans="1:16" ht="15.75">
      <c r="A57" s="41"/>
      <c r="B57" s="13"/>
      <c r="C57" s="13"/>
      <c r="D57" s="352"/>
      <c r="E57" s="13"/>
      <c r="F57" s="102" t="s">
        <v>308</v>
      </c>
      <c r="G57" s="13"/>
      <c r="H57" s="276">
        <f>H19-H52</f>
        <v>0</v>
      </c>
      <c r="I57" s="111"/>
      <c r="J57" s="40"/>
    </row>
    <row r="58" spans="1:16" ht="16.5" thickBot="1">
      <c r="A58" s="186" t="s">
        <v>104</v>
      </c>
      <c r="B58" s="183">
        <f>B56+B50+B34</f>
        <v>1.0000000000000002</v>
      </c>
      <c r="C58" s="198">
        <f>C56+C50+C34</f>
        <v>104725.92392639755</v>
      </c>
      <c r="D58" s="353">
        <f>C58/$H$68</f>
        <v>557.05278684254017</v>
      </c>
      <c r="E58" s="13"/>
      <c r="F58" s="102" t="s">
        <v>419</v>
      </c>
      <c r="G58" s="98"/>
      <c r="H58" s="155"/>
      <c r="I58" s="111"/>
      <c r="J58" s="40"/>
    </row>
    <row r="59" spans="1:16" ht="13.5" thickBot="1">
      <c r="A59" s="13"/>
      <c r="B59" s="13"/>
      <c r="C59" s="82"/>
      <c r="D59" s="13"/>
      <c r="E59" s="13"/>
      <c r="F59" s="41"/>
      <c r="G59" s="13"/>
      <c r="H59" s="13"/>
      <c r="I59" s="13"/>
      <c r="J59" s="40"/>
    </row>
    <row r="60" spans="1:16" ht="15.75">
      <c r="A60" s="95" t="s">
        <v>32</v>
      </c>
      <c r="B60" s="120"/>
      <c r="C60" s="202"/>
      <c r="D60" s="121"/>
      <c r="E60" s="13"/>
      <c r="F60" s="102" t="s">
        <v>427</v>
      </c>
      <c r="G60" s="98"/>
      <c r="H60" s="155">
        <f>P17</f>
        <v>2.23</v>
      </c>
      <c r="I60" s="111"/>
      <c r="J60" s="40"/>
    </row>
    <row r="61" spans="1:16" ht="15.75">
      <c r="A61" s="41"/>
      <c r="B61" s="13"/>
      <c r="C61" s="13"/>
      <c r="D61" s="40"/>
      <c r="E61" s="13"/>
      <c r="F61" s="102"/>
      <c r="G61" s="13"/>
      <c r="H61" s="264"/>
      <c r="I61" s="111"/>
      <c r="J61" s="40"/>
    </row>
    <row r="62" spans="1:16" ht="16.5" thickBot="1">
      <c r="A62" s="344" t="s">
        <v>273</v>
      </c>
      <c r="B62" s="345"/>
      <c r="C62" s="346">
        <f>D58</f>
        <v>557.05278684254017</v>
      </c>
      <c r="D62" s="40"/>
      <c r="E62" s="13"/>
      <c r="F62" s="104" t="s">
        <v>122</v>
      </c>
      <c r="G62" s="42"/>
      <c r="H62" s="278">
        <f>H68*H72</f>
        <v>263200</v>
      </c>
      <c r="I62" s="203"/>
      <c r="J62" s="81"/>
    </row>
    <row r="63" spans="1:16" ht="13.5" thickBot="1">
      <c r="A63" s="524"/>
      <c r="B63" s="180"/>
      <c r="C63" s="180"/>
      <c r="D63" s="40"/>
      <c r="E63" s="13"/>
    </row>
    <row r="64" spans="1:16" ht="15.75">
      <c r="A64" s="102"/>
      <c r="B64" s="98"/>
      <c r="C64" s="97" t="s">
        <v>34</v>
      </c>
      <c r="D64" s="172" t="s">
        <v>33</v>
      </c>
      <c r="E64" s="13"/>
      <c r="F64" s="94" t="s">
        <v>5</v>
      </c>
      <c r="G64" s="200"/>
      <c r="H64" s="202"/>
      <c r="I64" s="38"/>
      <c r="J64" s="39"/>
    </row>
    <row r="65" spans="1:10" ht="15.75">
      <c r="A65" s="105" t="s">
        <v>0</v>
      </c>
      <c r="B65" s="109"/>
      <c r="C65" s="110">
        <f>Debt!E68</f>
        <v>1.4999999999999998</v>
      </c>
      <c r="D65" s="354">
        <f>Debt!E69</f>
        <v>1.4999999999999978</v>
      </c>
      <c r="E65" s="13"/>
      <c r="F65" s="182"/>
      <c r="G65" s="153"/>
      <c r="H65" s="111"/>
      <c r="I65" s="13"/>
      <c r="J65" s="40"/>
    </row>
    <row r="66" spans="1:10" ht="15.75">
      <c r="A66" s="41"/>
      <c r="B66" s="98"/>
      <c r="C66" s="13"/>
      <c r="D66" s="40"/>
      <c r="E66" s="13"/>
      <c r="F66" s="102" t="s">
        <v>130</v>
      </c>
      <c r="G66" s="13"/>
      <c r="H66" s="220">
        <f>H12*H13</f>
        <v>188</v>
      </c>
      <c r="I66" s="13"/>
      <c r="J66" s="40"/>
    </row>
    <row r="67" spans="1:10" ht="15.75">
      <c r="A67" s="105" t="s">
        <v>338</v>
      </c>
      <c r="B67" s="13"/>
      <c r="C67" s="13"/>
      <c r="D67" s="40"/>
      <c r="E67" s="13"/>
      <c r="F67" s="105" t="s">
        <v>91</v>
      </c>
      <c r="G67" s="13"/>
      <c r="H67" s="342">
        <v>0</v>
      </c>
      <c r="I67" s="13"/>
      <c r="J67" s="40"/>
    </row>
    <row r="68" spans="1:10" ht="15.75">
      <c r="A68" s="102" t="s">
        <v>379</v>
      </c>
      <c r="B68" s="98"/>
      <c r="C68" s="147">
        <f>'Returns Analysis'!C39</f>
        <v>7.8562864661216744E-2</v>
      </c>
      <c r="D68" s="40"/>
      <c r="E68" s="13"/>
      <c r="F68" s="119" t="s">
        <v>312</v>
      </c>
      <c r="G68" s="43"/>
      <c r="H68" s="361">
        <f>SUM(H66:H67)</f>
        <v>188</v>
      </c>
      <c r="I68" s="13"/>
      <c r="J68" s="40"/>
    </row>
    <row r="69" spans="1:10" ht="15.75">
      <c r="A69" s="102" t="str">
        <f>CONCATENATE("30 Yrs After-Tax Cashflow with ",H23,"x EBITDA Exit Multiple Residual Value")</f>
        <v>30 Yrs After-Tax Cashflow with 5x EBITDA Exit Multiple Residual Value</v>
      </c>
      <c r="B69" s="13"/>
      <c r="C69" s="147">
        <f>'Returns Analysis'!C46</f>
        <v>0.10922600626945494</v>
      </c>
      <c r="D69" s="103"/>
      <c r="E69" s="13"/>
      <c r="F69" s="41"/>
      <c r="G69" s="13"/>
      <c r="H69" s="13"/>
      <c r="I69" s="13"/>
      <c r="J69" s="40"/>
    </row>
    <row r="70" spans="1:10" ht="15.75">
      <c r="A70" s="102" t="str">
        <f>CONCATENATE("30 Yrs After-Tax Cashflow with ",H24*100,"% Initial Project Cost Residual Value")</f>
        <v>30 Yrs After-Tax Cashflow with 20% Initial Project Cost Residual Value</v>
      </c>
      <c r="B70" s="13"/>
      <c r="C70" s="147">
        <f>'Returns Analysis'!C53</f>
        <v>0.11451181769371035</v>
      </c>
      <c r="D70" s="103"/>
      <c r="E70" s="13"/>
      <c r="F70" s="102" t="s">
        <v>355</v>
      </c>
      <c r="G70" s="13"/>
      <c r="H70" s="251">
        <v>140</v>
      </c>
      <c r="I70" s="13"/>
      <c r="J70" s="40"/>
    </row>
    <row r="71" spans="1:10" ht="15.75">
      <c r="A71" s="102" t="str">
        <f>CONCATENATE("30 Yrs After-Tax Cashflow with $",H25,"/kW Residual Value")</f>
        <v>30 Yrs After-Tax Cashflow with $250/kW Residual Value</v>
      </c>
      <c r="B71" s="13"/>
      <c r="C71" s="147">
        <f>'Returns Analysis'!C60</f>
        <v>0.14570179581642154</v>
      </c>
      <c r="D71" s="103"/>
      <c r="E71" s="13"/>
      <c r="F71" s="102" t="s">
        <v>269</v>
      </c>
      <c r="G71" s="13"/>
      <c r="H71" s="251">
        <v>400</v>
      </c>
      <c r="I71" s="13"/>
      <c r="J71" s="40"/>
    </row>
    <row r="72" spans="1:10" ht="16.5" thickBot="1">
      <c r="A72" s="41"/>
      <c r="B72" s="13"/>
      <c r="C72" s="13"/>
      <c r="D72" s="40"/>
      <c r="E72" s="13"/>
      <c r="F72" s="104" t="s">
        <v>174</v>
      </c>
      <c r="G72" s="42"/>
      <c r="H72" s="260">
        <v>1400</v>
      </c>
      <c r="I72" s="42"/>
      <c r="J72" s="81"/>
    </row>
    <row r="73" spans="1:10" ht="15.75">
      <c r="A73" s="105" t="s">
        <v>88</v>
      </c>
      <c r="B73" s="97">
        <f>IS!C7</f>
        <v>2001</v>
      </c>
      <c r="C73" s="97">
        <f>IS!D7</f>
        <v>2002</v>
      </c>
      <c r="D73" s="172">
        <f>IS!E7</f>
        <v>2003</v>
      </c>
    </row>
    <row r="74" spans="1:10" ht="15.75">
      <c r="A74" s="102" t="s">
        <v>99</v>
      </c>
      <c r="B74" s="112">
        <f>IS!C34</f>
        <v>16695.330742699291</v>
      </c>
      <c r="C74" s="112">
        <f>IS!D34</f>
        <v>16440.252059253919</v>
      </c>
      <c r="D74" s="167">
        <f>IS!E34</f>
        <v>16106.693030565766</v>
      </c>
      <c r="E74" s="98"/>
    </row>
    <row r="75" spans="1:10" ht="15.75">
      <c r="A75" s="102" t="s">
        <v>100</v>
      </c>
      <c r="B75" s="112">
        <f>IS!C47</f>
        <v>6068.4290870358818</v>
      </c>
      <c r="C75" s="112">
        <f>IS!D47</f>
        <v>4216.8560481713439</v>
      </c>
      <c r="D75" s="167">
        <f>IS!E47</f>
        <v>4326.1207964132573</v>
      </c>
      <c r="E75" s="98"/>
    </row>
    <row r="76" spans="1:10" ht="15.75">
      <c r="A76" s="102" t="s">
        <v>101</v>
      </c>
      <c r="B76" s="112">
        <f>'Returns Analysis'!C13</f>
        <v>14050.149182972917</v>
      </c>
      <c r="C76" s="112">
        <f>'Returns Analysis'!D13</f>
        <v>10632.387137395865</v>
      </c>
      <c r="D76" s="167">
        <f>'Returns Analysis'!E13</f>
        <v>10834.373434921286</v>
      </c>
      <c r="E76" s="13"/>
    </row>
    <row r="77" spans="1:10" ht="16.5" thickBot="1">
      <c r="A77" s="104" t="s">
        <v>368</v>
      </c>
      <c r="B77" s="113">
        <f>'Returns Analysis'!C21</f>
        <v>6932.3301730492221</v>
      </c>
      <c r="C77" s="113">
        <f>'Returns Analysis'!D21</f>
        <v>3873.476672168043</v>
      </c>
      <c r="D77" s="192">
        <f>'Returns Analysis'!E21</f>
        <v>4678.1192264996998</v>
      </c>
      <c r="E77" s="13"/>
    </row>
    <row r="78" spans="1:10">
      <c r="E78" s="13"/>
    </row>
    <row r="79" spans="1:10">
      <c r="E79" s="13"/>
    </row>
    <row r="80" spans="1:10">
      <c r="E80" s="13"/>
    </row>
    <row r="81" spans="5:9">
      <c r="E81" s="13"/>
    </row>
    <row r="82" spans="5:9">
      <c r="E82" s="13"/>
    </row>
    <row r="83" spans="5:9">
      <c r="E83" s="13"/>
    </row>
    <row r="84" spans="5:9" ht="15.75">
      <c r="E84" s="46"/>
    </row>
    <row r="86" spans="5:9" ht="15.75">
      <c r="E86" s="98"/>
    </row>
    <row r="87" spans="5:9" ht="15.75">
      <c r="E87" s="98"/>
    </row>
    <row r="88" spans="5:9" ht="15.75">
      <c r="E88" s="98"/>
    </row>
    <row r="89" spans="5:9" ht="15.75">
      <c r="E89" s="98"/>
    </row>
    <row r="90" spans="5:9">
      <c r="E90" s="13"/>
    </row>
    <row r="91" spans="5:9" ht="15.75">
      <c r="E91" s="98"/>
    </row>
    <row r="92" spans="5:9" ht="15.75">
      <c r="E92" s="98"/>
    </row>
    <row r="93" spans="5:9">
      <c r="E93" s="13"/>
    </row>
    <row r="94" spans="5:9" ht="15.75">
      <c r="E94" s="13"/>
      <c r="I94" s="160"/>
    </row>
    <row r="95" spans="5:9" ht="15.75">
      <c r="E95" s="98"/>
    </row>
    <row r="96" spans="5:9" ht="15.75">
      <c r="E96" s="98"/>
    </row>
    <row r="97" spans="5:5" ht="15.75">
      <c r="E97" s="98"/>
    </row>
    <row r="98" spans="5:5" ht="15.75">
      <c r="E98" s="97"/>
    </row>
    <row r="99" spans="5:5" ht="15.75">
      <c r="E99" s="112"/>
    </row>
    <row r="100" spans="5:5" ht="15.75">
      <c r="E100" s="112"/>
    </row>
    <row r="101" spans="5:5" ht="15.75">
      <c r="E101" s="112"/>
    </row>
    <row r="102" spans="5:5" ht="15.75">
      <c r="E102" s="112"/>
    </row>
    <row r="118" spans="9:9" ht="15.75">
      <c r="I118" s="160"/>
    </row>
    <row r="119" spans="9:9" ht="15.75">
      <c r="I119" s="160"/>
    </row>
    <row r="120" spans="9:9" ht="15.75">
      <c r="I120" s="160"/>
    </row>
    <row r="121" spans="9:9" ht="15.75">
      <c r="I121" s="160"/>
    </row>
    <row r="122" spans="9:9" ht="15.75">
      <c r="I122" s="160"/>
    </row>
    <row r="123" spans="9:9" ht="15.75">
      <c r="I123" s="160"/>
    </row>
    <row r="124" spans="9:9" ht="15.75">
      <c r="I124" s="160"/>
    </row>
    <row r="125" spans="9:9" ht="15.75">
      <c r="I125" s="160"/>
    </row>
    <row r="130" spans="10:24"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</row>
    <row r="131" spans="10:24"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</row>
    <row r="132" spans="10:24" ht="15.75">
      <c r="J132" s="161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</row>
    <row r="133" spans="10:24">
      <c r="J133" s="13"/>
      <c r="K133" s="13"/>
      <c r="L133" s="8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</row>
    <row r="134" spans="10:24">
      <c r="J134" s="13"/>
      <c r="K134" s="13"/>
      <c r="L134" s="8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</row>
    <row r="135" spans="10:24">
      <c r="J135" s="13"/>
      <c r="K135" s="13"/>
      <c r="L135" s="8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</row>
    <row r="136" spans="10:24" ht="15.75">
      <c r="J136" s="13"/>
      <c r="K136" s="13"/>
      <c r="L136" s="156"/>
      <c r="M136" s="155"/>
      <c r="N136" s="155"/>
      <c r="O136" s="13"/>
      <c r="P136" s="13"/>
      <c r="Q136" s="13"/>
      <c r="R136" s="13"/>
      <c r="S136" s="13"/>
      <c r="T136" s="13"/>
      <c r="U136" s="13"/>
      <c r="V136" s="13"/>
      <c r="W136" s="13"/>
      <c r="X136" s="13"/>
    </row>
    <row r="137" spans="10:24" ht="15.75">
      <c r="J137" s="155"/>
      <c r="K137" s="155"/>
      <c r="L137" s="154"/>
      <c r="M137" s="157"/>
      <c r="N137" s="157"/>
      <c r="O137" s="13"/>
      <c r="P137" s="13"/>
      <c r="Q137" s="13"/>
      <c r="R137" s="13"/>
      <c r="S137" s="13"/>
      <c r="T137" s="13"/>
      <c r="U137" s="13"/>
      <c r="V137" s="13"/>
      <c r="W137" s="13"/>
      <c r="X137" s="13"/>
    </row>
    <row r="138" spans="10:24" ht="15.75">
      <c r="J138" s="157"/>
      <c r="K138" s="157"/>
      <c r="L138" s="159"/>
      <c r="M138" s="158"/>
      <c r="N138" s="158"/>
      <c r="O138" s="13"/>
      <c r="P138" s="13"/>
      <c r="Q138" s="13"/>
      <c r="R138" s="13"/>
      <c r="S138" s="13"/>
      <c r="T138" s="13"/>
      <c r="U138" s="13"/>
      <c r="V138" s="13"/>
      <c r="W138" s="13"/>
      <c r="X138" s="13"/>
    </row>
    <row r="139" spans="10:24" ht="15.75">
      <c r="J139" s="158"/>
      <c r="K139" s="158"/>
      <c r="L139" s="159"/>
      <c r="M139" s="158"/>
      <c r="N139" s="158"/>
      <c r="O139" s="13"/>
      <c r="P139" s="13"/>
      <c r="Q139" s="13"/>
      <c r="R139" s="13"/>
      <c r="S139" s="13"/>
      <c r="T139" s="13"/>
      <c r="U139" s="13"/>
      <c r="V139" s="13"/>
      <c r="W139" s="13"/>
      <c r="X139" s="13"/>
    </row>
    <row r="140" spans="10:24" ht="15.75">
      <c r="J140" s="158"/>
      <c r="K140" s="158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</row>
    <row r="141" spans="10:24">
      <c r="J141" s="13"/>
      <c r="K141" s="13"/>
    </row>
    <row r="143" spans="10:24" ht="15.75">
      <c r="J143" s="161"/>
    </row>
    <row r="144" spans="10:24">
      <c r="J144" s="13"/>
    </row>
    <row r="145" spans="10:10">
      <c r="J145" s="13"/>
    </row>
    <row r="146" spans="10:10">
      <c r="J146" s="13"/>
    </row>
    <row r="147" spans="10:10">
      <c r="J147" s="13"/>
    </row>
    <row r="148" spans="10:10">
      <c r="J148" s="13"/>
    </row>
    <row r="149" spans="10:10">
      <c r="J149" s="13"/>
    </row>
    <row r="150" spans="10:10" ht="15.75">
      <c r="J150" s="155"/>
    </row>
    <row r="151" spans="10:10" ht="15.75">
      <c r="J151" s="157"/>
    </row>
    <row r="152" spans="10:10" ht="15.75">
      <c r="J152" s="158"/>
    </row>
    <row r="153" spans="10:10" ht="15.75">
      <c r="J153" s="158"/>
    </row>
  </sheetData>
  <pageMargins left="0.45" right="0.45" top="0.5" bottom="0.5" header="0.25" footer="0.25"/>
  <pageSetup scale="41" firstPageNumber="2" orientation="landscape" copies="2" r:id="rId1"/>
  <headerFooter alignWithMargins="0">
    <oddFooter xml:space="preserve">&amp;L&amp;T, &amp;D&amp;C&amp;F&amp;R&amp;P 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51" r:id="rId4" name="Drop Down 27">
              <controlPr defaultSize="0" autoFill="0" autoLine="0" autoPict="0">
                <anchor moveWithCells="1">
                  <from>
                    <xdr:col>11</xdr:col>
                    <xdr:colOff>2295525</xdr:colOff>
                    <xdr:row>28</xdr:row>
                    <xdr:rowOff>0</xdr:rowOff>
                  </from>
                  <to>
                    <xdr:col>13</xdr:col>
                    <xdr:colOff>28575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5" name="Drop Down 31">
              <controlPr defaultSize="0" autoFill="0" autoLine="0" autoPict="0">
                <anchor moveWithCells="1">
                  <from>
                    <xdr:col>7</xdr:col>
                    <xdr:colOff>0</xdr:colOff>
                    <xdr:row>56</xdr:row>
                    <xdr:rowOff>200025</xdr:rowOff>
                  </from>
                  <to>
                    <xdr:col>7</xdr:col>
                    <xdr:colOff>1190625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6" name="Drop Down 33">
              <controlPr defaultSize="0" autoFill="0" autoLine="0" autoPict="0">
                <anchor moveWithCells="1">
                  <from>
                    <xdr:col>8</xdr:col>
                    <xdr:colOff>0</xdr:colOff>
                    <xdr:row>59</xdr:row>
                    <xdr:rowOff>9525</xdr:rowOff>
                  </from>
                  <to>
                    <xdr:col>9</xdr:col>
                    <xdr:colOff>0</xdr:colOff>
                    <xdr:row>60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7" name="Drop Down 117">
              <controlPr defaultSize="0" autoFill="0" autoLine="0" autoPict="0">
                <anchor moveWithCells="1">
                  <from>
                    <xdr:col>6</xdr:col>
                    <xdr:colOff>0</xdr:colOff>
                    <xdr:row>26</xdr:row>
                    <xdr:rowOff>180975</xdr:rowOff>
                  </from>
                  <to>
                    <xdr:col>6</xdr:col>
                    <xdr:colOff>1190625</xdr:colOff>
                    <xdr:row>27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2:BK62"/>
  <sheetViews>
    <sheetView topLeftCell="A15" zoomScale="75" zoomScaleNormal="75" workbookViewId="0">
      <selection activeCell="D46" sqref="D46"/>
    </sheetView>
  </sheetViews>
  <sheetFormatPr defaultColWidth="9.28515625" defaultRowHeight="15.75"/>
  <cols>
    <col min="1" max="1" width="19" style="46" bestFit="1" customWidth="1"/>
    <col min="2" max="2" width="45.140625" style="46" bestFit="1" customWidth="1"/>
    <col min="3" max="3" width="3.7109375" style="46" customWidth="1"/>
    <col min="4" max="7" width="9.85546875" style="46" customWidth="1"/>
    <col min="8" max="9" width="11.5703125" style="46" customWidth="1"/>
    <col min="10" max="10" width="10.28515625" style="46" customWidth="1"/>
    <col min="11" max="24" width="9.85546875" style="46" customWidth="1"/>
    <col min="25" max="16384" width="9.28515625" style="46"/>
  </cols>
  <sheetData>
    <row r="2" spans="1:63" ht="18.75">
      <c r="B2" s="87" t="str">
        <f>Assumptions!A3</f>
        <v>PROJECT NAME:  Retail Shorts</v>
      </c>
    </row>
    <row r="3" spans="1:63" ht="12" customHeight="1">
      <c r="B3" s="26"/>
      <c r="D3" s="126"/>
      <c r="E3" s="126"/>
      <c r="F3" s="126"/>
      <c r="G3" s="126"/>
      <c r="H3" s="126"/>
      <c r="I3" s="126"/>
      <c r="J3" s="126"/>
      <c r="K3" s="126"/>
      <c r="L3" s="126"/>
      <c r="M3" s="126"/>
      <c r="N3" s="126"/>
      <c r="O3" s="126"/>
      <c r="P3" s="126"/>
      <c r="Q3" s="126"/>
      <c r="R3" s="126"/>
      <c r="S3" s="126"/>
      <c r="T3" s="126"/>
      <c r="U3" s="126"/>
      <c r="V3" s="126"/>
      <c r="W3" s="126"/>
      <c r="X3" s="126"/>
    </row>
    <row r="4" spans="1:63" ht="18.75">
      <c r="B4" s="171" t="s">
        <v>405</v>
      </c>
      <c r="C4" s="67"/>
      <c r="D4" s="126"/>
      <c r="E4" s="126"/>
      <c r="F4" s="126"/>
      <c r="G4" s="126"/>
      <c r="H4" s="126"/>
      <c r="I4" s="126"/>
      <c r="J4" s="126"/>
      <c r="K4" s="126"/>
      <c r="L4" s="126"/>
      <c r="M4" s="12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</row>
    <row r="5" spans="1:63" ht="18.75">
      <c r="B5" s="207"/>
      <c r="D5" s="125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5"/>
      <c r="U5" s="125"/>
      <c r="V5" s="125"/>
      <c r="W5" s="125"/>
      <c r="X5" s="125"/>
    </row>
    <row r="6" spans="1:63">
      <c r="B6" s="139"/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8"/>
      <c r="T6" s="98"/>
      <c r="U6" s="98"/>
      <c r="V6" s="98"/>
      <c r="W6" s="98"/>
      <c r="X6" s="98"/>
    </row>
    <row r="7" spans="1:63">
      <c r="B7" s="138"/>
      <c r="C7" s="98"/>
      <c r="D7" s="212">
        <f>(Assumptions!H18/12)</f>
        <v>0.66666666666666663</v>
      </c>
      <c r="E7" s="212">
        <f>D7+1</f>
        <v>1.6666666666666665</v>
      </c>
      <c r="F7" s="212">
        <f t="shared" ref="F7:Y7" si="0">E7+1</f>
        <v>2.6666666666666665</v>
      </c>
      <c r="G7" s="212">
        <f t="shared" si="0"/>
        <v>3.6666666666666665</v>
      </c>
      <c r="H7" s="212">
        <f t="shared" si="0"/>
        <v>4.6666666666666661</v>
      </c>
      <c r="I7" s="212">
        <f t="shared" si="0"/>
        <v>5.6666666666666661</v>
      </c>
      <c r="J7" s="212">
        <f t="shared" si="0"/>
        <v>6.6666666666666661</v>
      </c>
      <c r="K7" s="212">
        <f t="shared" si="0"/>
        <v>7.6666666666666661</v>
      </c>
      <c r="L7" s="212">
        <f t="shared" si="0"/>
        <v>8.6666666666666661</v>
      </c>
      <c r="M7" s="212">
        <f t="shared" si="0"/>
        <v>9.6666666666666661</v>
      </c>
      <c r="N7" s="212">
        <f t="shared" si="0"/>
        <v>10.666666666666666</v>
      </c>
      <c r="O7" s="212">
        <f t="shared" si="0"/>
        <v>11.666666666666666</v>
      </c>
      <c r="P7" s="212">
        <f t="shared" si="0"/>
        <v>12.666666666666666</v>
      </c>
      <c r="Q7" s="212">
        <f t="shared" si="0"/>
        <v>13.666666666666666</v>
      </c>
      <c r="R7" s="212">
        <f t="shared" si="0"/>
        <v>14.666666666666666</v>
      </c>
      <c r="S7" s="212">
        <f t="shared" si="0"/>
        <v>15.666666666666666</v>
      </c>
      <c r="T7" s="212">
        <f t="shared" si="0"/>
        <v>16.666666666666664</v>
      </c>
      <c r="U7" s="212">
        <f t="shared" si="0"/>
        <v>17.666666666666664</v>
      </c>
      <c r="V7" s="212">
        <f t="shared" si="0"/>
        <v>18.666666666666664</v>
      </c>
      <c r="W7" s="212">
        <f t="shared" si="0"/>
        <v>19.666666666666664</v>
      </c>
      <c r="X7" s="212">
        <f t="shared" si="0"/>
        <v>20.666666666666664</v>
      </c>
      <c r="Y7" s="212">
        <f t="shared" si="0"/>
        <v>21.666666666666664</v>
      </c>
      <c r="Z7" s="212">
        <f t="shared" ref="Z7:AG7" si="1">Y7+1</f>
        <v>22.666666666666664</v>
      </c>
      <c r="AA7" s="212">
        <f t="shared" si="1"/>
        <v>23.666666666666664</v>
      </c>
      <c r="AB7" s="212">
        <f t="shared" si="1"/>
        <v>24.666666666666664</v>
      </c>
      <c r="AC7" s="212">
        <f t="shared" si="1"/>
        <v>25.666666666666664</v>
      </c>
      <c r="AD7" s="212">
        <f t="shared" si="1"/>
        <v>26.666666666666664</v>
      </c>
      <c r="AE7" s="212">
        <f t="shared" si="1"/>
        <v>27.666666666666664</v>
      </c>
      <c r="AF7" s="212">
        <f t="shared" si="1"/>
        <v>28.666666666666664</v>
      </c>
      <c r="AG7" s="212">
        <f t="shared" si="1"/>
        <v>29.666666666666664</v>
      </c>
      <c r="AH7" s="212">
        <f>AG7+1</f>
        <v>30.666666666666664</v>
      </c>
    </row>
    <row r="8" spans="1:63" ht="16.5" thickBot="1">
      <c r="B8" s="209"/>
      <c r="C8" s="209"/>
      <c r="D8" s="516">
        <f>YEAR(Assumptions!H17)</f>
        <v>2001</v>
      </c>
      <c r="E8" s="516">
        <f t="shared" ref="E8:X8" si="2">D8+1</f>
        <v>2002</v>
      </c>
      <c r="F8" s="516">
        <f t="shared" si="2"/>
        <v>2003</v>
      </c>
      <c r="G8" s="516">
        <f t="shared" si="2"/>
        <v>2004</v>
      </c>
      <c r="H8" s="516">
        <f t="shared" si="2"/>
        <v>2005</v>
      </c>
      <c r="I8" s="516">
        <f t="shared" si="2"/>
        <v>2006</v>
      </c>
      <c r="J8" s="516">
        <f t="shared" si="2"/>
        <v>2007</v>
      </c>
      <c r="K8" s="516">
        <f t="shared" si="2"/>
        <v>2008</v>
      </c>
      <c r="L8" s="516">
        <f t="shared" si="2"/>
        <v>2009</v>
      </c>
      <c r="M8" s="516">
        <f t="shared" si="2"/>
        <v>2010</v>
      </c>
      <c r="N8" s="516">
        <f t="shared" si="2"/>
        <v>2011</v>
      </c>
      <c r="O8" s="516">
        <f t="shared" si="2"/>
        <v>2012</v>
      </c>
      <c r="P8" s="516">
        <f t="shared" si="2"/>
        <v>2013</v>
      </c>
      <c r="Q8" s="516">
        <f t="shared" si="2"/>
        <v>2014</v>
      </c>
      <c r="R8" s="516">
        <f t="shared" si="2"/>
        <v>2015</v>
      </c>
      <c r="S8" s="516">
        <f t="shared" si="2"/>
        <v>2016</v>
      </c>
      <c r="T8" s="516">
        <f t="shared" si="2"/>
        <v>2017</v>
      </c>
      <c r="U8" s="516">
        <f t="shared" si="2"/>
        <v>2018</v>
      </c>
      <c r="V8" s="516">
        <f t="shared" si="2"/>
        <v>2019</v>
      </c>
      <c r="W8" s="516">
        <f t="shared" si="2"/>
        <v>2020</v>
      </c>
      <c r="X8" s="516">
        <f t="shared" si="2"/>
        <v>2021</v>
      </c>
      <c r="Y8" s="516">
        <f>X8+1</f>
        <v>2022</v>
      </c>
      <c r="Z8" s="516">
        <f t="shared" ref="Z8:AG8" si="3">Y8+1</f>
        <v>2023</v>
      </c>
      <c r="AA8" s="516">
        <f t="shared" si="3"/>
        <v>2024</v>
      </c>
      <c r="AB8" s="516">
        <f t="shared" si="3"/>
        <v>2025</v>
      </c>
      <c r="AC8" s="516">
        <f t="shared" si="3"/>
        <v>2026</v>
      </c>
      <c r="AD8" s="516">
        <f t="shared" si="3"/>
        <v>2027</v>
      </c>
      <c r="AE8" s="516">
        <f t="shared" si="3"/>
        <v>2028</v>
      </c>
      <c r="AF8" s="516">
        <f t="shared" si="3"/>
        <v>2029</v>
      </c>
      <c r="AG8" s="516">
        <f t="shared" si="3"/>
        <v>2030</v>
      </c>
      <c r="AH8" s="516">
        <f>AG8+1</f>
        <v>2031</v>
      </c>
    </row>
    <row r="9" spans="1:63">
      <c r="B9" s="98"/>
      <c r="C9" s="98"/>
      <c r="D9" s="127"/>
      <c r="E9" s="127"/>
      <c r="F9" s="127"/>
      <c r="G9" s="127"/>
      <c r="H9" s="127"/>
      <c r="I9" s="127"/>
      <c r="J9" s="127"/>
      <c r="K9" s="127"/>
      <c r="L9" s="127"/>
      <c r="M9" s="127"/>
      <c r="N9" s="127"/>
      <c r="O9" s="127"/>
      <c r="P9" s="127"/>
      <c r="Q9" s="127"/>
      <c r="R9" s="127"/>
      <c r="S9" s="127"/>
      <c r="T9" s="127"/>
      <c r="U9" s="127"/>
      <c r="V9" s="127"/>
      <c r="W9" s="127"/>
      <c r="X9" s="127"/>
      <c r="Y9" s="127"/>
      <c r="Z9" s="127"/>
      <c r="AA9" s="127"/>
      <c r="AB9" s="127"/>
      <c r="AC9" s="127"/>
      <c r="AD9" s="127"/>
      <c r="AE9" s="127"/>
      <c r="AF9" s="127"/>
      <c r="AG9" s="127"/>
      <c r="AH9" s="127"/>
    </row>
    <row r="10" spans="1:63">
      <c r="A10" s="12"/>
      <c r="B10" s="493" t="s">
        <v>418</v>
      </c>
      <c r="C10" s="13"/>
      <c r="D10" s="360"/>
      <c r="E10" s="360"/>
      <c r="F10" s="360"/>
      <c r="G10" s="360"/>
      <c r="H10" s="360"/>
      <c r="I10" s="360"/>
      <c r="J10" s="360"/>
      <c r="K10" s="360"/>
      <c r="L10" s="360"/>
      <c r="M10" s="360"/>
      <c r="N10" s="360"/>
      <c r="O10" s="360"/>
      <c r="P10" s="360"/>
      <c r="Q10" s="360"/>
      <c r="R10" s="360"/>
      <c r="S10" s="360"/>
      <c r="T10" s="360"/>
      <c r="U10" s="360"/>
      <c r="V10" s="360"/>
      <c r="W10" s="360"/>
      <c r="X10" s="360"/>
      <c r="Y10" s="360"/>
      <c r="Z10" s="360"/>
      <c r="AA10" s="360"/>
      <c r="AB10" s="360"/>
      <c r="AC10" s="360"/>
      <c r="AD10" s="360"/>
      <c r="AE10" s="360"/>
      <c r="AF10" s="360"/>
      <c r="AG10" s="360"/>
      <c r="AH10" s="360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</row>
    <row r="11" spans="1:63">
      <c r="A11" s="12"/>
      <c r="B11" s="494"/>
      <c r="C11" s="13"/>
      <c r="D11" s="360"/>
      <c r="E11" s="360"/>
      <c r="F11" s="360"/>
      <c r="G11" s="360"/>
      <c r="H11" s="360"/>
      <c r="I11" s="360"/>
      <c r="J11" s="360"/>
      <c r="K11" s="360"/>
      <c r="L11" s="360"/>
      <c r="M11" s="360"/>
      <c r="N11" s="360"/>
      <c r="O11" s="360"/>
      <c r="P11" s="360"/>
      <c r="Q11" s="360"/>
      <c r="R11" s="360"/>
      <c r="S11" s="360"/>
      <c r="T11" s="360"/>
      <c r="U11" s="360"/>
      <c r="V11" s="360"/>
      <c r="W11" s="360"/>
      <c r="X11" s="360"/>
      <c r="Y11" s="360"/>
      <c r="Z11" s="360"/>
      <c r="AA11" s="360"/>
      <c r="AB11" s="360"/>
      <c r="AC11" s="360"/>
      <c r="AD11" s="360"/>
      <c r="AE11" s="360"/>
      <c r="AF11" s="360"/>
      <c r="AG11" s="360"/>
      <c r="AH11" s="360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</row>
    <row r="12" spans="1:63">
      <c r="A12" s="12"/>
      <c r="B12" s="217" t="s">
        <v>307</v>
      </c>
      <c r="C12" s="13"/>
      <c r="D12" s="495">
        <f>Assumptions!$H$53</f>
        <v>5.5</v>
      </c>
      <c r="E12" s="495">
        <f>Assumptions!$H$53</f>
        <v>5.5</v>
      </c>
      <c r="F12" s="495">
        <f>Assumptions!$H$53</f>
        <v>5.5</v>
      </c>
      <c r="G12" s="495">
        <f>Assumptions!$H$53</f>
        <v>5.5</v>
      </c>
      <c r="H12" s="495">
        <f>Assumptions!$H$53</f>
        <v>5.5</v>
      </c>
      <c r="I12" s="495">
        <f>Assumptions!$H$53</f>
        <v>5.5</v>
      </c>
      <c r="J12" s="495">
        <f>Assumptions!$H$53</f>
        <v>5.5</v>
      </c>
      <c r="K12" s="495">
        <f>Assumptions!$H$53</f>
        <v>5.5</v>
      </c>
      <c r="L12" s="495">
        <f>Assumptions!$H$53</f>
        <v>5.5</v>
      </c>
      <c r="M12" s="495">
        <f>Assumptions!$H$53</f>
        <v>5.5</v>
      </c>
      <c r="N12" s="495">
        <f>Assumptions!$H$53</f>
        <v>5.5</v>
      </c>
      <c r="O12" s="495">
        <f>Assumptions!$H$53</f>
        <v>5.5</v>
      </c>
      <c r="P12" s="495">
        <f>Assumptions!$H$53</f>
        <v>5.5</v>
      </c>
      <c r="Q12" s="495">
        <f>Assumptions!$H$53</f>
        <v>5.5</v>
      </c>
      <c r="R12" s="495">
        <f>Assumptions!$H$53</f>
        <v>5.5</v>
      </c>
      <c r="S12" s="495">
        <f>Assumptions!$H$53</f>
        <v>5.5</v>
      </c>
      <c r="T12" s="495">
        <f>Assumptions!$H$53</f>
        <v>5.5</v>
      </c>
      <c r="U12" s="495">
        <f>Assumptions!$H$53</f>
        <v>5.5</v>
      </c>
      <c r="V12" s="495">
        <f>Assumptions!$H$53</f>
        <v>5.5</v>
      </c>
      <c r="W12" s="495">
        <f>Assumptions!$H$53</f>
        <v>5.5</v>
      </c>
      <c r="X12" s="495">
        <f>Assumptions!$H$53</f>
        <v>5.5</v>
      </c>
      <c r="Y12" s="495">
        <f>Assumptions!$H$53</f>
        <v>5.5</v>
      </c>
      <c r="Z12" s="495">
        <f>Assumptions!$H$53</f>
        <v>5.5</v>
      </c>
      <c r="AA12" s="495">
        <f>Assumptions!$H$53</f>
        <v>5.5</v>
      </c>
      <c r="AB12" s="495">
        <f>Assumptions!$H$53</f>
        <v>5.5</v>
      </c>
      <c r="AC12" s="495">
        <f>Assumptions!$H$53</f>
        <v>5.5</v>
      </c>
      <c r="AD12" s="495">
        <f>Assumptions!$H$53</f>
        <v>5.5</v>
      </c>
      <c r="AE12" s="495">
        <f>Assumptions!$H$53</f>
        <v>5.5</v>
      </c>
      <c r="AF12" s="495">
        <f>Assumptions!$H$53</f>
        <v>5.5</v>
      </c>
      <c r="AG12" s="495">
        <f>Assumptions!$H$53</f>
        <v>5.5</v>
      </c>
      <c r="AH12" s="495">
        <f>Assumptions!$H$53</f>
        <v>5.5</v>
      </c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</row>
    <row r="13" spans="1:63">
      <c r="A13" s="12"/>
      <c r="B13" s="217"/>
      <c r="C13" s="13"/>
      <c r="D13" s="360"/>
      <c r="E13" s="360"/>
      <c r="F13" s="360"/>
      <c r="G13" s="360"/>
      <c r="H13" s="360"/>
      <c r="I13" s="360"/>
      <c r="J13" s="360"/>
      <c r="K13" s="360"/>
      <c r="L13" s="360"/>
      <c r="M13" s="360"/>
      <c r="N13" s="360"/>
      <c r="O13" s="360"/>
      <c r="P13" s="360"/>
      <c r="Q13" s="360"/>
      <c r="R13" s="360"/>
      <c r="S13" s="360"/>
      <c r="T13" s="360"/>
      <c r="U13" s="360"/>
      <c r="V13" s="360"/>
      <c r="W13" s="360"/>
      <c r="X13" s="360"/>
      <c r="Y13" s="360"/>
      <c r="Z13" s="360"/>
      <c r="AA13" s="360"/>
      <c r="AB13" s="360"/>
      <c r="AC13" s="360"/>
      <c r="AD13" s="360"/>
      <c r="AE13" s="360"/>
      <c r="AF13" s="360"/>
      <c r="AG13" s="360"/>
      <c r="AH13" s="360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</row>
    <row r="14" spans="1:63">
      <c r="A14" s="12"/>
      <c r="B14" s="217" t="s">
        <v>316</v>
      </c>
      <c r="C14" s="13"/>
      <c r="D14" s="360"/>
      <c r="E14" s="360"/>
      <c r="F14" s="360"/>
      <c r="G14" s="360"/>
      <c r="H14" s="360"/>
      <c r="I14" s="360"/>
      <c r="J14" s="360"/>
      <c r="K14" s="360"/>
      <c r="L14" s="360"/>
      <c r="M14" s="360"/>
      <c r="N14" s="360"/>
      <c r="O14" s="360"/>
      <c r="P14" s="360"/>
      <c r="Q14" s="360"/>
      <c r="R14" s="360"/>
      <c r="S14" s="360"/>
      <c r="T14" s="360"/>
      <c r="U14" s="360"/>
      <c r="V14" s="360"/>
      <c r="W14" s="360"/>
      <c r="X14" s="360"/>
      <c r="Y14" s="360"/>
      <c r="Z14" s="360"/>
      <c r="AA14" s="360"/>
      <c r="AB14" s="360"/>
      <c r="AC14" s="360"/>
      <c r="AD14" s="360"/>
      <c r="AE14" s="360"/>
      <c r="AF14" s="360"/>
      <c r="AG14" s="360"/>
      <c r="AH14" s="360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</row>
    <row r="15" spans="1:63">
      <c r="A15" s="13">
        <v>1</v>
      </c>
      <c r="B15" s="13" t="s">
        <v>243</v>
      </c>
      <c r="C15" s="12"/>
      <c r="D15" s="496">
        <v>5.4933333333333332</v>
      </c>
      <c r="E15" s="496">
        <v>5.6581333333333328</v>
      </c>
      <c r="F15" s="496">
        <v>5.6457561666666676</v>
      </c>
      <c r="G15" s="496">
        <v>5.7213364508333333</v>
      </c>
      <c r="H15" s="496">
        <v>5.6997641986416658</v>
      </c>
      <c r="I15" s="496">
        <v>5.7712527665568336</v>
      </c>
      <c r="J15" s="496">
        <v>5.8419008607681322</v>
      </c>
      <c r="K15" s="496">
        <v>5.9115937131422074</v>
      </c>
      <c r="L15" s="496">
        <v>6.088941524536474</v>
      </c>
      <c r="M15" s="496">
        <v>6.1596167386605574</v>
      </c>
      <c r="N15" s="496">
        <v>6.3444052408203753</v>
      </c>
      <c r="O15" s="496">
        <v>6.4159239908078041</v>
      </c>
      <c r="P15" s="496">
        <v>6.6084017105320383</v>
      </c>
      <c r="Q15" s="496">
        <v>6.680604618110074</v>
      </c>
      <c r="R15" s="496">
        <v>6.7511921386033125</v>
      </c>
      <c r="S15" s="496">
        <v>6.8200023661698452</v>
      </c>
      <c r="T15" s="496">
        <v>6.8868651344656273</v>
      </c>
      <c r="U15" s="496">
        <v>6.951601666729605</v>
      </c>
      <c r="V15" s="496">
        <v>7.014024212308402</v>
      </c>
      <c r="W15" s="496">
        <v>7.0739356691218687</v>
      </c>
      <c r="X15" s="496">
        <v>7.1311291915530655</v>
      </c>
      <c r="Y15" s="496">
        <v>7.1853877832279265</v>
      </c>
      <c r="Z15" s="496">
        <v>7.2396463749027831</v>
      </c>
      <c r="AA15" s="496">
        <v>7.2939049665776494</v>
      </c>
      <c r="AB15" s="496">
        <v>7.3481635582525087</v>
      </c>
      <c r="AC15" s="496">
        <v>7.402422149927367</v>
      </c>
      <c r="AD15" s="496">
        <v>7.4566807416022245</v>
      </c>
      <c r="AE15" s="496">
        <v>7.5109393332770908</v>
      </c>
      <c r="AF15" s="496">
        <v>7.5651979249519501</v>
      </c>
      <c r="AG15" s="496">
        <v>7.6194565166268085</v>
      </c>
      <c r="AH15" s="496">
        <v>7.6737151083016668</v>
      </c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</row>
    <row r="16" spans="1:63">
      <c r="A16" s="13">
        <v>2</v>
      </c>
      <c r="B16" s="13" t="s">
        <v>244</v>
      </c>
      <c r="C16" s="12"/>
      <c r="D16" s="496">
        <v>4.3775000000000004</v>
      </c>
      <c r="E16" s="496">
        <v>4.5088249999999999</v>
      </c>
      <c r="F16" s="496">
        <v>4.7351503333333334</v>
      </c>
      <c r="G16" s="496">
        <v>4.8772048433333328</v>
      </c>
      <c r="H16" s="496">
        <v>5.023520988633333</v>
      </c>
      <c r="I16" s="496">
        <v>5.1742266182923329</v>
      </c>
      <c r="J16" s="496">
        <v>5.3294534168411039</v>
      </c>
      <c r="K16" s="496">
        <v>5.2782086724483994</v>
      </c>
      <c r="L16" s="496">
        <v>5.2190927353169778</v>
      </c>
      <c r="M16" s="496">
        <v>5.0396864225404565</v>
      </c>
      <c r="N16" s="496">
        <v>4.9601713700959298</v>
      </c>
      <c r="O16" s="496">
        <v>4.8713496967244438</v>
      </c>
      <c r="P16" s="496">
        <v>4.8951123781718797</v>
      </c>
      <c r="Q16" s="496">
        <v>4.9159166057791106</v>
      </c>
      <c r="R16" s="496">
        <v>4.8037328678523572</v>
      </c>
      <c r="S16" s="496">
        <v>4.8141193172963614</v>
      </c>
      <c r="T16" s="496">
        <v>4.8208055941259396</v>
      </c>
      <c r="U16" s="496">
        <v>4.9654297619497179</v>
      </c>
      <c r="V16" s="496">
        <v>5.114392654808209</v>
      </c>
      <c r="W16" s="496">
        <v>5.117315164896671</v>
      </c>
      <c r="X16" s="496">
        <v>5.27083461984357</v>
      </c>
      <c r="Y16" s="496">
        <v>5.4289596584388775</v>
      </c>
      <c r="Z16" s="496">
        <v>5.5870846970341832</v>
      </c>
      <c r="AA16" s="496">
        <v>5.7452097356294916</v>
      </c>
      <c r="AB16" s="496">
        <v>5.9033347742247999</v>
      </c>
      <c r="AC16" s="496">
        <v>6.0614598128201083</v>
      </c>
      <c r="AD16" s="496">
        <v>6.2195848514154086</v>
      </c>
      <c r="AE16" s="496">
        <v>6.377709890010717</v>
      </c>
      <c r="AF16" s="496">
        <v>6.5358349286060253</v>
      </c>
      <c r="AG16" s="496">
        <v>6.6939599672013337</v>
      </c>
      <c r="AH16" s="496">
        <v>6.852085005796642</v>
      </c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</row>
    <row r="17" spans="1:63">
      <c r="A17" s="13">
        <v>3</v>
      </c>
      <c r="B17" s="13" t="s">
        <v>241</v>
      </c>
      <c r="C17" s="12"/>
      <c r="D17" s="497">
        <v>0</v>
      </c>
      <c r="E17" s="497">
        <v>0</v>
      </c>
      <c r="F17" s="497">
        <v>0</v>
      </c>
      <c r="G17" s="497">
        <v>0</v>
      </c>
      <c r="H17" s="497">
        <v>0</v>
      </c>
      <c r="I17" s="497">
        <v>0</v>
      </c>
      <c r="J17" s="497">
        <v>0</v>
      </c>
      <c r="K17" s="497">
        <v>0</v>
      </c>
      <c r="L17" s="497">
        <v>0</v>
      </c>
      <c r="M17" s="497">
        <v>0</v>
      </c>
      <c r="N17" s="497">
        <v>0</v>
      </c>
      <c r="O17" s="497">
        <v>0</v>
      </c>
      <c r="P17" s="497">
        <v>0</v>
      </c>
      <c r="Q17" s="497">
        <v>0</v>
      </c>
      <c r="R17" s="497">
        <v>0</v>
      </c>
      <c r="S17" s="497">
        <v>0</v>
      </c>
      <c r="T17" s="497">
        <v>0</v>
      </c>
      <c r="U17" s="497">
        <v>0</v>
      </c>
      <c r="V17" s="497">
        <v>0</v>
      </c>
      <c r="W17" s="497">
        <v>0</v>
      </c>
      <c r="X17" s="497">
        <v>0</v>
      </c>
      <c r="Y17" s="497">
        <v>0</v>
      </c>
      <c r="Z17" s="497">
        <v>0</v>
      </c>
      <c r="AA17" s="497">
        <v>0</v>
      </c>
      <c r="AB17" s="497">
        <v>0</v>
      </c>
      <c r="AC17" s="497">
        <v>0</v>
      </c>
      <c r="AD17" s="497">
        <v>0</v>
      </c>
      <c r="AE17" s="497">
        <v>0</v>
      </c>
      <c r="AF17" s="497">
        <v>0</v>
      </c>
      <c r="AG17" s="497">
        <v>0</v>
      </c>
      <c r="AH17" s="497">
        <v>0</v>
      </c>
      <c r="AI17" s="498"/>
      <c r="AJ17" s="498"/>
      <c r="AK17" s="498"/>
      <c r="AL17" s="498"/>
      <c r="AM17" s="498"/>
      <c r="AN17" s="498"/>
      <c r="AO17" s="498"/>
      <c r="AP17" s="498"/>
      <c r="AQ17" s="498"/>
      <c r="AR17" s="498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</row>
    <row r="18" spans="1:63">
      <c r="A18" s="13">
        <v>4</v>
      </c>
      <c r="B18" s="13" t="s">
        <v>39</v>
      </c>
      <c r="C18" s="12"/>
      <c r="D18" s="499">
        <v>0</v>
      </c>
      <c r="E18" s="499">
        <v>0</v>
      </c>
      <c r="F18" s="499">
        <v>0</v>
      </c>
      <c r="G18" s="499">
        <v>0</v>
      </c>
      <c r="H18" s="499">
        <v>0</v>
      </c>
      <c r="I18" s="499">
        <v>0</v>
      </c>
      <c r="J18" s="499">
        <v>0</v>
      </c>
      <c r="K18" s="499">
        <v>0</v>
      </c>
      <c r="L18" s="499">
        <v>0</v>
      </c>
      <c r="M18" s="499">
        <v>0</v>
      </c>
      <c r="N18" s="499">
        <v>0</v>
      </c>
      <c r="O18" s="499">
        <v>0</v>
      </c>
      <c r="P18" s="499">
        <v>0</v>
      </c>
      <c r="Q18" s="499">
        <v>0</v>
      </c>
      <c r="R18" s="499">
        <v>0</v>
      </c>
      <c r="S18" s="499">
        <v>0</v>
      </c>
      <c r="T18" s="499">
        <v>0</v>
      </c>
      <c r="U18" s="499">
        <v>0</v>
      </c>
      <c r="V18" s="499">
        <v>0</v>
      </c>
      <c r="W18" s="499">
        <v>0</v>
      </c>
      <c r="X18" s="499">
        <v>0</v>
      </c>
      <c r="Y18" s="499">
        <v>0</v>
      </c>
      <c r="Z18" s="499">
        <v>0</v>
      </c>
      <c r="AA18" s="499">
        <v>0</v>
      </c>
      <c r="AB18" s="499">
        <v>0</v>
      </c>
      <c r="AC18" s="499">
        <v>0</v>
      </c>
      <c r="AD18" s="499">
        <v>0</v>
      </c>
      <c r="AE18" s="499">
        <v>0</v>
      </c>
      <c r="AF18" s="499">
        <v>0</v>
      </c>
      <c r="AG18" s="499">
        <v>0</v>
      </c>
      <c r="AH18" s="499">
        <v>0</v>
      </c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</row>
    <row r="19" spans="1:63">
      <c r="A19" s="500">
        <f>Assumptions!V13</f>
        <v>1</v>
      </c>
      <c r="B19" s="13" t="s">
        <v>121</v>
      </c>
      <c r="C19" s="501"/>
      <c r="D19" s="502">
        <f t="shared" ref="D19:AH19" si="4">CHOOSE($A$19,D15,D16,D17,D18)</f>
        <v>5.4933333333333332</v>
      </c>
      <c r="E19" s="502">
        <f t="shared" si="4"/>
        <v>5.6581333333333328</v>
      </c>
      <c r="F19" s="502">
        <f t="shared" si="4"/>
        <v>5.6457561666666676</v>
      </c>
      <c r="G19" s="502">
        <f t="shared" si="4"/>
        <v>5.7213364508333333</v>
      </c>
      <c r="H19" s="502">
        <f t="shared" si="4"/>
        <v>5.6997641986416658</v>
      </c>
      <c r="I19" s="502">
        <f t="shared" si="4"/>
        <v>5.7712527665568336</v>
      </c>
      <c r="J19" s="502">
        <f t="shared" si="4"/>
        <v>5.8419008607681322</v>
      </c>
      <c r="K19" s="502">
        <f t="shared" si="4"/>
        <v>5.9115937131422074</v>
      </c>
      <c r="L19" s="502">
        <f t="shared" si="4"/>
        <v>6.088941524536474</v>
      </c>
      <c r="M19" s="502">
        <f t="shared" si="4"/>
        <v>6.1596167386605574</v>
      </c>
      <c r="N19" s="502">
        <f t="shared" si="4"/>
        <v>6.3444052408203753</v>
      </c>
      <c r="O19" s="502">
        <f t="shared" si="4"/>
        <v>6.4159239908078041</v>
      </c>
      <c r="P19" s="502">
        <f t="shared" si="4"/>
        <v>6.6084017105320383</v>
      </c>
      <c r="Q19" s="502">
        <f t="shared" si="4"/>
        <v>6.680604618110074</v>
      </c>
      <c r="R19" s="502">
        <f t="shared" si="4"/>
        <v>6.7511921386033125</v>
      </c>
      <c r="S19" s="502">
        <f t="shared" si="4"/>
        <v>6.8200023661698452</v>
      </c>
      <c r="T19" s="502">
        <f t="shared" si="4"/>
        <v>6.8868651344656273</v>
      </c>
      <c r="U19" s="502">
        <f t="shared" si="4"/>
        <v>6.951601666729605</v>
      </c>
      <c r="V19" s="502">
        <f t="shared" si="4"/>
        <v>7.014024212308402</v>
      </c>
      <c r="W19" s="502">
        <f t="shared" si="4"/>
        <v>7.0739356691218687</v>
      </c>
      <c r="X19" s="502">
        <f t="shared" si="4"/>
        <v>7.1311291915530655</v>
      </c>
      <c r="Y19" s="502">
        <f t="shared" si="4"/>
        <v>7.1853877832279265</v>
      </c>
      <c r="Z19" s="502">
        <f t="shared" si="4"/>
        <v>7.2396463749027831</v>
      </c>
      <c r="AA19" s="502">
        <f t="shared" si="4"/>
        <v>7.2939049665776494</v>
      </c>
      <c r="AB19" s="502">
        <f t="shared" si="4"/>
        <v>7.3481635582525087</v>
      </c>
      <c r="AC19" s="502">
        <f t="shared" si="4"/>
        <v>7.402422149927367</v>
      </c>
      <c r="AD19" s="502">
        <f t="shared" si="4"/>
        <v>7.4566807416022245</v>
      </c>
      <c r="AE19" s="502">
        <f t="shared" si="4"/>
        <v>7.5109393332770908</v>
      </c>
      <c r="AF19" s="502">
        <f t="shared" si="4"/>
        <v>7.5651979249519501</v>
      </c>
      <c r="AG19" s="502">
        <f t="shared" si="4"/>
        <v>7.6194565166268085</v>
      </c>
      <c r="AH19" s="502">
        <f t="shared" si="4"/>
        <v>7.6737151083016668</v>
      </c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</row>
    <row r="20" spans="1:63">
      <c r="A20" s="12"/>
      <c r="B20" s="12"/>
      <c r="C20" s="501"/>
      <c r="D20" s="503"/>
      <c r="E20" s="503"/>
      <c r="F20" s="503"/>
      <c r="G20" s="503"/>
      <c r="H20" s="503"/>
      <c r="I20" s="503"/>
      <c r="J20" s="503"/>
      <c r="K20" s="503"/>
      <c r="L20" s="503"/>
      <c r="M20" s="503"/>
      <c r="N20" s="503"/>
      <c r="O20" s="503"/>
      <c r="P20" s="503"/>
      <c r="Q20" s="503"/>
      <c r="R20" s="503"/>
      <c r="S20" s="503"/>
      <c r="T20" s="503"/>
      <c r="U20" s="503"/>
      <c r="V20" s="503"/>
      <c r="W20" s="503"/>
      <c r="X20" s="503"/>
      <c r="Y20" s="504"/>
      <c r="Z20" s="505"/>
      <c r="AA20" s="505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</row>
    <row r="21" spans="1:63">
      <c r="A21" s="12"/>
      <c r="B21" s="11" t="s">
        <v>310</v>
      </c>
      <c r="C21" s="501"/>
      <c r="D21" s="506">
        <f>IF(AND(C7&lt;$D$7+Assumptions!$H$52,D7&lt;$D$7+Assumptions!$H$52),D12,IF(AND(C7&lt;$D$7+Assumptions!$H$52,D7&gt;$D$7+Assumptions!$H$52),D12*(1-$D$7)+D19*$D$7,D19))</f>
        <v>5.5</v>
      </c>
      <c r="E21" s="507">
        <f>IF(AND(D7&lt;$D$7+Assumptions!$H$52,E7&lt;$D$7+Assumptions!$H$52),E12,IF(AND(D7&lt;$D$7+Assumptions!$H$52,E7&gt;=$D$7+Assumptions!$H$52),E12*(1-$D$7)+E19*$D$7,E19))</f>
        <v>5.5</v>
      </c>
      <c r="F21" s="507">
        <f>IF(AND(E7&lt;$D$7+Assumptions!$H$52,F7&lt;$D$7+Assumptions!$H$52),F12,IF(AND(E7&lt;$D$7+Assumptions!$H$52,F7&gt;=$D$7+Assumptions!$H$52),F12*(1-$D$7)+F19*$D$7,F19))</f>
        <v>5.5</v>
      </c>
      <c r="G21" s="507">
        <f>IF(AND(F7&lt;$D$7+Assumptions!$H$52,G7&lt;$D$7+Assumptions!$H$52),G12,IF(AND(F7&lt;$D$7+Assumptions!$H$52,G7&gt;=$D$7+Assumptions!$H$52),G12*(1-$D$7)+G19*$D$7,G19))</f>
        <v>5.5</v>
      </c>
      <c r="H21" s="507">
        <f>IF(AND(G7&lt;$D$7+Assumptions!$H$52,H7&lt;$D$7+Assumptions!$H$52),H12,IF(AND(G7&lt;$D$7+Assumptions!$H$52,H7&gt;=$D$7+Assumptions!$H$52),H12*(1-$D$7)+H19*$D$7,H19))</f>
        <v>5.5</v>
      </c>
      <c r="I21" s="507">
        <f>IF(AND(H7&lt;$D$7+Assumptions!$H$52,I7&lt;$D$7+Assumptions!$H$52),I12,IF(AND(H7&lt;$D$7+Assumptions!$H$52,I7&gt;=$D$7+Assumptions!$H$52),I12*(1-$D$7)+I19*$D$7,I19))</f>
        <v>5.5</v>
      </c>
      <c r="J21" s="507">
        <f>IF(AND(I7&lt;$D$7+Assumptions!$H$52,J7&lt;$D$7+Assumptions!$H$52),J12,IF(AND(I7&lt;$D$7+Assumptions!$H$52,J7&gt;=$D$7+Assumptions!$H$52),J12*(1-$D$7)+J19*$D$7,J19))</f>
        <v>5.5</v>
      </c>
      <c r="K21" s="507">
        <f>IF(AND(J7&lt;$D$7+Assumptions!$H$52,K7&lt;$D$7+Assumptions!$H$52),K12,IF(AND(J7&lt;$D$7+Assumptions!$H$52,K7&gt;=$D$7+Assumptions!$H$52),K12*(1-$D$7)+K19*$D$7,K19))</f>
        <v>5.5</v>
      </c>
      <c r="L21" s="507">
        <f>IF(AND(K7&lt;$D$7+Assumptions!$H$52,L7&lt;$D$7+Assumptions!$H$52),L12,IF(AND(K7&lt;$D$7+Assumptions!$H$52,L7&gt;=$D$7+Assumptions!$H$52),L12*(1-$D$7)+L19*$D$7,L19))</f>
        <v>5.5</v>
      </c>
      <c r="M21" s="507">
        <f>IF(AND(L7&lt;$D$7+Assumptions!$H$52,M7&lt;$D$7+Assumptions!$H$52),M12,IF(AND(L7&lt;$D$7+Assumptions!$H$52,M7&gt;=$D$7+Assumptions!$H$52),M12*(1-$D$7)+M19*$D$7,M19))</f>
        <v>5.5</v>
      </c>
      <c r="N21" s="507">
        <f>IF(AND(M7&lt;$D$7+Assumptions!$H$52,N7&lt;$D$7+Assumptions!$H$52),N12,IF(AND(M7&lt;$D$7+Assumptions!$H$52,N7&gt;=$D$7+Assumptions!$H$52),N12*(1-$D$7)+N19*$D$7,N19))</f>
        <v>6.0629368272135835</v>
      </c>
      <c r="O21" s="507">
        <f>IF(AND(N7&lt;$D$7+Assumptions!$H$52,O7&lt;$D$7+Assumptions!$H$52),O12,IF(AND(N7&lt;$D$7+Assumptions!$H$52,O7&gt;=$D$7+Assumptions!$H$52),O12*(1-$D$7)+O19*$D$7,O19))</f>
        <v>6.4159239908078041</v>
      </c>
      <c r="P21" s="507">
        <f>IF(AND(O7&lt;$D$7+Assumptions!$H$52,P7&lt;$D$7+Assumptions!$H$52),P12,IF(AND(O7&lt;$D$7+Assumptions!$H$52,P7&gt;=$D$7+Assumptions!$H$52),P12*(1-$D$7)+P19*$D$7,P19))</f>
        <v>6.6084017105320383</v>
      </c>
      <c r="Q21" s="507">
        <f>IF(AND(P7&lt;$D$7+Assumptions!$H$52,Q7&lt;$D$7+Assumptions!$H$52),Q12,IF(AND(P7&lt;$D$7+Assumptions!$H$52,Q7&gt;=$D$7+Assumptions!$H$52),Q12*(1-$D$7)+Q19*$D$7,Q19))</f>
        <v>6.680604618110074</v>
      </c>
      <c r="R21" s="508">
        <f>IF(AND(Q7&lt;$D$7+Assumptions!$H$52,R7&lt;$D$7+Assumptions!$H$52),R12,IF(AND(Q7&lt;$D$7+Assumptions!$H$52,R7&gt;=$D$7+Assumptions!$H$52),R12*(1-$D$7)+R19*$D$7,R19))</f>
        <v>6.7511921386033125</v>
      </c>
      <c r="S21" s="506">
        <f>IF(AND(R7&lt;$D$7+Assumptions!$H$52,S7&lt;$D$7+Assumptions!$H$52),S12,IF(AND(R7&lt;$D$7+Assumptions!$H$52,S7&gt;=$D$7+Assumptions!$H$52),S12*(1-$D$7)+S19*$D$7,S19))</f>
        <v>6.8200023661698452</v>
      </c>
      <c r="T21" s="507">
        <f>IF(AND(S7&lt;$D$7+Assumptions!$H$52,T7&lt;$D$7+Assumptions!$H$52),T12,IF(AND(S7&lt;$D$7+Assumptions!$H$52,T7&gt;=$D$7+Assumptions!$H$52),T12*(1-$D$7)+T19*$D$7,T19))</f>
        <v>6.8868651344656273</v>
      </c>
      <c r="U21" s="507">
        <f>IF(AND(T7&lt;$D$7+Assumptions!$H$52,U7&lt;$D$7+Assumptions!$H$52),U12,IF(AND(T7&lt;$D$7+Assumptions!$H$52,U7&gt;=$D$7+Assumptions!$H$52),U12*(1-$D$7)+U19*$D$7,U19))</f>
        <v>6.951601666729605</v>
      </c>
      <c r="V21" s="507">
        <f>IF(AND(U7&lt;$D$7+Assumptions!$H$52,V7&lt;$D$7+Assumptions!$H$52),V12,IF(AND(U7&lt;$D$7+Assumptions!$H$52,V7&gt;=$D$7+Assumptions!$H$52),V12*(1-$D$7)+V19*$D$7,V19))</f>
        <v>7.014024212308402</v>
      </c>
      <c r="W21" s="507">
        <f>IF(AND(V7&lt;$D$7+Assumptions!$H$52,W7&lt;$D$7+Assumptions!$H$52),W12,IF(AND(V7&lt;$D$7+Assumptions!$H$52,W7&gt;=$D$7+Assumptions!$H$52),W12*(1-$D$7)+W19*$D$7,W19))</f>
        <v>7.0739356691218687</v>
      </c>
      <c r="X21" s="507">
        <f>IF(AND(W7&lt;$D$7+Assumptions!$H$52,X7&lt;$D$7+Assumptions!$H$52),X12,IF(AND(W7&lt;$D$7+Assumptions!$H$52,X7&gt;=$D$7+Assumptions!$H$52),X12*(1-$D$7)+X19*$D$7,X19))</f>
        <v>7.1311291915530655</v>
      </c>
      <c r="Y21" s="507">
        <f>IF(AND(X7&lt;$D$7+Assumptions!$H$52,Y7&lt;$D$7+Assumptions!$H$52),Y12,IF(AND(X7&lt;$D$7+Assumptions!$H$52,Y7&gt;=$D$7+Assumptions!$H$52),Y12*(1-$D$7)+Y19*$D$7,Y19))</f>
        <v>7.1853877832279265</v>
      </c>
      <c r="Z21" s="507">
        <f>IF(AND(Y7&lt;$D$7+Assumptions!$H$52,Z7&lt;$D$7+Assumptions!$H$52),Z12,IF(AND(Y7&lt;$D$7+Assumptions!$H$52,Z7&gt;=$D$7+Assumptions!$H$52),Z12*(1-$D$7)+Z19*$D$7,Z19))</f>
        <v>7.2396463749027831</v>
      </c>
      <c r="AA21" s="507">
        <f>IF(AND(Z7&lt;$D$7+Assumptions!$H$52,AA7&lt;$D$7+Assumptions!$H$52),AA12,IF(AND(Z7&lt;$D$7+Assumptions!$H$52,AA7&gt;=$D$7+Assumptions!$H$52),AA12*(1-$D$7)+AA19*$D$7,AA19))</f>
        <v>7.2939049665776494</v>
      </c>
      <c r="AB21" s="507">
        <f>IF(AND(AA7&lt;$D$7+Assumptions!$H$52,AB7&lt;$D$7+Assumptions!$H$52),AB12,IF(AND(AA7&lt;$D$7+Assumptions!$H$52,AB7&gt;=$D$7+Assumptions!$H$52),AB12*(1-$D$7)+AB19*$D$7,AB19))</f>
        <v>7.3481635582525087</v>
      </c>
      <c r="AC21" s="507">
        <f>IF(AND(AB7&lt;$D$7+Assumptions!$H$52,AC7&lt;$D$7+Assumptions!$H$52),AC12,IF(AND(AB7&lt;$D$7+Assumptions!$H$52,AC7&gt;=$D$7+Assumptions!$H$52),AC12*(1-$D$7)+AC19*$D$7,AC19))</f>
        <v>7.402422149927367</v>
      </c>
      <c r="AD21" s="507">
        <f>IF(AND(AC7&lt;$D$7+Assumptions!$H$52,AD7&lt;$D$7+Assumptions!$H$52),AD12,IF(AND(AC7&lt;$D$7+Assumptions!$H$52,AD7&gt;=$D$7+Assumptions!$H$52),AD12*(1-$D$7)+AD19*$D$7,AD19))</f>
        <v>7.4566807416022245</v>
      </c>
      <c r="AE21" s="507">
        <f>IF(AND(AD7&lt;$D$7+Assumptions!$H$52,AE7&lt;$D$7+Assumptions!$H$52),AE12,IF(AND(AD7&lt;$D$7+Assumptions!$H$52,AE7&gt;=$D$7+Assumptions!$H$52),AE12*(1-$D$7)+AE19*$D$7,AE19))</f>
        <v>7.5109393332770908</v>
      </c>
      <c r="AF21" s="507">
        <f>IF(AND(AE7&lt;$D$7+Assumptions!$H$52,AF7&lt;$D$7+Assumptions!$H$52),AF12,IF(AND(AE7&lt;$D$7+Assumptions!$H$52,AF7&gt;=$D$7+Assumptions!$H$52),AF12*(1-$D$7)+AF19*$D$7,AF19))</f>
        <v>7.5651979249519501</v>
      </c>
      <c r="AG21" s="507">
        <f>IF(AND(AF7&lt;$D$7+Assumptions!$H$52,AG7&lt;$D$7+Assumptions!$H$52),AG12,IF(AND(AF7&lt;$D$7+Assumptions!$H$52,AG7&gt;=$D$7+Assumptions!$H$52),AG12*(1-$D$7)+AG19*$D$7,AG19))</f>
        <v>7.6194565166268085</v>
      </c>
      <c r="AH21" s="508">
        <f>IF(AND(AG7&lt;$D$7+Assumptions!$H$52,AH7&lt;$D$7+Assumptions!$H$52),AH12,IF(AND(AG7&lt;$D$7+Assumptions!$H$52,AH7&gt;=$D$7+Assumptions!$H$52),AH12*(1-$D$7)+AH19*$D$7,AH19))</f>
        <v>7.6737151083016668</v>
      </c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</row>
    <row r="22" spans="1:63">
      <c r="A22" s="12"/>
      <c r="B22" s="12"/>
      <c r="C22" s="501"/>
      <c r="D22" s="503"/>
      <c r="E22" s="503"/>
      <c r="F22" s="503"/>
      <c r="G22" s="503"/>
      <c r="H22" s="503"/>
      <c r="I22" s="503"/>
      <c r="J22" s="503"/>
      <c r="K22" s="503"/>
      <c r="L22" s="503"/>
      <c r="M22" s="503"/>
      <c r="N22" s="503"/>
      <c r="O22" s="503"/>
      <c r="P22" s="503"/>
      <c r="Q22" s="503"/>
      <c r="R22" s="503"/>
      <c r="S22" s="503"/>
      <c r="T22" s="503"/>
      <c r="U22" s="503"/>
      <c r="V22" s="503"/>
      <c r="W22" s="503"/>
      <c r="X22" s="503"/>
      <c r="Y22" s="504"/>
      <c r="Z22" s="505"/>
      <c r="AA22" s="505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</row>
    <row r="23" spans="1:63">
      <c r="A23" s="12"/>
      <c r="B23" s="13"/>
      <c r="C23" s="501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</row>
    <row r="24" spans="1:63">
      <c r="A24" s="12"/>
      <c r="B24" s="493" t="s">
        <v>395</v>
      </c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</row>
    <row r="25" spans="1:63">
      <c r="A25" s="13">
        <v>1</v>
      </c>
      <c r="B25" s="13" t="s">
        <v>241</v>
      </c>
      <c r="C25" s="509"/>
      <c r="D25" s="497">
        <v>2.2000000000000002</v>
      </c>
      <c r="E25" s="497">
        <v>2.2000000000000002</v>
      </c>
      <c r="F25" s="497">
        <v>2.2000000000000002</v>
      </c>
      <c r="G25" s="497">
        <v>2.2000000000000002</v>
      </c>
      <c r="H25" s="497">
        <v>2.2000000000000002</v>
      </c>
      <c r="I25" s="497">
        <v>2.2000000000000002</v>
      </c>
      <c r="J25" s="497">
        <v>2.2000000000000002</v>
      </c>
      <c r="K25" s="497">
        <v>2.2000000000000002</v>
      </c>
      <c r="L25" s="497">
        <v>2.2000000000000002</v>
      </c>
      <c r="M25" s="497">
        <v>2.2000000000000002</v>
      </c>
      <c r="N25" s="497">
        <v>2.2000000000000002</v>
      </c>
      <c r="O25" s="497">
        <v>2.2000000000000002</v>
      </c>
      <c r="P25" s="497">
        <v>2.2000000000000002</v>
      </c>
      <c r="Q25" s="497">
        <v>2.2000000000000002</v>
      </c>
      <c r="R25" s="497">
        <v>2.2000000000000002</v>
      </c>
      <c r="S25" s="497">
        <v>2.2000000000000002</v>
      </c>
      <c r="T25" s="497">
        <v>2.2000000000000002</v>
      </c>
      <c r="U25" s="497">
        <v>2.2000000000000002</v>
      </c>
      <c r="V25" s="497">
        <v>2.2000000000000002</v>
      </c>
      <c r="W25" s="497">
        <v>2.2000000000000002</v>
      </c>
      <c r="X25" s="497">
        <v>2.2000000000000002</v>
      </c>
      <c r="Y25" s="497">
        <v>2.2000000000000002</v>
      </c>
      <c r="Z25" s="497">
        <v>2.2000000000000002</v>
      </c>
      <c r="AA25" s="497">
        <v>2.2000000000000002</v>
      </c>
      <c r="AB25" s="497">
        <v>2.2000000000000002</v>
      </c>
      <c r="AC25" s="497">
        <v>2.2000000000000002</v>
      </c>
      <c r="AD25" s="497">
        <v>2.2000000000000002</v>
      </c>
      <c r="AE25" s="497">
        <v>2.2000000000000002</v>
      </c>
      <c r="AF25" s="497">
        <v>2.2000000000000002</v>
      </c>
      <c r="AG25" s="497">
        <v>2.2000000000000002</v>
      </c>
      <c r="AH25" s="497">
        <v>2.2000000000000002</v>
      </c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</row>
    <row r="26" spans="1:63">
      <c r="A26" s="13">
        <v>2</v>
      </c>
      <c r="B26" s="13" t="s">
        <v>238</v>
      </c>
      <c r="C26" s="13"/>
      <c r="D26" s="497">
        <v>2.5</v>
      </c>
      <c r="E26" s="497">
        <v>2.5</v>
      </c>
      <c r="F26" s="497">
        <v>2.5</v>
      </c>
      <c r="G26" s="497">
        <v>2.5</v>
      </c>
      <c r="H26" s="497">
        <v>2.5</v>
      </c>
      <c r="I26" s="497">
        <v>2.5</v>
      </c>
      <c r="J26" s="497">
        <v>2.5</v>
      </c>
      <c r="K26" s="497">
        <v>2.5</v>
      </c>
      <c r="L26" s="497">
        <v>2.5</v>
      </c>
      <c r="M26" s="497">
        <v>2.5</v>
      </c>
      <c r="N26" s="497">
        <v>2.5</v>
      </c>
      <c r="O26" s="497">
        <v>2.5</v>
      </c>
      <c r="P26" s="497">
        <v>2.5</v>
      </c>
      <c r="Q26" s="497">
        <v>2.5</v>
      </c>
      <c r="R26" s="497">
        <v>2.5</v>
      </c>
      <c r="S26" s="497">
        <v>2.5</v>
      </c>
      <c r="T26" s="497">
        <v>2.5</v>
      </c>
      <c r="U26" s="497">
        <v>2.5</v>
      </c>
      <c r="V26" s="497">
        <v>2.5</v>
      </c>
      <c r="W26" s="497">
        <v>2.5</v>
      </c>
      <c r="X26" s="497">
        <v>2.5</v>
      </c>
      <c r="Y26" s="497">
        <v>2.5</v>
      </c>
      <c r="Z26" s="497">
        <v>2.5</v>
      </c>
      <c r="AA26" s="497">
        <v>2.5</v>
      </c>
      <c r="AB26" s="497">
        <v>2.5</v>
      </c>
      <c r="AC26" s="497">
        <v>2.5</v>
      </c>
      <c r="AD26" s="497">
        <v>2.5</v>
      </c>
      <c r="AE26" s="497">
        <v>2.5</v>
      </c>
      <c r="AF26" s="497">
        <v>2.5</v>
      </c>
      <c r="AG26" s="497">
        <v>2.5</v>
      </c>
      <c r="AH26" s="497">
        <v>2.5</v>
      </c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</row>
    <row r="27" spans="1:63">
      <c r="A27" s="13">
        <v>3</v>
      </c>
      <c r="B27" s="13" t="s">
        <v>39</v>
      </c>
      <c r="C27" s="13"/>
      <c r="D27" s="510">
        <v>1.5</v>
      </c>
      <c r="E27" s="510">
        <v>1.5</v>
      </c>
      <c r="F27" s="510">
        <v>1.5</v>
      </c>
      <c r="G27" s="510">
        <v>1.5</v>
      </c>
      <c r="H27" s="510">
        <v>1.5</v>
      </c>
      <c r="I27" s="510">
        <v>1.5</v>
      </c>
      <c r="J27" s="510">
        <v>1.5</v>
      </c>
      <c r="K27" s="510">
        <v>1.5</v>
      </c>
      <c r="L27" s="510">
        <v>1.5</v>
      </c>
      <c r="M27" s="510">
        <v>1.5</v>
      </c>
      <c r="N27" s="510">
        <v>1.5</v>
      </c>
      <c r="O27" s="510">
        <v>1.5</v>
      </c>
      <c r="P27" s="510">
        <v>1.5</v>
      </c>
      <c r="Q27" s="510">
        <v>1.5</v>
      </c>
      <c r="R27" s="510">
        <v>1.5</v>
      </c>
      <c r="S27" s="510">
        <v>1.5</v>
      </c>
      <c r="T27" s="510">
        <v>1.5</v>
      </c>
      <c r="U27" s="510">
        <v>1.5</v>
      </c>
      <c r="V27" s="510">
        <v>1.5</v>
      </c>
      <c r="W27" s="510">
        <v>1.5</v>
      </c>
      <c r="X27" s="510">
        <v>1.5</v>
      </c>
      <c r="Y27" s="510">
        <v>1.5</v>
      </c>
      <c r="Z27" s="510">
        <v>1.5</v>
      </c>
      <c r="AA27" s="510">
        <v>1.5</v>
      </c>
      <c r="AB27" s="510">
        <v>1.5</v>
      </c>
      <c r="AC27" s="510">
        <v>1.5</v>
      </c>
      <c r="AD27" s="510">
        <v>1.5</v>
      </c>
      <c r="AE27" s="510">
        <v>1.5</v>
      </c>
      <c r="AF27" s="510">
        <v>1.5</v>
      </c>
      <c r="AG27" s="510">
        <v>1.5</v>
      </c>
      <c r="AH27" s="510">
        <v>1.5</v>
      </c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</row>
    <row r="28" spans="1:63">
      <c r="A28" s="12"/>
      <c r="B28" s="13" t="s">
        <v>239</v>
      </c>
      <c r="C28" s="13"/>
      <c r="D28" s="511">
        <f>Assumptions!$N$54</f>
        <v>1.4999999999999999E-2</v>
      </c>
      <c r="E28" s="511">
        <f>Assumptions!$N$54</f>
        <v>1.4999999999999999E-2</v>
      </c>
      <c r="F28" s="511">
        <f>Assumptions!$N$54</f>
        <v>1.4999999999999999E-2</v>
      </c>
      <c r="G28" s="511">
        <f>Assumptions!$N$54</f>
        <v>1.4999999999999999E-2</v>
      </c>
      <c r="H28" s="511">
        <f>Assumptions!$N$54</f>
        <v>1.4999999999999999E-2</v>
      </c>
      <c r="I28" s="511">
        <f>Assumptions!$N$54</f>
        <v>1.4999999999999999E-2</v>
      </c>
      <c r="J28" s="511">
        <f>Assumptions!$N$54</f>
        <v>1.4999999999999999E-2</v>
      </c>
      <c r="K28" s="511">
        <f>Assumptions!$N$54</f>
        <v>1.4999999999999999E-2</v>
      </c>
      <c r="L28" s="511">
        <f>Assumptions!$N$54</f>
        <v>1.4999999999999999E-2</v>
      </c>
      <c r="M28" s="511">
        <f>Assumptions!$N$54</f>
        <v>1.4999999999999999E-2</v>
      </c>
      <c r="N28" s="511">
        <f>Assumptions!$N$54</f>
        <v>1.4999999999999999E-2</v>
      </c>
      <c r="O28" s="511">
        <f>Assumptions!$N$54</f>
        <v>1.4999999999999999E-2</v>
      </c>
      <c r="P28" s="511">
        <f>Assumptions!$N$54</f>
        <v>1.4999999999999999E-2</v>
      </c>
      <c r="Q28" s="511">
        <f>Assumptions!$N$54</f>
        <v>1.4999999999999999E-2</v>
      </c>
      <c r="R28" s="511">
        <f>Assumptions!$N$54</f>
        <v>1.4999999999999999E-2</v>
      </c>
      <c r="S28" s="511">
        <f>Assumptions!$N$54</f>
        <v>1.4999999999999999E-2</v>
      </c>
      <c r="T28" s="511">
        <f>Assumptions!$N$54</f>
        <v>1.4999999999999999E-2</v>
      </c>
      <c r="U28" s="511">
        <f>Assumptions!$N$54</f>
        <v>1.4999999999999999E-2</v>
      </c>
      <c r="V28" s="511">
        <f>Assumptions!$N$54</f>
        <v>1.4999999999999999E-2</v>
      </c>
      <c r="W28" s="511">
        <f>Assumptions!$N$54</f>
        <v>1.4999999999999999E-2</v>
      </c>
      <c r="X28" s="511">
        <f>Assumptions!$N$54</f>
        <v>1.4999999999999999E-2</v>
      </c>
      <c r="Y28" s="511">
        <f>Assumptions!$N$54</f>
        <v>1.4999999999999999E-2</v>
      </c>
      <c r="Z28" s="511">
        <f>Assumptions!$N$54</f>
        <v>1.4999999999999999E-2</v>
      </c>
      <c r="AA28" s="511">
        <f>Assumptions!$N$54</f>
        <v>1.4999999999999999E-2</v>
      </c>
      <c r="AB28" s="511">
        <f>Assumptions!$N$54</f>
        <v>1.4999999999999999E-2</v>
      </c>
      <c r="AC28" s="511">
        <f>Assumptions!$N$54</f>
        <v>1.4999999999999999E-2</v>
      </c>
      <c r="AD28" s="511">
        <f>Assumptions!$N$54</f>
        <v>1.4999999999999999E-2</v>
      </c>
      <c r="AE28" s="511">
        <f>Assumptions!$N$54</f>
        <v>1.4999999999999999E-2</v>
      </c>
      <c r="AF28" s="511">
        <f>Assumptions!$N$54</f>
        <v>1.4999999999999999E-2</v>
      </c>
      <c r="AG28" s="511">
        <f>Assumptions!$N$54</f>
        <v>1.4999999999999999E-2</v>
      </c>
      <c r="AH28" s="511">
        <f>Assumptions!$N$54</f>
        <v>1.4999999999999999E-2</v>
      </c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</row>
    <row r="29" spans="1:63">
      <c r="A29" s="12"/>
      <c r="B29" s="13"/>
      <c r="C29" s="13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</row>
    <row r="30" spans="1:63">
      <c r="A30" s="500">
        <f>Assumptions!U13</f>
        <v>3</v>
      </c>
      <c r="B30" s="43" t="s">
        <v>236</v>
      </c>
      <c r="C30" s="12"/>
      <c r="D30" s="512">
        <f>IF(Assumptions!$U$14="Index",'Price_Technical Assumption'!D25*(1+'Price_Technical Assumption'!D28),IF(Assumptions!$U$14="Fixed",'Price_Technical Assumption'!D26*(1+'Price_Technical Assumption'!D28),'Price_Technical Assumption'!D27*(1+'Price_Technical Assumption'!D28)))</f>
        <v>1.5225</v>
      </c>
      <c r="E30" s="513">
        <f>IF(Assumptions!$U$14="Index",'Price_Technical Assumption'!E25*(1+'Price_Technical Assumption'!E28),IF(Assumptions!$U$14="Fixed",'Price_Technical Assumption'!E26*(1+'Price_Technical Assumption'!E28),'Price_Technical Assumption'!E27*(1+'Price_Technical Assumption'!E28)))</f>
        <v>1.5225</v>
      </c>
      <c r="F30" s="513">
        <f>IF(Assumptions!$U$14="Index",'Price_Technical Assumption'!F25*(1+'Price_Technical Assumption'!F28),IF(Assumptions!$U$14="Fixed",'Price_Technical Assumption'!F26*(1+'Price_Technical Assumption'!F28),'Price_Technical Assumption'!F27*(1+'Price_Technical Assumption'!F28)))</f>
        <v>1.5225</v>
      </c>
      <c r="G30" s="513">
        <f>IF(Assumptions!$U$14="Index",'Price_Technical Assumption'!G25*(1+'Price_Technical Assumption'!G28),IF(Assumptions!$U$14="Fixed",'Price_Technical Assumption'!G26*(1+'Price_Technical Assumption'!G28),'Price_Technical Assumption'!G27*(1+'Price_Technical Assumption'!G28)))</f>
        <v>1.5225</v>
      </c>
      <c r="H30" s="513">
        <f>IF(Assumptions!$U$14="Index",'Price_Technical Assumption'!H25*(1+'Price_Technical Assumption'!H28),IF(Assumptions!$U$14="Fixed",'Price_Technical Assumption'!H26*(1+'Price_Technical Assumption'!H28),'Price_Technical Assumption'!H27*(1+'Price_Technical Assumption'!H28)))</f>
        <v>1.5225</v>
      </c>
      <c r="I30" s="513">
        <f>IF(Assumptions!$U$14="Index",'Price_Technical Assumption'!I25*(1+'Price_Technical Assumption'!I28),IF(Assumptions!$U$14="Fixed",'Price_Technical Assumption'!I26*(1+'Price_Technical Assumption'!I28),'Price_Technical Assumption'!I27*(1+'Price_Technical Assumption'!I28)))</f>
        <v>1.5225</v>
      </c>
      <c r="J30" s="513">
        <f>IF(Assumptions!$U$14="Index",'Price_Technical Assumption'!J25*(1+'Price_Technical Assumption'!J28),IF(Assumptions!$U$14="Fixed",'Price_Technical Assumption'!J26*(1+'Price_Technical Assumption'!J28),'Price_Technical Assumption'!J27*(1+'Price_Technical Assumption'!J28)))</f>
        <v>1.5225</v>
      </c>
      <c r="K30" s="513">
        <f>IF(Assumptions!$U$14="Index",'Price_Technical Assumption'!K25*(1+'Price_Technical Assumption'!K28),IF(Assumptions!$U$14="Fixed",'Price_Technical Assumption'!K26*(1+'Price_Technical Assumption'!K28),'Price_Technical Assumption'!K27*(1+'Price_Technical Assumption'!K28)))</f>
        <v>1.5225</v>
      </c>
      <c r="L30" s="513">
        <f>IF(Assumptions!$U$14="Index",'Price_Technical Assumption'!L25*(1+'Price_Technical Assumption'!L28),IF(Assumptions!$U$14="Fixed",'Price_Technical Assumption'!L26*(1+'Price_Technical Assumption'!L28),'Price_Technical Assumption'!L27*(1+'Price_Technical Assumption'!L28)))</f>
        <v>1.5225</v>
      </c>
      <c r="M30" s="513">
        <f>IF(Assumptions!$U$14="Index",'Price_Technical Assumption'!M25*(1+'Price_Technical Assumption'!M28),IF(Assumptions!$U$14="Fixed",'Price_Technical Assumption'!M26*(1+'Price_Technical Assumption'!M28),'Price_Technical Assumption'!M27*(1+'Price_Technical Assumption'!M28)))</f>
        <v>1.5225</v>
      </c>
      <c r="N30" s="513">
        <f>IF(Assumptions!$U$14="Index",'Price_Technical Assumption'!N25*(1+'Price_Technical Assumption'!N28),IF(Assumptions!$U$14="Fixed",'Price_Technical Assumption'!N26*(1+'Price_Technical Assumption'!N28),'Price_Technical Assumption'!N27*(1+'Price_Technical Assumption'!N28)))</f>
        <v>1.5225</v>
      </c>
      <c r="O30" s="513">
        <f>IF(Assumptions!$U$14="Index",'Price_Technical Assumption'!O25*(1+'Price_Technical Assumption'!O28),IF(Assumptions!$U$14="Fixed",'Price_Technical Assumption'!O26*(1+'Price_Technical Assumption'!O28),'Price_Technical Assumption'!O27*(1+'Price_Technical Assumption'!O28)))</f>
        <v>1.5225</v>
      </c>
      <c r="P30" s="513">
        <f>IF(Assumptions!$U$14="Index",'Price_Technical Assumption'!P25*(1+'Price_Technical Assumption'!P28),IF(Assumptions!$U$14="Fixed",'Price_Technical Assumption'!P26*(1+'Price_Technical Assumption'!P28),'Price_Technical Assumption'!P27*(1+'Price_Technical Assumption'!P28)))</f>
        <v>1.5225</v>
      </c>
      <c r="Q30" s="513">
        <f>IF(Assumptions!$U$14="Index",'Price_Technical Assumption'!Q25*(1+'Price_Technical Assumption'!Q28),IF(Assumptions!$U$14="Fixed",'Price_Technical Assumption'!Q26*(1+'Price_Technical Assumption'!Q28),'Price_Technical Assumption'!Q27*(1+'Price_Technical Assumption'!Q28)))</f>
        <v>1.5225</v>
      </c>
      <c r="R30" s="514">
        <f>IF(Assumptions!$U$14="Index",'Price_Technical Assumption'!R25*(1+'Price_Technical Assumption'!R28),IF(Assumptions!$U$14="Fixed",'Price_Technical Assumption'!R26*(1+'Price_Technical Assumption'!R28),'Price_Technical Assumption'!R27*(1+'Price_Technical Assumption'!R28)))</f>
        <v>1.5225</v>
      </c>
      <c r="S30" s="512">
        <f>IF(Assumptions!$U$14="Index",'Price_Technical Assumption'!S25*(1+'Price_Technical Assumption'!S28),IF(Assumptions!$U$14="Fixed",'Price_Technical Assumption'!S26*(1+'Price_Technical Assumption'!S28),'Price_Technical Assumption'!S27*(1+'Price_Technical Assumption'!S28)))</f>
        <v>1.5225</v>
      </c>
      <c r="T30" s="513">
        <f>IF(Assumptions!$U$14="Index",'Price_Technical Assumption'!T25*(1+'Price_Technical Assumption'!T28),IF(Assumptions!$U$14="Fixed",'Price_Technical Assumption'!T26*(1+'Price_Technical Assumption'!T28),'Price_Technical Assumption'!T27*(1+'Price_Technical Assumption'!T28)))</f>
        <v>1.5225</v>
      </c>
      <c r="U30" s="513">
        <f>IF(Assumptions!$U$14="Index",'Price_Technical Assumption'!U25*(1+'Price_Technical Assumption'!U28),IF(Assumptions!$U$14="Fixed",'Price_Technical Assumption'!U26*(1+'Price_Technical Assumption'!U28),'Price_Technical Assumption'!U27*(1+'Price_Technical Assumption'!U28)))</f>
        <v>1.5225</v>
      </c>
      <c r="V30" s="513">
        <f>IF(Assumptions!$U$14="Index",'Price_Technical Assumption'!V25*(1+'Price_Technical Assumption'!V28),IF(Assumptions!$U$14="Fixed",'Price_Technical Assumption'!V26*(1+'Price_Technical Assumption'!V28),'Price_Technical Assumption'!V27*(1+'Price_Technical Assumption'!V28)))</f>
        <v>1.5225</v>
      </c>
      <c r="W30" s="513">
        <f>IF(Assumptions!$U$14="Index",'Price_Technical Assumption'!W25*(1+'Price_Technical Assumption'!W28),IF(Assumptions!$U$14="Fixed",'Price_Technical Assumption'!W26*(1+'Price_Technical Assumption'!W28),'Price_Technical Assumption'!W27*(1+'Price_Technical Assumption'!W28)))</f>
        <v>1.5225</v>
      </c>
      <c r="X30" s="513">
        <f>IF(Assumptions!$U$14="Index",'Price_Technical Assumption'!X25*(1+'Price_Technical Assumption'!X28),IF(Assumptions!$U$14="Fixed",'Price_Technical Assumption'!X26*(1+'Price_Technical Assumption'!X28),'Price_Technical Assumption'!X27*(1+'Price_Technical Assumption'!X28)))</f>
        <v>1.5225</v>
      </c>
      <c r="Y30" s="513">
        <f>IF(Assumptions!$U$14="Index",'Price_Technical Assumption'!Y25*(1+'Price_Technical Assumption'!Y28),IF(Assumptions!$U$14="Fixed",'Price_Technical Assumption'!Y26*(1+'Price_Technical Assumption'!Y28),'Price_Technical Assumption'!Y27*(1+'Price_Technical Assumption'!Y28)))</f>
        <v>1.5225</v>
      </c>
      <c r="Z30" s="513">
        <f>IF(Assumptions!$U$14="Index",'Price_Technical Assumption'!Z25*(1+'Price_Technical Assumption'!Z28),IF(Assumptions!$U$14="Fixed",'Price_Technical Assumption'!Z26*(1+'Price_Technical Assumption'!Z28),'Price_Technical Assumption'!Z27*(1+'Price_Technical Assumption'!Z28)))</f>
        <v>1.5225</v>
      </c>
      <c r="AA30" s="513">
        <f>IF(Assumptions!$U$14="Index",'Price_Technical Assumption'!AA25*(1+'Price_Technical Assumption'!AA28),IF(Assumptions!$U$14="Fixed",'Price_Technical Assumption'!AA26*(1+'Price_Technical Assumption'!AA28),'Price_Technical Assumption'!AA27*(1+'Price_Technical Assumption'!AA28)))</f>
        <v>1.5225</v>
      </c>
      <c r="AB30" s="513">
        <f>IF(Assumptions!$U$14="Index",'Price_Technical Assumption'!AB25*(1+'Price_Technical Assumption'!AB28),IF(Assumptions!$U$14="Fixed",'Price_Technical Assumption'!AB26*(1+'Price_Technical Assumption'!AB28),'Price_Technical Assumption'!AB27*(1+'Price_Technical Assumption'!AB28)))</f>
        <v>1.5225</v>
      </c>
      <c r="AC30" s="513">
        <f>IF(Assumptions!$U$14="Index",'Price_Technical Assumption'!AC25*(1+'Price_Technical Assumption'!AC28),IF(Assumptions!$U$14="Fixed",'Price_Technical Assumption'!AC26*(1+'Price_Technical Assumption'!AC28),'Price_Technical Assumption'!AC27*(1+'Price_Technical Assumption'!AC28)))</f>
        <v>1.5225</v>
      </c>
      <c r="AD30" s="513">
        <f>IF(Assumptions!$U$14="Index",'Price_Technical Assumption'!AD25*(1+'Price_Technical Assumption'!AD28),IF(Assumptions!$U$14="Fixed",'Price_Technical Assumption'!AD26*(1+'Price_Technical Assumption'!AD28),'Price_Technical Assumption'!AD27*(1+'Price_Technical Assumption'!AD28)))</f>
        <v>1.5225</v>
      </c>
      <c r="AE30" s="513">
        <f>IF(Assumptions!$U$14="Index",'Price_Technical Assumption'!AE25*(1+'Price_Technical Assumption'!AE28),IF(Assumptions!$U$14="Fixed",'Price_Technical Assumption'!AE26*(1+'Price_Technical Assumption'!AE28),'Price_Technical Assumption'!AE27*(1+'Price_Technical Assumption'!AE28)))</f>
        <v>1.5225</v>
      </c>
      <c r="AF30" s="513">
        <f>IF(Assumptions!$U$14="Index",'Price_Technical Assumption'!AF25*(1+'Price_Technical Assumption'!AF28),IF(Assumptions!$U$14="Fixed",'Price_Technical Assumption'!AF26*(1+'Price_Technical Assumption'!AF28),'Price_Technical Assumption'!AF27*(1+'Price_Technical Assumption'!AF28)))</f>
        <v>1.5225</v>
      </c>
      <c r="AG30" s="513">
        <f>IF(Assumptions!$U$14="Index",'Price_Technical Assumption'!AG25*(1+'Price_Technical Assumption'!AG28),IF(Assumptions!$U$14="Fixed",'Price_Technical Assumption'!AG26*(1+'Price_Technical Assumption'!AG28),'Price_Technical Assumption'!AG27*(1+'Price_Technical Assumption'!AG28)))</f>
        <v>1.5225</v>
      </c>
      <c r="AH30" s="514">
        <f>IF(Assumptions!$U$14="Index",'Price_Technical Assumption'!AH25*(1+'Price_Technical Assumption'!AH28),IF(Assumptions!$U$14="Fixed",'Price_Technical Assumption'!AH26*(1+'Price_Technical Assumption'!AH28),'Price_Technical Assumption'!AH27*(1+'Price_Technical Assumption'!AH28)))</f>
        <v>1.5225</v>
      </c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</row>
    <row r="31" spans="1:63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</row>
    <row r="32" spans="1:63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</row>
    <row r="33" spans="1:63">
      <c r="A33" s="12"/>
      <c r="B33" s="493" t="s">
        <v>396</v>
      </c>
      <c r="C33" s="13"/>
      <c r="D33" s="360"/>
      <c r="E33" s="360"/>
      <c r="F33" s="360"/>
      <c r="G33" s="360"/>
      <c r="H33" s="360"/>
      <c r="I33" s="360"/>
      <c r="J33" s="360"/>
      <c r="K33" s="360"/>
      <c r="L33" s="360"/>
      <c r="M33" s="360"/>
      <c r="N33" s="360"/>
      <c r="O33" s="360"/>
      <c r="P33" s="360"/>
      <c r="Q33" s="360"/>
      <c r="R33" s="360"/>
      <c r="S33" s="360"/>
      <c r="T33" s="360"/>
      <c r="U33" s="360"/>
      <c r="V33" s="360"/>
      <c r="W33" s="360"/>
      <c r="X33" s="360"/>
      <c r="Y33" s="360"/>
      <c r="Z33" s="360"/>
      <c r="AA33" s="360"/>
      <c r="AB33" s="360"/>
      <c r="AC33" s="360"/>
      <c r="AD33" s="360"/>
      <c r="AE33" s="360"/>
      <c r="AF33" s="360"/>
      <c r="AG33" s="360"/>
      <c r="AH33" s="360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</row>
    <row r="34" spans="1:63">
      <c r="A34" s="13"/>
      <c r="B34" s="13" t="s">
        <v>237</v>
      </c>
      <c r="C34" s="12"/>
      <c r="D34" s="498">
        <f>D46*'Price_Technical Assumption'!D30/1000</f>
        <v>15.531022499999999</v>
      </c>
      <c r="E34" s="498">
        <f>E46*'Price_Technical Assumption'!E30/1000</f>
        <v>15.531022499999999</v>
      </c>
      <c r="F34" s="498">
        <f>F46*'Price_Technical Assumption'!F30/1000</f>
        <v>15.531022499999999</v>
      </c>
      <c r="G34" s="498">
        <f>G46*'Price_Technical Assumption'!G30/1000</f>
        <v>15.531022499999999</v>
      </c>
      <c r="H34" s="498">
        <f>H46*'Price_Technical Assumption'!H30/1000</f>
        <v>15.531022499999999</v>
      </c>
      <c r="I34" s="498">
        <f>I46*'Price_Technical Assumption'!I30/1000</f>
        <v>15.531022499999999</v>
      </c>
      <c r="J34" s="498">
        <f>J46*'Price_Technical Assumption'!J30/1000</f>
        <v>15.531022499999999</v>
      </c>
      <c r="K34" s="498">
        <f>K46*'Price_Technical Assumption'!K30/1000</f>
        <v>15.531022499999999</v>
      </c>
      <c r="L34" s="498">
        <f>L46*'Price_Technical Assumption'!L30/1000</f>
        <v>15.531022499999999</v>
      </c>
      <c r="M34" s="498">
        <f>M46*'Price_Technical Assumption'!M30/1000</f>
        <v>15.531022499999999</v>
      </c>
      <c r="N34" s="498">
        <f>N46*'Price_Technical Assumption'!N30/1000</f>
        <v>15.531022499999999</v>
      </c>
      <c r="O34" s="498">
        <f>O46*'Price_Technical Assumption'!O30/1000</f>
        <v>15.531022499999999</v>
      </c>
      <c r="P34" s="498">
        <f>P46*'Price_Technical Assumption'!P30/1000</f>
        <v>15.531022499999999</v>
      </c>
      <c r="Q34" s="498">
        <f>Q46*'Price_Technical Assumption'!Q30/1000</f>
        <v>15.531022499999999</v>
      </c>
      <c r="R34" s="498">
        <f>R46*'Price_Technical Assumption'!R30/1000</f>
        <v>15.531022499999999</v>
      </c>
      <c r="S34" s="498">
        <f>S46*'Price_Technical Assumption'!S30/1000</f>
        <v>15.531022499999999</v>
      </c>
      <c r="T34" s="498">
        <f>T46*'Price_Technical Assumption'!T30/1000</f>
        <v>15.531022499999999</v>
      </c>
      <c r="U34" s="498">
        <f>U46*'Price_Technical Assumption'!U30/1000</f>
        <v>15.531022499999999</v>
      </c>
      <c r="V34" s="498">
        <f>V46*'Price_Technical Assumption'!V30/1000</f>
        <v>15.531022499999999</v>
      </c>
      <c r="W34" s="498">
        <f>W46*'Price_Technical Assumption'!W30/1000</f>
        <v>15.531022499999999</v>
      </c>
      <c r="X34" s="498">
        <f>X46*'Price_Technical Assumption'!X30/1000</f>
        <v>15.531022499999999</v>
      </c>
      <c r="Y34" s="498">
        <f>Y46*'Price_Technical Assumption'!Y30/1000</f>
        <v>15.531022499999999</v>
      </c>
      <c r="Z34" s="498">
        <f>Z46*'Price_Technical Assumption'!Z30/1000</f>
        <v>15.531022499999999</v>
      </c>
      <c r="AA34" s="498">
        <f>AA46*'Price_Technical Assumption'!AA30/1000</f>
        <v>15.531022499999999</v>
      </c>
      <c r="AB34" s="498">
        <f>AB46*'Price_Technical Assumption'!AB30/1000</f>
        <v>15.531022499999999</v>
      </c>
      <c r="AC34" s="498">
        <f>AC46*'Price_Technical Assumption'!AC30/1000</f>
        <v>15.531022499999999</v>
      </c>
      <c r="AD34" s="498">
        <f>AD46*'Price_Technical Assumption'!AD30/1000</f>
        <v>15.531022499999999</v>
      </c>
      <c r="AE34" s="498">
        <f>AE46*'Price_Technical Assumption'!AE30/1000</f>
        <v>15.531022499999999</v>
      </c>
      <c r="AF34" s="498">
        <f>AF46*'Price_Technical Assumption'!AF30/1000</f>
        <v>15.531022499999999</v>
      </c>
      <c r="AG34" s="498">
        <f>AG46*'Price_Technical Assumption'!AG30/1000</f>
        <v>15.531022499999999</v>
      </c>
      <c r="AH34" s="498">
        <f>AH46*'Price_Technical Assumption'!AH30/1000</f>
        <v>15.531022499999999</v>
      </c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</row>
    <row r="35" spans="1:63">
      <c r="A35" s="13"/>
      <c r="B35" s="13" t="s">
        <v>415</v>
      </c>
      <c r="C35" s="478"/>
      <c r="D35" s="515">
        <f>Assumptions!$H$60*(1+Assumptions!$N$11)^(D7)</f>
        <v>2.2743799223186225</v>
      </c>
      <c r="E35" s="515">
        <f>Assumptions!$H$60*(1+Assumptions!$N$11)^(E7)</f>
        <v>2.3426113199881811</v>
      </c>
      <c r="F35" s="515">
        <f>Assumptions!$H$60*(1+Assumptions!$N$11)^(F7)</f>
        <v>2.4128896595878269</v>
      </c>
      <c r="G35" s="515">
        <f>Assumptions!$H$60*(1+Assumptions!$N$11)^(G7)</f>
        <v>2.4852763493754617</v>
      </c>
      <c r="H35" s="515">
        <f>Assumptions!$H$60*(1+Assumptions!$N$11)^(H7)</f>
        <v>2.5598346398567253</v>
      </c>
      <c r="I35" s="515">
        <f>Assumptions!$H$60*(1+Assumptions!$N$11)^(I7)</f>
        <v>2.6366296790524273</v>
      </c>
      <c r="J35" s="515">
        <f>Assumptions!$H$60*(1+Assumptions!$N$11)^(J7)</f>
        <v>2.7157285694240003</v>
      </c>
      <c r="K35" s="515">
        <f>Assumptions!$H$60*(1+Assumptions!$N$11)^(K7)</f>
        <v>2.7972004265067199</v>
      </c>
      <c r="L35" s="515">
        <f>Assumptions!$H$60*(1+Assumptions!$N$11)^(L7)</f>
        <v>2.8811164393019215</v>
      </c>
      <c r="M35" s="515">
        <f>Assumptions!$H$60*(1+Assumptions!$N$11)^(M7)</f>
        <v>2.9675499324809795</v>
      </c>
      <c r="N35" s="515">
        <f>Assumptions!$H$60*(1+Assumptions!$N$11)^(N7)</f>
        <v>3.0565764304554088</v>
      </c>
      <c r="O35" s="515">
        <f>Assumptions!$H$60*(1+Assumptions!$N$11)^(O7)</f>
        <v>3.1482737233690714</v>
      </c>
      <c r="P35" s="515">
        <f>Assumptions!$H$60*(1+Assumptions!$N$11)^(P7)</f>
        <v>3.2427219350701435</v>
      </c>
      <c r="Q35" s="515">
        <f>Assumptions!$H$60*(1+Assumptions!$N$11)^(Q7)</f>
        <v>3.3400035931222476</v>
      </c>
      <c r="R35" s="515">
        <f>Assumptions!$H$60*(1+Assumptions!$N$11)^(R7)</f>
        <v>3.4402037009159154</v>
      </c>
      <c r="S35" s="515">
        <f>Assumptions!$H$60*(1+Assumptions!$N$11)^(S7)</f>
        <v>3.543409811943393</v>
      </c>
      <c r="T35" s="515">
        <f>Assumptions!$H$60*(1+Assumptions!$N$11)^(T7)</f>
        <v>3.6497121063016946</v>
      </c>
      <c r="U35" s="515">
        <f>Assumptions!$H$60*(1+Assumptions!$N$11)^(U7)</f>
        <v>3.7592034694907452</v>
      </c>
      <c r="V35" s="515">
        <f>Assumptions!$H$60*(1+Assumptions!$N$11)^(V7)</f>
        <v>3.8719795735754685</v>
      </c>
      <c r="W35" s="515">
        <f>Assumptions!$H$60*(1+Assumptions!$N$11)^(W7)</f>
        <v>3.9881389607827322</v>
      </c>
      <c r="X35" s="515">
        <f>Assumptions!$H$60*(1+Assumptions!$N$11)^(X7)</f>
        <v>4.1077831296062142</v>
      </c>
      <c r="Y35" s="515">
        <f>Assumptions!$H$60*(1+Assumptions!$N$11)^(Y7)</f>
        <v>4.2310166234944013</v>
      </c>
      <c r="Z35" s="515">
        <f>Assumptions!$H$60*(1+Assumptions!$N$11)^(Z7)</f>
        <v>4.3579471221992332</v>
      </c>
      <c r="AA35" s="515">
        <f>Assumptions!$H$60*(1+Assumptions!$N$11)^(AA7)</f>
        <v>4.4886855358652111</v>
      </c>
      <c r="AB35" s="515">
        <f>Assumptions!$H$60*(1+Assumptions!$N$11)^(AB7)</f>
        <v>4.6233461019411672</v>
      </c>
      <c r="AC35" s="515">
        <f>Assumptions!$H$60*(1+Assumptions!$N$11)^(AC7)</f>
        <v>4.7620464849994022</v>
      </c>
      <c r="AD35" s="515">
        <f>Assumptions!$H$60*(1+Assumptions!$N$11)^(AD7)</f>
        <v>4.9049078795493841</v>
      </c>
      <c r="AE35" s="515">
        <f>Assumptions!$H$60*(1+Assumptions!$N$11)^(AE7)</f>
        <v>5.0520551159358655</v>
      </c>
      <c r="AF35" s="515">
        <f>Assumptions!$H$60*(1+Assumptions!$N$11)^(AF7)</f>
        <v>5.2036167694139408</v>
      </c>
      <c r="AG35" s="515">
        <f>Assumptions!$H$60*(1+Assumptions!$N$11)^(AG7)</f>
        <v>5.3597252724963607</v>
      </c>
      <c r="AH35" s="515">
        <f>Assumptions!$H$60*(1+Assumptions!$N$11)^(AH7)</f>
        <v>5.5205170306712503</v>
      </c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2"/>
      <c r="BJ35" s="12"/>
      <c r="BK35" s="12"/>
    </row>
    <row r="36" spans="1:63">
      <c r="A36" s="13"/>
      <c r="B36" s="13" t="s">
        <v>424</v>
      </c>
      <c r="C36" s="12"/>
      <c r="D36" s="495">
        <f>SUM(D34:D35)</f>
        <v>17.805402422318622</v>
      </c>
      <c r="E36" s="495">
        <f t="shared" ref="E36:AH36" si="5">SUM(E34:E35)</f>
        <v>17.873633819988179</v>
      </c>
      <c r="F36" s="495">
        <f t="shared" si="5"/>
        <v>17.943912159587825</v>
      </c>
      <c r="G36" s="495">
        <f t="shared" si="5"/>
        <v>18.01629884937546</v>
      </c>
      <c r="H36" s="495">
        <f t="shared" si="5"/>
        <v>18.090857139856723</v>
      </c>
      <c r="I36" s="495">
        <f t="shared" si="5"/>
        <v>18.167652179052425</v>
      </c>
      <c r="J36" s="495">
        <f t="shared" si="5"/>
        <v>18.246751069424</v>
      </c>
      <c r="K36" s="495">
        <f t="shared" si="5"/>
        <v>18.328222926506719</v>
      </c>
      <c r="L36" s="495">
        <f t="shared" si="5"/>
        <v>18.412138939301919</v>
      </c>
      <c r="M36" s="495">
        <f t="shared" si="5"/>
        <v>18.498572432480977</v>
      </c>
      <c r="N36" s="495">
        <f t="shared" si="5"/>
        <v>18.587598930455407</v>
      </c>
      <c r="O36" s="495">
        <f t="shared" si="5"/>
        <v>18.679296223369072</v>
      </c>
      <c r="P36" s="495">
        <f t="shared" si="5"/>
        <v>18.773744435070142</v>
      </c>
      <c r="Q36" s="495">
        <f t="shared" si="5"/>
        <v>18.871026093122246</v>
      </c>
      <c r="R36" s="495">
        <f t="shared" si="5"/>
        <v>18.971226200915915</v>
      </c>
      <c r="S36" s="495">
        <f t="shared" si="5"/>
        <v>19.07443231194339</v>
      </c>
      <c r="T36" s="495">
        <f t="shared" si="5"/>
        <v>19.180734606301694</v>
      </c>
      <c r="U36" s="495">
        <f t="shared" si="5"/>
        <v>19.290225969490745</v>
      </c>
      <c r="V36" s="495">
        <f t="shared" si="5"/>
        <v>19.403002073575468</v>
      </c>
      <c r="W36" s="495">
        <f t="shared" si="5"/>
        <v>19.51916146078273</v>
      </c>
      <c r="X36" s="495">
        <f t="shared" si="5"/>
        <v>19.638805629606214</v>
      </c>
      <c r="Y36" s="495">
        <f t="shared" si="5"/>
        <v>19.7620391234944</v>
      </c>
      <c r="Z36" s="495">
        <f t="shared" si="5"/>
        <v>19.888969622199234</v>
      </c>
      <c r="AA36" s="495">
        <f t="shared" si="5"/>
        <v>20.019708035865211</v>
      </c>
      <c r="AB36" s="495">
        <f t="shared" si="5"/>
        <v>20.154368601941165</v>
      </c>
      <c r="AC36" s="495">
        <f t="shared" si="5"/>
        <v>20.293068984999401</v>
      </c>
      <c r="AD36" s="495">
        <f t="shared" si="5"/>
        <v>20.435930379549383</v>
      </c>
      <c r="AE36" s="495">
        <f t="shared" si="5"/>
        <v>20.583077615935863</v>
      </c>
      <c r="AF36" s="495">
        <f t="shared" si="5"/>
        <v>20.73463926941394</v>
      </c>
      <c r="AG36" s="495">
        <f t="shared" si="5"/>
        <v>20.890747772496361</v>
      </c>
      <c r="AH36" s="495">
        <f t="shared" si="5"/>
        <v>21.051539530671249</v>
      </c>
      <c r="AI36" s="498"/>
      <c r="AJ36" s="498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</row>
    <row r="37" spans="1:63">
      <c r="A37" s="12"/>
      <c r="B37" s="13"/>
      <c r="C37" s="13"/>
      <c r="D37" s="498"/>
      <c r="E37" s="498"/>
      <c r="F37" s="498"/>
      <c r="G37" s="498"/>
      <c r="H37" s="498"/>
      <c r="I37" s="498"/>
      <c r="J37" s="498"/>
      <c r="K37" s="498"/>
      <c r="L37" s="498"/>
      <c r="M37" s="498"/>
      <c r="N37" s="498"/>
      <c r="O37" s="498"/>
      <c r="P37" s="498"/>
      <c r="Q37" s="498"/>
      <c r="R37" s="498"/>
      <c r="S37" s="498"/>
      <c r="T37" s="498"/>
      <c r="U37" s="498"/>
      <c r="V37" s="498"/>
      <c r="W37" s="498"/>
      <c r="X37" s="498"/>
      <c r="Y37" s="498"/>
      <c r="Z37" s="498"/>
      <c r="AA37" s="498"/>
      <c r="AB37" s="498"/>
      <c r="AC37" s="498"/>
      <c r="AD37" s="498"/>
      <c r="AE37" s="498"/>
      <c r="AF37" s="498"/>
      <c r="AG37" s="498"/>
      <c r="AH37" s="498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12"/>
      <c r="BJ37" s="12"/>
      <c r="BK37" s="12"/>
    </row>
    <row r="38" spans="1:63">
      <c r="A38" s="500" t="str">
        <f>Assumptions!W14</f>
        <v>Pass-through</v>
      </c>
      <c r="B38" s="43" t="s">
        <v>245</v>
      </c>
      <c r="C38" s="12"/>
      <c r="D38" s="512">
        <f>IF($A$38="Pass-through",D36,D34)</f>
        <v>17.805402422318622</v>
      </c>
      <c r="E38" s="513">
        <f t="shared" ref="E38:AH38" si="6">IF($A$38="Pass-through",E36,E34)</f>
        <v>17.873633819988179</v>
      </c>
      <c r="F38" s="513">
        <f t="shared" si="6"/>
        <v>17.943912159587825</v>
      </c>
      <c r="G38" s="513">
        <f t="shared" si="6"/>
        <v>18.01629884937546</v>
      </c>
      <c r="H38" s="513">
        <f t="shared" si="6"/>
        <v>18.090857139856723</v>
      </c>
      <c r="I38" s="513">
        <f t="shared" si="6"/>
        <v>18.167652179052425</v>
      </c>
      <c r="J38" s="513">
        <f t="shared" si="6"/>
        <v>18.246751069424</v>
      </c>
      <c r="K38" s="513">
        <f t="shared" si="6"/>
        <v>18.328222926506719</v>
      </c>
      <c r="L38" s="513">
        <f t="shared" si="6"/>
        <v>18.412138939301919</v>
      </c>
      <c r="M38" s="513">
        <f t="shared" si="6"/>
        <v>18.498572432480977</v>
      </c>
      <c r="N38" s="513">
        <f t="shared" si="6"/>
        <v>18.587598930455407</v>
      </c>
      <c r="O38" s="513">
        <f t="shared" si="6"/>
        <v>18.679296223369072</v>
      </c>
      <c r="P38" s="513">
        <f t="shared" si="6"/>
        <v>18.773744435070142</v>
      </c>
      <c r="Q38" s="513">
        <f t="shared" si="6"/>
        <v>18.871026093122246</v>
      </c>
      <c r="R38" s="514">
        <f t="shared" si="6"/>
        <v>18.971226200915915</v>
      </c>
      <c r="S38" s="512">
        <f t="shared" si="6"/>
        <v>19.07443231194339</v>
      </c>
      <c r="T38" s="513">
        <f t="shared" si="6"/>
        <v>19.180734606301694</v>
      </c>
      <c r="U38" s="513">
        <f t="shared" si="6"/>
        <v>19.290225969490745</v>
      </c>
      <c r="V38" s="513">
        <f t="shared" si="6"/>
        <v>19.403002073575468</v>
      </c>
      <c r="W38" s="513">
        <f t="shared" si="6"/>
        <v>19.51916146078273</v>
      </c>
      <c r="X38" s="513">
        <f t="shared" si="6"/>
        <v>19.638805629606214</v>
      </c>
      <c r="Y38" s="513">
        <f t="shared" si="6"/>
        <v>19.7620391234944</v>
      </c>
      <c r="Z38" s="513">
        <f t="shared" si="6"/>
        <v>19.888969622199234</v>
      </c>
      <c r="AA38" s="513">
        <f t="shared" si="6"/>
        <v>20.019708035865211</v>
      </c>
      <c r="AB38" s="513">
        <f t="shared" si="6"/>
        <v>20.154368601941165</v>
      </c>
      <c r="AC38" s="513">
        <f t="shared" si="6"/>
        <v>20.293068984999401</v>
      </c>
      <c r="AD38" s="513">
        <f t="shared" si="6"/>
        <v>20.435930379549383</v>
      </c>
      <c r="AE38" s="513">
        <f t="shared" si="6"/>
        <v>20.583077615935863</v>
      </c>
      <c r="AF38" s="513">
        <f t="shared" si="6"/>
        <v>20.73463926941394</v>
      </c>
      <c r="AG38" s="513">
        <f t="shared" si="6"/>
        <v>20.890747772496361</v>
      </c>
      <c r="AH38" s="514">
        <f t="shared" si="6"/>
        <v>21.051539530671249</v>
      </c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12"/>
      <c r="BF38" s="12"/>
      <c r="BG38" s="12"/>
      <c r="BH38" s="12"/>
      <c r="BI38" s="12"/>
      <c r="BJ38" s="12"/>
      <c r="BK38" s="12"/>
    </row>
    <row r="39" spans="1:63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2"/>
      <c r="BF39" s="12"/>
      <c r="BG39" s="12"/>
      <c r="BH39" s="12"/>
      <c r="BI39" s="12"/>
      <c r="BJ39" s="12"/>
      <c r="BK39" s="12"/>
    </row>
    <row r="40" spans="1:63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  <c r="BG40" s="12"/>
      <c r="BH40" s="12"/>
      <c r="BI40" s="12"/>
      <c r="BJ40" s="12"/>
      <c r="BK40" s="12"/>
    </row>
    <row r="41" spans="1:63">
      <c r="A41" s="12"/>
      <c r="B41" s="11" t="s">
        <v>464</v>
      </c>
      <c r="C41" s="12"/>
      <c r="D41" s="552">
        <f>Assumptions!H54</f>
        <v>28</v>
      </c>
      <c r="E41" s="552">
        <f>D41</f>
        <v>28</v>
      </c>
      <c r="F41" s="552">
        <f t="shared" ref="F41:AH41" si="7">E41</f>
        <v>28</v>
      </c>
      <c r="G41" s="552">
        <f t="shared" si="7"/>
        <v>28</v>
      </c>
      <c r="H41" s="552">
        <f t="shared" si="7"/>
        <v>28</v>
      </c>
      <c r="I41" s="552">
        <f t="shared" si="7"/>
        <v>28</v>
      </c>
      <c r="J41" s="552">
        <f t="shared" si="7"/>
        <v>28</v>
      </c>
      <c r="K41" s="552">
        <f t="shared" si="7"/>
        <v>28</v>
      </c>
      <c r="L41" s="552">
        <f t="shared" si="7"/>
        <v>28</v>
      </c>
      <c r="M41" s="552">
        <f t="shared" si="7"/>
        <v>28</v>
      </c>
      <c r="N41" s="552">
        <f t="shared" si="7"/>
        <v>28</v>
      </c>
      <c r="O41" s="552">
        <f t="shared" si="7"/>
        <v>28</v>
      </c>
      <c r="P41" s="552">
        <f t="shared" si="7"/>
        <v>28</v>
      </c>
      <c r="Q41" s="552">
        <f t="shared" si="7"/>
        <v>28</v>
      </c>
      <c r="R41" s="552">
        <f t="shared" si="7"/>
        <v>28</v>
      </c>
      <c r="S41" s="552">
        <f t="shared" si="7"/>
        <v>28</v>
      </c>
      <c r="T41" s="552">
        <f t="shared" si="7"/>
        <v>28</v>
      </c>
      <c r="U41" s="552">
        <f t="shared" si="7"/>
        <v>28</v>
      </c>
      <c r="V41" s="552">
        <f t="shared" si="7"/>
        <v>28</v>
      </c>
      <c r="W41" s="552">
        <f t="shared" si="7"/>
        <v>28</v>
      </c>
      <c r="X41" s="552">
        <f t="shared" si="7"/>
        <v>28</v>
      </c>
      <c r="Y41" s="552">
        <f t="shared" si="7"/>
        <v>28</v>
      </c>
      <c r="Z41" s="552">
        <f t="shared" si="7"/>
        <v>28</v>
      </c>
      <c r="AA41" s="552">
        <f t="shared" si="7"/>
        <v>28</v>
      </c>
      <c r="AB41" s="552">
        <f t="shared" si="7"/>
        <v>28</v>
      </c>
      <c r="AC41" s="552">
        <f t="shared" si="7"/>
        <v>28</v>
      </c>
      <c r="AD41" s="552">
        <f t="shared" si="7"/>
        <v>28</v>
      </c>
      <c r="AE41" s="552">
        <f t="shared" si="7"/>
        <v>28</v>
      </c>
      <c r="AF41" s="552">
        <f t="shared" si="7"/>
        <v>28</v>
      </c>
      <c r="AG41" s="552">
        <f t="shared" si="7"/>
        <v>28</v>
      </c>
      <c r="AH41" s="552">
        <f t="shared" si="7"/>
        <v>28</v>
      </c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  <c r="BH41" s="12"/>
      <c r="BI41" s="12"/>
      <c r="BJ41" s="12"/>
      <c r="BK41" s="12"/>
    </row>
    <row r="42" spans="1:63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  <c r="BC42" s="12"/>
      <c r="BD42" s="12"/>
      <c r="BE42" s="12"/>
      <c r="BF42" s="12"/>
      <c r="BG42" s="12"/>
      <c r="BH42" s="12"/>
      <c r="BI42" s="12"/>
      <c r="BJ42" s="12"/>
      <c r="BK42" s="12"/>
    </row>
    <row r="43" spans="1:63">
      <c r="A43" s="12"/>
      <c r="B43" s="493" t="s">
        <v>406</v>
      </c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  <c r="BF43" s="12"/>
      <c r="BG43" s="12"/>
      <c r="BH43" s="12"/>
      <c r="BI43" s="12"/>
      <c r="BJ43" s="12"/>
      <c r="BK43" s="12"/>
    </row>
    <row r="44" spans="1:63">
      <c r="A44" s="12"/>
      <c r="B44" s="12" t="s">
        <v>407</v>
      </c>
      <c r="C44" s="12"/>
      <c r="D44" s="65">
        <f>Assumptions!$H$14</f>
        <v>10100</v>
      </c>
      <c r="E44" s="65">
        <f>Assumptions!$H$14</f>
        <v>10100</v>
      </c>
      <c r="F44" s="65">
        <f>Assumptions!$H$14</f>
        <v>10100</v>
      </c>
      <c r="G44" s="65">
        <f>Assumptions!$H$14</f>
        <v>10100</v>
      </c>
      <c r="H44" s="65">
        <f>Assumptions!$H$14</f>
        <v>10100</v>
      </c>
      <c r="I44" s="65">
        <f>Assumptions!$H$14</f>
        <v>10100</v>
      </c>
      <c r="J44" s="65">
        <f>Assumptions!$H$14</f>
        <v>10100</v>
      </c>
      <c r="K44" s="65">
        <f>Assumptions!$H$14</f>
        <v>10100</v>
      </c>
      <c r="L44" s="65">
        <f>Assumptions!$H$14</f>
        <v>10100</v>
      </c>
      <c r="M44" s="65">
        <f>Assumptions!$H$14</f>
        <v>10100</v>
      </c>
      <c r="N44" s="65">
        <f>Assumptions!$H$14</f>
        <v>10100</v>
      </c>
      <c r="O44" s="65">
        <f>Assumptions!$H$14</f>
        <v>10100</v>
      </c>
      <c r="P44" s="65">
        <f>Assumptions!$H$14</f>
        <v>10100</v>
      </c>
      <c r="Q44" s="65">
        <f>Assumptions!$H$14</f>
        <v>10100</v>
      </c>
      <c r="R44" s="65">
        <f>Assumptions!$H$14</f>
        <v>10100</v>
      </c>
      <c r="S44" s="65">
        <f>Assumptions!$H$14</f>
        <v>10100</v>
      </c>
      <c r="T44" s="65">
        <f>Assumptions!$H$14</f>
        <v>10100</v>
      </c>
      <c r="U44" s="65">
        <f>Assumptions!$H$14</f>
        <v>10100</v>
      </c>
      <c r="V44" s="65">
        <f>Assumptions!$H$14</f>
        <v>10100</v>
      </c>
      <c r="W44" s="65">
        <f>Assumptions!$H$14</f>
        <v>10100</v>
      </c>
      <c r="X44" s="65">
        <f>Assumptions!$H$14</f>
        <v>10100</v>
      </c>
      <c r="Y44" s="65">
        <f>Assumptions!$H$14</f>
        <v>10100</v>
      </c>
      <c r="Z44" s="65">
        <f>Assumptions!$H$14</f>
        <v>10100</v>
      </c>
      <c r="AA44" s="65">
        <f>Assumptions!$H$14</f>
        <v>10100</v>
      </c>
      <c r="AB44" s="65">
        <f>Assumptions!$H$14</f>
        <v>10100</v>
      </c>
      <c r="AC44" s="65">
        <f>Assumptions!$H$14</f>
        <v>10100</v>
      </c>
      <c r="AD44" s="65">
        <f>Assumptions!$H$14</f>
        <v>10100</v>
      </c>
      <c r="AE44" s="65">
        <f>Assumptions!$H$14</f>
        <v>10100</v>
      </c>
      <c r="AF44" s="65">
        <f>Assumptions!$H$14</f>
        <v>10100</v>
      </c>
      <c r="AG44" s="65">
        <f>Assumptions!$H$14</f>
        <v>10100</v>
      </c>
      <c r="AH44" s="65">
        <f>Assumptions!$H$14</f>
        <v>10100</v>
      </c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  <c r="BC44" s="12"/>
      <c r="BD44" s="12"/>
      <c r="BE44" s="12"/>
      <c r="BF44" s="12"/>
      <c r="BG44" s="12"/>
      <c r="BH44" s="12"/>
      <c r="BI44" s="12"/>
      <c r="BJ44" s="12"/>
      <c r="BK44" s="12"/>
    </row>
    <row r="45" spans="1:63">
      <c r="A45" s="12"/>
      <c r="B45" s="12" t="s">
        <v>409</v>
      </c>
      <c r="C45" s="12"/>
      <c r="D45" s="520">
        <v>0.01</v>
      </c>
      <c r="E45" s="520">
        <v>0.01</v>
      </c>
      <c r="F45" s="520">
        <v>0.01</v>
      </c>
      <c r="G45" s="520">
        <v>0.01</v>
      </c>
      <c r="H45" s="520">
        <v>0.01</v>
      </c>
      <c r="I45" s="520">
        <v>0.01</v>
      </c>
      <c r="J45" s="520">
        <v>0.01</v>
      </c>
      <c r="K45" s="520">
        <v>0.01</v>
      </c>
      <c r="L45" s="520">
        <v>0.01</v>
      </c>
      <c r="M45" s="520">
        <v>0.01</v>
      </c>
      <c r="N45" s="520">
        <v>0.01</v>
      </c>
      <c r="O45" s="520">
        <v>0.01</v>
      </c>
      <c r="P45" s="520">
        <v>0.01</v>
      </c>
      <c r="Q45" s="520">
        <v>0.01</v>
      </c>
      <c r="R45" s="520">
        <v>0.01</v>
      </c>
      <c r="S45" s="520">
        <v>0.01</v>
      </c>
      <c r="T45" s="520">
        <v>0.01</v>
      </c>
      <c r="U45" s="520">
        <v>0.01</v>
      </c>
      <c r="V45" s="520">
        <v>0.01</v>
      </c>
      <c r="W45" s="520">
        <v>0.01</v>
      </c>
      <c r="X45" s="520">
        <v>0.01</v>
      </c>
      <c r="Y45" s="520">
        <v>0.01</v>
      </c>
      <c r="Z45" s="520">
        <v>0.01</v>
      </c>
      <c r="AA45" s="520">
        <v>0.01</v>
      </c>
      <c r="AB45" s="520">
        <v>0.01</v>
      </c>
      <c r="AC45" s="520">
        <v>0.01</v>
      </c>
      <c r="AD45" s="520">
        <v>0.01</v>
      </c>
      <c r="AE45" s="520">
        <v>0.01</v>
      </c>
      <c r="AF45" s="520">
        <v>0.01</v>
      </c>
      <c r="AG45" s="520">
        <v>0.01</v>
      </c>
      <c r="AH45" s="520">
        <v>0.01</v>
      </c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  <c r="BC45" s="12"/>
      <c r="BD45" s="12"/>
      <c r="BE45" s="12"/>
      <c r="BF45" s="12"/>
      <c r="BG45" s="12"/>
      <c r="BH45" s="12"/>
      <c r="BI45" s="12"/>
      <c r="BJ45" s="12"/>
      <c r="BK45" s="12"/>
    </row>
    <row r="46" spans="1:63">
      <c r="A46" s="12"/>
      <c r="B46" s="12" t="s">
        <v>408</v>
      </c>
      <c r="C46" s="12"/>
      <c r="D46" s="517">
        <f>D44*(1+D45)</f>
        <v>10201</v>
      </c>
      <c r="E46" s="518">
        <f t="shared" ref="E46:AH46" si="8">E44*(1+E45)</f>
        <v>10201</v>
      </c>
      <c r="F46" s="518">
        <f t="shared" si="8"/>
        <v>10201</v>
      </c>
      <c r="G46" s="518">
        <f t="shared" si="8"/>
        <v>10201</v>
      </c>
      <c r="H46" s="518">
        <f t="shared" si="8"/>
        <v>10201</v>
      </c>
      <c r="I46" s="518">
        <f t="shared" si="8"/>
        <v>10201</v>
      </c>
      <c r="J46" s="518">
        <f t="shared" si="8"/>
        <v>10201</v>
      </c>
      <c r="K46" s="518">
        <f t="shared" si="8"/>
        <v>10201</v>
      </c>
      <c r="L46" s="518">
        <f t="shared" si="8"/>
        <v>10201</v>
      </c>
      <c r="M46" s="518">
        <f t="shared" si="8"/>
        <v>10201</v>
      </c>
      <c r="N46" s="518">
        <f t="shared" si="8"/>
        <v>10201</v>
      </c>
      <c r="O46" s="518">
        <f t="shared" si="8"/>
        <v>10201</v>
      </c>
      <c r="P46" s="518">
        <f t="shared" si="8"/>
        <v>10201</v>
      </c>
      <c r="Q46" s="518">
        <f t="shared" si="8"/>
        <v>10201</v>
      </c>
      <c r="R46" s="519">
        <f t="shared" si="8"/>
        <v>10201</v>
      </c>
      <c r="S46" s="517">
        <f t="shared" si="8"/>
        <v>10201</v>
      </c>
      <c r="T46" s="518">
        <f t="shared" si="8"/>
        <v>10201</v>
      </c>
      <c r="U46" s="518">
        <f t="shared" si="8"/>
        <v>10201</v>
      </c>
      <c r="V46" s="518">
        <f t="shared" si="8"/>
        <v>10201</v>
      </c>
      <c r="W46" s="518">
        <f t="shared" si="8"/>
        <v>10201</v>
      </c>
      <c r="X46" s="518">
        <f t="shared" si="8"/>
        <v>10201</v>
      </c>
      <c r="Y46" s="518">
        <f t="shared" si="8"/>
        <v>10201</v>
      </c>
      <c r="Z46" s="518">
        <f t="shared" si="8"/>
        <v>10201</v>
      </c>
      <c r="AA46" s="518">
        <f t="shared" si="8"/>
        <v>10201</v>
      </c>
      <c r="AB46" s="518">
        <f t="shared" si="8"/>
        <v>10201</v>
      </c>
      <c r="AC46" s="518">
        <f t="shared" si="8"/>
        <v>10201</v>
      </c>
      <c r="AD46" s="518">
        <f t="shared" si="8"/>
        <v>10201</v>
      </c>
      <c r="AE46" s="518">
        <f t="shared" si="8"/>
        <v>10201</v>
      </c>
      <c r="AF46" s="518">
        <f t="shared" si="8"/>
        <v>10201</v>
      </c>
      <c r="AG46" s="518">
        <f t="shared" si="8"/>
        <v>10201</v>
      </c>
      <c r="AH46" s="519">
        <f t="shared" si="8"/>
        <v>10201</v>
      </c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  <c r="BC46" s="12"/>
      <c r="BD46" s="12"/>
      <c r="BE46" s="12"/>
      <c r="BF46" s="12"/>
      <c r="BG46" s="12"/>
      <c r="BH46" s="12"/>
      <c r="BI46" s="12"/>
      <c r="BJ46" s="12"/>
      <c r="BK46" s="12"/>
    </row>
    <row r="47" spans="1:63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  <c r="BC47" s="12"/>
      <c r="BD47" s="12"/>
      <c r="BE47" s="12"/>
      <c r="BF47" s="12"/>
      <c r="BG47" s="12"/>
      <c r="BH47" s="12"/>
      <c r="BI47" s="12"/>
      <c r="BJ47" s="12"/>
      <c r="BK47" s="12"/>
    </row>
    <row r="48" spans="1:63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2"/>
      <c r="BC48" s="12"/>
      <c r="BD48" s="12"/>
      <c r="BE48" s="12"/>
      <c r="BF48" s="12"/>
      <c r="BG48" s="12"/>
      <c r="BH48" s="12"/>
      <c r="BI48" s="12"/>
      <c r="BJ48" s="12"/>
      <c r="BK48" s="12"/>
    </row>
    <row r="49" spans="1:63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</row>
    <row r="50" spans="1:63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  <c r="BC50" s="12"/>
      <c r="BD50" s="12"/>
      <c r="BE50" s="12"/>
      <c r="BF50" s="12"/>
      <c r="BG50" s="12"/>
      <c r="BH50" s="12"/>
      <c r="BI50" s="12"/>
      <c r="BJ50" s="12"/>
      <c r="BK50" s="12"/>
    </row>
    <row r="51" spans="1:63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12"/>
      <c r="BF51" s="12"/>
      <c r="BG51" s="12"/>
      <c r="BH51" s="12"/>
      <c r="BI51" s="12"/>
      <c r="BJ51" s="12"/>
      <c r="BK51" s="12"/>
    </row>
    <row r="52" spans="1:63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  <c r="BC52" s="12"/>
      <c r="BD52" s="12"/>
      <c r="BE52" s="12"/>
      <c r="BF52" s="12"/>
      <c r="BG52" s="12"/>
      <c r="BH52" s="12"/>
      <c r="BI52" s="12"/>
      <c r="BJ52" s="12"/>
      <c r="BK52" s="12"/>
    </row>
    <row r="53" spans="1:6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2"/>
      <c r="BD53" s="12"/>
      <c r="BE53" s="12"/>
      <c r="BF53" s="12"/>
      <c r="BG53" s="12"/>
      <c r="BH53" s="12"/>
      <c r="BI53" s="12"/>
      <c r="BJ53" s="12"/>
      <c r="BK53" s="12"/>
    </row>
    <row r="54" spans="1:63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  <c r="BC54" s="12"/>
      <c r="BD54" s="12"/>
      <c r="BE54" s="12"/>
      <c r="BF54" s="12"/>
      <c r="BG54" s="12"/>
      <c r="BH54" s="12"/>
      <c r="BI54" s="12"/>
      <c r="BJ54" s="12"/>
      <c r="BK54" s="12"/>
    </row>
    <row r="55" spans="1:63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  <c r="AZ55" s="12"/>
      <c r="BA55" s="12"/>
      <c r="BB55" s="12"/>
      <c r="BC55" s="12"/>
      <c r="BD55" s="12"/>
      <c r="BE55" s="12"/>
      <c r="BF55" s="12"/>
      <c r="BG55" s="12"/>
      <c r="BH55" s="12"/>
      <c r="BI55" s="12"/>
      <c r="BJ55" s="12"/>
      <c r="BK55" s="12"/>
    </row>
    <row r="56" spans="1:63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  <c r="BC56" s="12"/>
      <c r="BD56" s="12"/>
      <c r="BE56" s="12"/>
      <c r="BF56" s="12"/>
      <c r="BG56" s="12"/>
      <c r="BH56" s="12"/>
      <c r="BI56" s="12"/>
      <c r="BJ56" s="12"/>
      <c r="BK56" s="12"/>
    </row>
    <row r="57" spans="1:63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  <c r="BC57" s="12"/>
      <c r="BD57" s="12"/>
      <c r="BE57" s="12"/>
      <c r="BF57" s="12"/>
      <c r="BG57" s="12"/>
      <c r="BH57" s="12"/>
      <c r="BI57" s="12"/>
      <c r="BJ57" s="12"/>
      <c r="BK57" s="12"/>
    </row>
    <row r="58" spans="1:63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2"/>
      <c r="AZ58" s="12"/>
      <c r="BA58" s="12"/>
      <c r="BB58" s="12"/>
      <c r="BC58" s="12"/>
      <c r="BD58" s="12"/>
      <c r="BE58" s="12"/>
      <c r="BF58" s="12"/>
      <c r="BG58" s="12"/>
      <c r="BH58" s="12"/>
      <c r="BI58" s="12"/>
      <c r="BJ58" s="12"/>
      <c r="BK58" s="12"/>
    </row>
    <row r="59" spans="1:63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2"/>
      <c r="AZ59" s="12"/>
      <c r="BA59" s="12"/>
      <c r="BB59" s="12"/>
      <c r="BC59" s="12"/>
      <c r="BD59" s="12"/>
      <c r="BE59" s="12"/>
      <c r="BF59" s="12"/>
      <c r="BG59" s="12"/>
      <c r="BH59" s="12"/>
      <c r="BI59" s="12"/>
      <c r="BJ59" s="12"/>
      <c r="BK59" s="12"/>
    </row>
    <row r="60" spans="1:63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  <c r="AZ60" s="12"/>
      <c r="BA60" s="12"/>
      <c r="BB60" s="12"/>
      <c r="BC60" s="12"/>
      <c r="BD60" s="12"/>
      <c r="BE60" s="12"/>
      <c r="BF60" s="12"/>
      <c r="BG60" s="12"/>
      <c r="BH60" s="12"/>
      <c r="BI60" s="12"/>
      <c r="BJ60" s="12"/>
      <c r="BK60" s="12"/>
    </row>
    <row r="61" spans="1:63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V61" s="12"/>
      <c r="AW61" s="12"/>
      <c r="AX61" s="12"/>
      <c r="AY61" s="12"/>
      <c r="AZ61" s="12"/>
      <c r="BA61" s="12"/>
      <c r="BB61" s="12"/>
      <c r="BC61" s="12"/>
      <c r="BD61" s="12"/>
      <c r="BE61" s="12"/>
      <c r="BF61" s="12"/>
      <c r="BG61" s="12"/>
      <c r="BH61" s="12"/>
      <c r="BI61" s="12"/>
      <c r="BJ61" s="12"/>
      <c r="BK61" s="12"/>
    </row>
    <row r="62" spans="1:63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  <c r="AV62" s="12"/>
      <c r="AW62" s="12"/>
      <c r="AX62" s="12"/>
      <c r="AY62" s="12"/>
      <c r="AZ62" s="12"/>
      <c r="BA62" s="12"/>
      <c r="BB62" s="12"/>
      <c r="BC62" s="12"/>
      <c r="BD62" s="12"/>
      <c r="BE62" s="12"/>
      <c r="BF62" s="12"/>
      <c r="BG62" s="12"/>
      <c r="BH62" s="12"/>
      <c r="BI62" s="12"/>
      <c r="BJ62" s="12"/>
      <c r="BK62" s="12"/>
    </row>
  </sheetData>
  <pageMargins left="0.45" right="0.45" top="0.5" bottom="0.5" header="0.25" footer="0.25"/>
  <pageSetup scale="59" fitToWidth="2" orientation="landscape" r:id="rId1"/>
  <headerFooter alignWithMargins="0">
    <oddFooter xml:space="preserve">&amp;L&amp;T, &amp;D&amp;C&amp;F&amp;R&amp;P </oddFooter>
  </headerFooter>
  <colBreaks count="1" manualBreakCount="1">
    <brk id="18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17"/>
  <sheetViews>
    <sheetView topLeftCell="B1" workbookViewId="0">
      <selection activeCell="M16" sqref="M16"/>
    </sheetView>
  </sheetViews>
  <sheetFormatPr defaultRowHeight="12.75"/>
  <cols>
    <col min="1" max="1" width="34.85546875" style="12" customWidth="1"/>
    <col min="2" max="2" width="1.7109375" style="12" customWidth="1"/>
    <col min="3" max="12" width="9.85546875" style="12" bestFit="1" customWidth="1"/>
    <col min="13" max="16384" width="9.140625" style="12"/>
  </cols>
  <sheetData>
    <row r="2" spans="1:32">
      <c r="A2" s="229" t="s">
        <v>335</v>
      </c>
    </row>
    <row r="3" spans="1:32">
      <c r="A3" s="230" t="s">
        <v>471</v>
      </c>
    </row>
    <row r="4" spans="1:32">
      <c r="A4" s="230"/>
      <c r="C4" s="553">
        <f>'Price_Technical Assumption'!D8</f>
        <v>2001</v>
      </c>
      <c r="D4" s="554">
        <f>'Price_Technical Assumption'!E8</f>
        <v>2002</v>
      </c>
      <c r="E4" s="554">
        <f>'Price_Technical Assumption'!F8</f>
        <v>2003</v>
      </c>
      <c r="F4" s="554">
        <f>'Price_Technical Assumption'!G8</f>
        <v>2004</v>
      </c>
      <c r="G4" s="554">
        <f>'Price_Technical Assumption'!H8</f>
        <v>2005</v>
      </c>
      <c r="H4" s="554">
        <f>'Price_Technical Assumption'!I8</f>
        <v>2006</v>
      </c>
      <c r="I4" s="554">
        <f>'Price_Technical Assumption'!J8</f>
        <v>2007</v>
      </c>
      <c r="J4" s="554">
        <f>'Price_Technical Assumption'!K8</f>
        <v>2008</v>
      </c>
      <c r="K4" s="554">
        <f>'Price_Technical Assumption'!L8</f>
        <v>2009</v>
      </c>
      <c r="L4" s="554">
        <f>'Price_Technical Assumption'!M8</f>
        <v>2010</v>
      </c>
      <c r="M4" s="554">
        <f>'Price_Technical Assumption'!N8</f>
        <v>2011</v>
      </c>
      <c r="N4" s="554">
        <f>'Price_Technical Assumption'!O8</f>
        <v>2012</v>
      </c>
      <c r="O4" s="554">
        <f>'Price_Technical Assumption'!P8</f>
        <v>2013</v>
      </c>
      <c r="P4" s="554">
        <f>'Price_Technical Assumption'!Q8</f>
        <v>2014</v>
      </c>
      <c r="Q4" s="554">
        <f>'Price_Technical Assumption'!R8</f>
        <v>2015</v>
      </c>
      <c r="R4" s="554">
        <f>'Price_Technical Assumption'!S8</f>
        <v>2016</v>
      </c>
      <c r="S4" s="554">
        <f>'Price_Technical Assumption'!T8</f>
        <v>2017</v>
      </c>
      <c r="T4" s="554">
        <f>'Price_Technical Assumption'!U8</f>
        <v>2018</v>
      </c>
      <c r="U4" s="554">
        <f>'Price_Technical Assumption'!V8</f>
        <v>2019</v>
      </c>
      <c r="V4" s="554">
        <f>'Price_Technical Assumption'!W8</f>
        <v>2020</v>
      </c>
      <c r="W4" s="554">
        <f>'Price_Technical Assumption'!X8</f>
        <v>2021</v>
      </c>
      <c r="X4" s="554">
        <f>'Price_Technical Assumption'!Y8</f>
        <v>2022</v>
      </c>
      <c r="Y4" s="554">
        <f>'Price_Technical Assumption'!Z8</f>
        <v>2023</v>
      </c>
      <c r="Z4" s="554">
        <f>'Price_Technical Assumption'!AA8</f>
        <v>2024</v>
      </c>
      <c r="AA4" s="554">
        <f>'Price_Technical Assumption'!AB8</f>
        <v>2025</v>
      </c>
      <c r="AB4" s="554">
        <f>'Price_Technical Assumption'!AC8</f>
        <v>2026</v>
      </c>
      <c r="AC4" s="554">
        <f>'Price_Technical Assumption'!AD8</f>
        <v>2027</v>
      </c>
      <c r="AD4" s="554">
        <f>'Price_Technical Assumption'!AE8</f>
        <v>2028</v>
      </c>
      <c r="AE4" s="554">
        <f>'Price_Technical Assumption'!AF8</f>
        <v>2029</v>
      </c>
      <c r="AF4" s="555">
        <f>'Price_Technical Assumption'!AG8</f>
        <v>2030</v>
      </c>
    </row>
    <row r="5" spans="1:32">
      <c r="A5" s="11" t="s">
        <v>41</v>
      </c>
    </row>
    <row r="6" spans="1:32">
      <c r="A6" s="12" t="s">
        <v>468</v>
      </c>
      <c r="C6" s="550">
        <v>4.3099999999999996</v>
      </c>
      <c r="D6" s="550">
        <v>4.22</v>
      </c>
      <c r="E6" s="550">
        <v>4.13</v>
      </c>
      <c r="F6" s="550">
        <v>4.13</v>
      </c>
      <c r="G6" s="550">
        <v>4.12</v>
      </c>
      <c r="H6" s="550">
        <v>4.12</v>
      </c>
      <c r="I6" s="550">
        <v>4.1500000000000004</v>
      </c>
      <c r="J6" s="550">
        <v>4.16</v>
      </c>
      <c r="K6" s="550">
        <v>4.25</v>
      </c>
      <c r="L6" s="550">
        <v>4.28</v>
      </c>
      <c r="M6" s="556">
        <f>L6</f>
        <v>4.28</v>
      </c>
      <c r="N6" s="556">
        <f t="shared" ref="N6:AF6" si="0">M6</f>
        <v>4.28</v>
      </c>
      <c r="O6" s="556">
        <f t="shared" si="0"/>
        <v>4.28</v>
      </c>
      <c r="P6" s="556">
        <f t="shared" si="0"/>
        <v>4.28</v>
      </c>
      <c r="Q6" s="556">
        <f t="shared" si="0"/>
        <v>4.28</v>
      </c>
      <c r="R6" s="556">
        <f t="shared" si="0"/>
        <v>4.28</v>
      </c>
      <c r="S6" s="556">
        <f t="shared" si="0"/>
        <v>4.28</v>
      </c>
      <c r="T6" s="556">
        <f t="shared" si="0"/>
        <v>4.28</v>
      </c>
      <c r="U6" s="556">
        <f t="shared" si="0"/>
        <v>4.28</v>
      </c>
      <c r="V6" s="556">
        <f t="shared" si="0"/>
        <v>4.28</v>
      </c>
      <c r="W6" s="556">
        <f t="shared" si="0"/>
        <v>4.28</v>
      </c>
      <c r="X6" s="556">
        <f t="shared" si="0"/>
        <v>4.28</v>
      </c>
      <c r="Y6" s="556">
        <f t="shared" si="0"/>
        <v>4.28</v>
      </c>
      <c r="Z6" s="556">
        <f t="shared" si="0"/>
        <v>4.28</v>
      </c>
      <c r="AA6" s="556">
        <f t="shared" si="0"/>
        <v>4.28</v>
      </c>
      <c r="AB6" s="556">
        <f t="shared" si="0"/>
        <v>4.28</v>
      </c>
      <c r="AC6" s="556">
        <f t="shared" si="0"/>
        <v>4.28</v>
      </c>
      <c r="AD6" s="556">
        <f t="shared" si="0"/>
        <v>4.28</v>
      </c>
      <c r="AE6" s="556">
        <f t="shared" si="0"/>
        <v>4.28</v>
      </c>
      <c r="AF6" s="556">
        <f t="shared" si="0"/>
        <v>4.28</v>
      </c>
    </row>
    <row r="8" spans="1:32">
      <c r="A8" s="12" t="s">
        <v>473</v>
      </c>
      <c r="C8" s="560">
        <v>15544.94</v>
      </c>
      <c r="D8" s="560">
        <v>15996.22</v>
      </c>
      <c r="E8" s="560">
        <v>16200.055</v>
      </c>
      <c r="F8" s="560">
        <v>16546.174999999999</v>
      </c>
      <c r="G8" s="560">
        <v>16734.54</v>
      </c>
      <c r="H8" s="560">
        <v>16892.733</v>
      </c>
      <c r="I8" s="560">
        <v>17049.164000000001</v>
      </c>
      <c r="J8" s="560">
        <v>17195.86</v>
      </c>
      <c r="K8" s="560">
        <v>17267.466</v>
      </c>
      <c r="L8" s="560">
        <v>17393.796999999999</v>
      </c>
    </row>
    <row r="10" spans="1:32">
      <c r="A10" s="11" t="s">
        <v>469</v>
      </c>
    </row>
    <row r="11" spans="1:32">
      <c r="A11" s="12" t="s">
        <v>237</v>
      </c>
      <c r="C11" s="551">
        <v>14580.003000000001</v>
      </c>
      <c r="D11" s="551">
        <v>14997.486999999999</v>
      </c>
      <c r="E11" s="551">
        <v>15203.159</v>
      </c>
      <c r="F11" s="551">
        <v>15546.749</v>
      </c>
      <c r="G11" s="551">
        <v>15741.839</v>
      </c>
      <c r="H11" s="551">
        <v>15910.637000000001</v>
      </c>
      <c r="I11" s="551">
        <v>16076.874</v>
      </c>
      <c r="J11" s="551">
        <v>16234.955</v>
      </c>
      <c r="K11" s="551">
        <v>16321.38</v>
      </c>
      <c r="L11" s="551">
        <v>16456.793000000001</v>
      </c>
    </row>
    <row r="12" spans="1:32">
      <c r="A12" s="12" t="s">
        <v>246</v>
      </c>
      <c r="C12" s="551">
        <v>964.93700000000001</v>
      </c>
      <c r="D12" s="551">
        <v>998.73299999999995</v>
      </c>
      <c r="E12" s="551">
        <v>996.89599999999996</v>
      </c>
      <c r="F12" s="551">
        <v>999.42600000000004</v>
      </c>
      <c r="G12" s="551">
        <v>992.70100000000002</v>
      </c>
      <c r="H12" s="551">
        <v>982.09699999999998</v>
      </c>
      <c r="I12" s="551">
        <v>972.29</v>
      </c>
      <c r="J12" s="551">
        <v>960.90499999999997</v>
      </c>
      <c r="K12" s="551">
        <v>946.08500000000004</v>
      </c>
      <c r="L12" s="551">
        <v>937.00400000000002</v>
      </c>
    </row>
    <row r="14" spans="1:32">
      <c r="A14" s="229" t="s">
        <v>465</v>
      </c>
    </row>
    <row r="16" spans="1:32">
      <c r="A16" s="12" t="s">
        <v>466</v>
      </c>
      <c r="C16" s="18">
        <v>444454.18</v>
      </c>
      <c r="D16" s="18">
        <v>780058.98</v>
      </c>
      <c r="E16" s="18">
        <v>853098.52</v>
      </c>
      <c r="F16" s="18">
        <v>895576.95</v>
      </c>
      <c r="G16" s="18">
        <v>890978.86</v>
      </c>
      <c r="H16" s="18">
        <v>884420.04</v>
      </c>
      <c r="I16" s="18">
        <v>829190.78</v>
      </c>
      <c r="J16" s="18">
        <v>839458.88</v>
      </c>
      <c r="K16" s="18">
        <v>829528.9</v>
      </c>
      <c r="L16" s="18">
        <v>563847.9</v>
      </c>
    </row>
    <row r="17" spans="1:12">
      <c r="A17" s="12" t="s">
        <v>467</v>
      </c>
      <c r="C17" s="557">
        <v>15094.311</v>
      </c>
      <c r="D17" s="557">
        <v>24529.596000000001</v>
      </c>
      <c r="E17" s="557">
        <v>26860.987000000001</v>
      </c>
      <c r="F17" s="557">
        <v>28207.439999999999</v>
      </c>
      <c r="G17" s="557">
        <v>28131.985000000001</v>
      </c>
      <c r="H17" s="557">
        <v>28053.978999999999</v>
      </c>
      <c r="I17" s="557">
        <v>26286.584999999999</v>
      </c>
      <c r="J17" s="557">
        <v>26802.971000000001</v>
      </c>
      <c r="K17" s="557">
        <v>26892.871999999999</v>
      </c>
      <c r="L17" s="557">
        <v>19682.797999999999</v>
      </c>
    </row>
  </sheetData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2:AU66"/>
  <sheetViews>
    <sheetView zoomScale="75" zoomScaleNormal="75" workbookViewId="0">
      <selection activeCell="C10" sqref="C10"/>
    </sheetView>
  </sheetViews>
  <sheetFormatPr defaultRowHeight="12.75"/>
  <cols>
    <col min="1" max="1" width="34.42578125" style="12" customWidth="1"/>
    <col min="2" max="2" width="11.28515625" style="12" bestFit="1" customWidth="1"/>
    <col min="3" max="23" width="12.5703125" style="12" customWidth="1"/>
    <col min="24" max="24" width="13.28515625" style="12" bestFit="1" customWidth="1"/>
    <col min="25" max="26" width="13.28515625" style="6" customWidth="1"/>
    <col min="27" max="33" width="13.28515625" style="12" customWidth="1"/>
    <col min="34" max="16384" width="9.140625" style="12"/>
  </cols>
  <sheetData>
    <row r="2" spans="1:33" ht="18.75">
      <c r="A2" s="87" t="str">
        <f>Assumptions!A3</f>
        <v>PROJECT NAME:  Retail Shorts</v>
      </c>
    </row>
    <row r="4" spans="1:33" ht="18.75">
      <c r="A4" s="60" t="s">
        <v>93</v>
      </c>
      <c r="B4" s="5"/>
    </row>
    <row r="6" spans="1:33">
      <c r="C6" s="212">
        <f>'Price_Technical Assumption'!D7</f>
        <v>0.66666666666666663</v>
      </c>
      <c r="D6" s="212">
        <f>'Price_Technical Assumption'!E7</f>
        <v>1.6666666666666665</v>
      </c>
      <c r="E6" s="212">
        <f>'Price_Technical Assumption'!F7</f>
        <v>2.6666666666666665</v>
      </c>
      <c r="F6" s="212">
        <f>'Price_Technical Assumption'!G7</f>
        <v>3.6666666666666665</v>
      </c>
      <c r="G6" s="212">
        <f>'Price_Technical Assumption'!H7</f>
        <v>4.6666666666666661</v>
      </c>
      <c r="H6" s="212">
        <f>'Price_Technical Assumption'!I7</f>
        <v>5.6666666666666661</v>
      </c>
      <c r="I6" s="212">
        <f>'Price_Technical Assumption'!J7</f>
        <v>6.6666666666666661</v>
      </c>
      <c r="J6" s="212">
        <f>'Price_Technical Assumption'!K7</f>
        <v>7.6666666666666661</v>
      </c>
      <c r="K6" s="212">
        <f>'Price_Technical Assumption'!L7</f>
        <v>8.6666666666666661</v>
      </c>
      <c r="L6" s="212">
        <f>'Price_Technical Assumption'!M7</f>
        <v>9.6666666666666661</v>
      </c>
      <c r="M6" s="212">
        <f>'Price_Technical Assumption'!N7</f>
        <v>10.666666666666666</v>
      </c>
      <c r="N6" s="212">
        <f>'Price_Technical Assumption'!O7</f>
        <v>11.666666666666666</v>
      </c>
      <c r="O6" s="212">
        <f>'Price_Technical Assumption'!P7</f>
        <v>12.666666666666666</v>
      </c>
      <c r="P6" s="212">
        <f>'Price_Technical Assumption'!Q7</f>
        <v>13.666666666666666</v>
      </c>
      <c r="Q6" s="212">
        <f>'Price_Technical Assumption'!R7</f>
        <v>14.666666666666666</v>
      </c>
      <c r="R6" s="212">
        <f>'Price_Technical Assumption'!S7</f>
        <v>15.666666666666666</v>
      </c>
      <c r="S6" s="212">
        <f>'Price_Technical Assumption'!T7</f>
        <v>16.666666666666664</v>
      </c>
      <c r="T6" s="212">
        <f>'Price_Technical Assumption'!U7</f>
        <v>17.666666666666664</v>
      </c>
      <c r="U6" s="212">
        <f>'Price_Technical Assumption'!V7</f>
        <v>18.666666666666664</v>
      </c>
      <c r="V6" s="212">
        <f>'Price_Technical Assumption'!W7</f>
        <v>19.666666666666664</v>
      </c>
      <c r="W6" s="212">
        <f>'Price_Technical Assumption'!X7</f>
        <v>20.666666666666664</v>
      </c>
      <c r="X6" s="212">
        <f>'Price_Technical Assumption'!Y7</f>
        <v>21.666666666666664</v>
      </c>
      <c r="Y6" s="212">
        <f>'Price_Technical Assumption'!Z7</f>
        <v>22.666666666666664</v>
      </c>
      <c r="Z6" s="212">
        <f>'Price_Technical Assumption'!AA7</f>
        <v>23.666666666666664</v>
      </c>
      <c r="AA6" s="212">
        <f>'Price_Technical Assumption'!AB7</f>
        <v>24.666666666666664</v>
      </c>
      <c r="AB6" s="212">
        <f>'Price_Technical Assumption'!AC7</f>
        <v>25.666666666666664</v>
      </c>
      <c r="AC6" s="212">
        <f>'Price_Technical Assumption'!AD7</f>
        <v>26.666666666666664</v>
      </c>
      <c r="AD6" s="212">
        <f>'Price_Technical Assumption'!AE7</f>
        <v>27.666666666666664</v>
      </c>
      <c r="AE6" s="212">
        <f>'Price_Technical Assumption'!AF7</f>
        <v>28.666666666666664</v>
      </c>
      <c r="AF6" s="212">
        <f>'Price_Technical Assumption'!AG7</f>
        <v>29.666666666666664</v>
      </c>
      <c r="AG6" s="212">
        <f>'Price_Technical Assumption'!AH7</f>
        <v>30.666666666666664</v>
      </c>
    </row>
    <row r="7" spans="1:33" s="6" customFormat="1" ht="13.5" thickBot="1">
      <c r="A7" s="123" t="s">
        <v>40</v>
      </c>
      <c r="B7" s="7"/>
      <c r="C7" s="7">
        <f>'Price_Technical Assumption'!D8</f>
        <v>2001</v>
      </c>
      <c r="D7" s="7">
        <f>'Price_Technical Assumption'!E8</f>
        <v>2002</v>
      </c>
      <c r="E7" s="7">
        <f>'Price_Technical Assumption'!F8</f>
        <v>2003</v>
      </c>
      <c r="F7" s="7">
        <f>'Price_Technical Assumption'!G8</f>
        <v>2004</v>
      </c>
      <c r="G7" s="7">
        <f>'Price_Technical Assumption'!H8</f>
        <v>2005</v>
      </c>
      <c r="H7" s="7">
        <f>'Price_Technical Assumption'!I8</f>
        <v>2006</v>
      </c>
      <c r="I7" s="7">
        <f>'Price_Technical Assumption'!J8</f>
        <v>2007</v>
      </c>
      <c r="J7" s="7">
        <f>'Price_Technical Assumption'!K8</f>
        <v>2008</v>
      </c>
      <c r="K7" s="7">
        <f>'Price_Technical Assumption'!L8</f>
        <v>2009</v>
      </c>
      <c r="L7" s="7">
        <f>'Price_Technical Assumption'!M8</f>
        <v>2010</v>
      </c>
      <c r="M7" s="7">
        <f>'Price_Technical Assumption'!N8</f>
        <v>2011</v>
      </c>
      <c r="N7" s="7">
        <f>'Price_Technical Assumption'!O8</f>
        <v>2012</v>
      </c>
      <c r="O7" s="7">
        <f>'Price_Technical Assumption'!P8</f>
        <v>2013</v>
      </c>
      <c r="P7" s="7">
        <f>'Price_Technical Assumption'!Q8</f>
        <v>2014</v>
      </c>
      <c r="Q7" s="7">
        <f>'Price_Technical Assumption'!R8</f>
        <v>2015</v>
      </c>
      <c r="R7" s="7">
        <f>'Price_Technical Assumption'!S8</f>
        <v>2016</v>
      </c>
      <c r="S7" s="7">
        <f>'Price_Technical Assumption'!T8</f>
        <v>2017</v>
      </c>
      <c r="T7" s="7">
        <f>'Price_Technical Assumption'!U8</f>
        <v>2018</v>
      </c>
      <c r="U7" s="7">
        <f>'Price_Technical Assumption'!V8</f>
        <v>2019</v>
      </c>
      <c r="V7" s="7">
        <f>'Price_Technical Assumption'!W8</f>
        <v>2020</v>
      </c>
      <c r="W7" s="7">
        <f>'Price_Technical Assumption'!X8</f>
        <v>2021</v>
      </c>
      <c r="X7" s="7">
        <f>'Price_Technical Assumption'!Y8</f>
        <v>2022</v>
      </c>
      <c r="Y7" s="7">
        <f>'Price_Technical Assumption'!Z8</f>
        <v>2023</v>
      </c>
      <c r="Z7" s="7">
        <f>'Price_Technical Assumption'!AA8</f>
        <v>2024</v>
      </c>
      <c r="AA7" s="7">
        <f>'Price_Technical Assumption'!AB8</f>
        <v>2025</v>
      </c>
      <c r="AB7" s="7">
        <f>'Price_Technical Assumption'!AC8</f>
        <v>2026</v>
      </c>
      <c r="AC7" s="7">
        <f>'Price_Technical Assumption'!AD8</f>
        <v>2027</v>
      </c>
      <c r="AD7" s="7">
        <f>'Price_Technical Assumption'!AE8</f>
        <v>2028</v>
      </c>
      <c r="AE7" s="7">
        <f>'Price_Technical Assumption'!AF8</f>
        <v>2029</v>
      </c>
      <c r="AF7" s="7">
        <f>'Price_Technical Assumption'!AG8</f>
        <v>2030</v>
      </c>
      <c r="AG7" s="7">
        <f>'Price_Technical Assumption'!AH8</f>
        <v>2031</v>
      </c>
    </row>
    <row r="8" spans="1:33">
      <c r="A8" s="2"/>
      <c r="C8" s="369">
        <v>37256</v>
      </c>
      <c r="D8" s="369">
        <v>37621</v>
      </c>
      <c r="E8" s="369">
        <v>37986</v>
      </c>
      <c r="F8" s="369">
        <v>38352</v>
      </c>
      <c r="G8" s="369">
        <v>38717</v>
      </c>
      <c r="H8" s="369">
        <v>39082</v>
      </c>
      <c r="I8" s="369">
        <v>39447</v>
      </c>
      <c r="J8" s="369">
        <v>39813</v>
      </c>
      <c r="K8" s="369">
        <v>40178</v>
      </c>
      <c r="L8" s="369">
        <v>40543</v>
      </c>
      <c r="M8" s="369">
        <v>40908</v>
      </c>
      <c r="N8" s="369">
        <v>41274</v>
      </c>
      <c r="O8" s="369">
        <v>41639</v>
      </c>
      <c r="P8" s="369">
        <v>42004</v>
      </c>
      <c r="Q8" s="369">
        <v>42369</v>
      </c>
      <c r="R8" s="369">
        <v>42735</v>
      </c>
      <c r="S8" s="369">
        <v>43100</v>
      </c>
      <c r="T8" s="369">
        <v>43465</v>
      </c>
      <c r="U8" s="369">
        <v>43830</v>
      </c>
      <c r="V8" s="369">
        <v>44196</v>
      </c>
      <c r="W8" s="369">
        <v>44561</v>
      </c>
      <c r="X8" s="369">
        <v>44926</v>
      </c>
      <c r="Y8" s="369">
        <v>45291</v>
      </c>
      <c r="Z8" s="369">
        <v>45657</v>
      </c>
      <c r="AA8" s="369">
        <v>46022</v>
      </c>
      <c r="AB8" s="369">
        <v>46387</v>
      </c>
      <c r="AC8" s="369">
        <v>46752</v>
      </c>
      <c r="AD8" s="369">
        <v>47118</v>
      </c>
      <c r="AE8" s="369">
        <v>47483</v>
      </c>
      <c r="AF8" s="369">
        <v>47848</v>
      </c>
      <c r="AG8" s="369">
        <v>48213</v>
      </c>
    </row>
    <row r="9" spans="1:33">
      <c r="A9" s="1" t="s">
        <v>41</v>
      </c>
      <c r="C9" s="65"/>
      <c r="D9" s="65"/>
      <c r="E9" s="65"/>
      <c r="F9" s="65"/>
      <c r="G9" s="65"/>
      <c r="H9" s="65"/>
      <c r="I9" s="65"/>
      <c r="J9" s="65"/>
      <c r="K9" s="65"/>
      <c r="L9" s="65"/>
      <c r="M9" s="65"/>
      <c r="N9" s="65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  <c r="AA9" s="65"/>
      <c r="AB9" s="65"/>
      <c r="AC9" s="65"/>
      <c r="AD9" s="65"/>
      <c r="AE9" s="65"/>
      <c r="AF9" s="65"/>
      <c r="AG9" s="65"/>
    </row>
    <row r="10" spans="1:33">
      <c r="A10" s="3" t="s">
        <v>476</v>
      </c>
      <c r="C10" s="74">
        <f>Options!C6*12*Assumptions!$H$66</f>
        <v>9723.36</v>
      </c>
      <c r="D10" s="74">
        <f>Options!D6*12*Assumptions!$H$66</f>
        <v>9520.32</v>
      </c>
      <c r="E10" s="74">
        <f>Options!E6*12*Assumptions!$H$66</f>
        <v>9317.2800000000007</v>
      </c>
      <c r="F10" s="74">
        <f>Options!F6*12*Assumptions!$H$66</f>
        <v>9317.2800000000007</v>
      </c>
      <c r="G10" s="74">
        <f>Options!G6*12*Assumptions!$H$66</f>
        <v>9294.7199999999993</v>
      </c>
      <c r="H10" s="74">
        <f>Options!H6*12*Assumptions!$H$66</f>
        <v>9294.7199999999993</v>
      </c>
      <c r="I10" s="74">
        <f>Options!I6*12*Assumptions!$H$66</f>
        <v>9362.4000000000015</v>
      </c>
      <c r="J10" s="74">
        <f>Options!J6*12*Assumptions!$H$66</f>
        <v>9384.9600000000009</v>
      </c>
      <c r="K10" s="74">
        <f>Options!K6*12*Assumptions!$H$66</f>
        <v>9588</v>
      </c>
      <c r="L10" s="74">
        <f>Options!L6*12*Assumptions!$H$66</f>
        <v>9655.68</v>
      </c>
      <c r="M10" s="74">
        <f>Options!M6*12*Assumptions!$H$66</f>
        <v>9655.68</v>
      </c>
      <c r="N10" s="74">
        <f>Options!N6*12*Assumptions!$H$66</f>
        <v>9655.68</v>
      </c>
      <c r="O10" s="74">
        <f>Options!O6*12*Assumptions!$H$66</f>
        <v>9655.68</v>
      </c>
      <c r="P10" s="74">
        <f>Options!P6*12*Assumptions!$H$66</f>
        <v>9655.68</v>
      </c>
      <c r="Q10" s="74">
        <f>Options!Q6*12*Assumptions!$H$66</f>
        <v>9655.68</v>
      </c>
      <c r="R10" s="74">
        <f>Options!R6*12*Assumptions!$H$66</f>
        <v>9655.68</v>
      </c>
      <c r="S10" s="74">
        <f>Options!S6*12*Assumptions!$H$66</f>
        <v>9655.68</v>
      </c>
      <c r="T10" s="74">
        <f>Options!T6*12*Assumptions!$H$66</f>
        <v>9655.68</v>
      </c>
      <c r="U10" s="74">
        <f>Options!U6*12*Assumptions!$H$66</f>
        <v>9655.68</v>
      </c>
      <c r="V10" s="74">
        <f>Options!V6*12*Assumptions!$H$66</f>
        <v>9655.68</v>
      </c>
      <c r="W10" s="74">
        <f>Options!W6*12*Assumptions!$H$66</f>
        <v>9655.68</v>
      </c>
      <c r="X10" s="74">
        <f>Options!X6*12*Assumptions!$H$66</f>
        <v>9655.68</v>
      </c>
      <c r="Y10" s="74">
        <f>Options!Y6*12*Assumptions!$H$66</f>
        <v>9655.68</v>
      </c>
      <c r="Z10" s="74">
        <f>Options!Z6*12*Assumptions!$H$66</f>
        <v>9655.68</v>
      </c>
      <c r="AA10" s="74">
        <f>Options!AA6*12*Assumptions!$H$66</f>
        <v>9655.68</v>
      </c>
      <c r="AB10" s="74">
        <f>Options!AB6*12*Assumptions!$H$66</f>
        <v>9655.68</v>
      </c>
      <c r="AC10" s="74">
        <f>Options!AC6*12*Assumptions!$H$66</f>
        <v>9655.68</v>
      </c>
      <c r="AD10" s="74">
        <f>Options!AD6*12*Assumptions!$H$66</f>
        <v>9655.68</v>
      </c>
      <c r="AE10" s="74">
        <f>Options!AE6*12*Assumptions!$H$66</f>
        <v>9655.68</v>
      </c>
      <c r="AF10" s="74">
        <f>Options!AF6*12*Assumptions!$H$66</f>
        <v>9655.68</v>
      </c>
      <c r="AG10" s="74">
        <f>Options!AG6*12*Assumptions!$H$66</f>
        <v>0</v>
      </c>
    </row>
    <row r="11" spans="1:33">
      <c r="A11" s="3" t="s">
        <v>478</v>
      </c>
      <c r="C11" s="74">
        <f>IF(Assumptions!$B$16="Yes",Options!C16/1000*'Price_Technical Assumption'!D41,0)</f>
        <v>12444.71704</v>
      </c>
      <c r="D11" s="74">
        <f>IF(Assumptions!$B$16="Yes",Options!D16/1000*'Price_Technical Assumption'!E41,0)</f>
        <v>21841.651440000001</v>
      </c>
      <c r="E11" s="74">
        <f>IF(Assumptions!$B$16="Yes",Options!E16/1000*'Price_Technical Assumption'!F41,0)</f>
        <v>23886.758560000002</v>
      </c>
      <c r="F11" s="74">
        <f>IF(Assumptions!$B$16="Yes",Options!F16/1000*'Price_Technical Assumption'!G41,0)</f>
        <v>25076.154599999998</v>
      </c>
      <c r="G11" s="74">
        <f>IF(Assumptions!$B$16="Yes",Options!G16/1000*'Price_Technical Assumption'!H41,0)</f>
        <v>24947.408079999997</v>
      </c>
      <c r="H11" s="74">
        <f>IF(Assumptions!$B$16="Yes",Options!H16/1000*'Price_Technical Assumption'!I41,0)</f>
        <v>24763.761120000003</v>
      </c>
      <c r="I11" s="74">
        <f>IF(Assumptions!$B$16="Yes",Options!I16/1000*'Price_Technical Assumption'!J41,0)</f>
        <v>23217.341840000001</v>
      </c>
      <c r="J11" s="74">
        <f>IF(Assumptions!$B$16="Yes",Options!J16/1000*'Price_Technical Assumption'!K41,0)</f>
        <v>23504.84864</v>
      </c>
      <c r="K11" s="74">
        <f>IF(Assumptions!$B$16="Yes",Options!K16/1000*'Price_Technical Assumption'!L41,0)</f>
        <v>23226.8092</v>
      </c>
      <c r="L11" s="74">
        <f>IF(Assumptions!$B$16="Yes",Options!L16/1000*'Price_Technical Assumption'!M41,0)</f>
        <v>15787.7412</v>
      </c>
      <c r="M11" s="74">
        <f>Options!M16/1000*'Price_Technical Assumption'!N41</f>
        <v>0</v>
      </c>
      <c r="N11" s="74">
        <f>Options!N16/1000*'Price_Technical Assumption'!O41</f>
        <v>0</v>
      </c>
      <c r="O11" s="74">
        <f>Options!O16/1000*'Price_Technical Assumption'!P41</f>
        <v>0</v>
      </c>
      <c r="P11" s="74">
        <f>Options!P16/1000*'Price_Technical Assumption'!Q41</f>
        <v>0</v>
      </c>
      <c r="Q11" s="74">
        <f>Options!Q16/1000*'Price_Technical Assumption'!R41</f>
        <v>0</v>
      </c>
      <c r="R11" s="74">
        <f>Options!R16/1000*'Price_Technical Assumption'!S41</f>
        <v>0</v>
      </c>
      <c r="S11" s="74">
        <f>Options!S16/1000*'Price_Technical Assumption'!T41</f>
        <v>0</v>
      </c>
      <c r="T11" s="74">
        <f>Options!T16/1000*'Price_Technical Assumption'!U41</f>
        <v>0</v>
      </c>
      <c r="U11" s="74">
        <f>Options!U16/1000*'Price_Technical Assumption'!V41</f>
        <v>0</v>
      </c>
      <c r="V11" s="74">
        <f>Options!V16/1000*'Price_Technical Assumption'!W41</f>
        <v>0</v>
      </c>
      <c r="W11" s="74">
        <f>Options!W16/1000*'Price_Technical Assumption'!X41</f>
        <v>0</v>
      </c>
      <c r="X11" s="74">
        <f>Options!X16/1000*'Price_Technical Assumption'!Y41</f>
        <v>0</v>
      </c>
      <c r="Y11" s="74">
        <f>Options!Y16/1000*'Price_Technical Assumption'!Z41</f>
        <v>0</v>
      </c>
      <c r="Z11" s="74">
        <f>Options!Z16/1000*'Price_Technical Assumption'!AA41</f>
        <v>0</v>
      </c>
      <c r="AA11" s="74">
        <f>Options!AA16/1000*'Price_Technical Assumption'!AB41</f>
        <v>0</v>
      </c>
      <c r="AB11" s="74">
        <f>Options!AB16/1000*'Price_Technical Assumption'!AC41</f>
        <v>0</v>
      </c>
      <c r="AC11" s="74">
        <f>Options!AC16/1000*'Price_Technical Assumption'!AD41</f>
        <v>0</v>
      </c>
      <c r="AD11" s="74">
        <f>Options!AD16/1000*'Price_Technical Assumption'!AE41</f>
        <v>0</v>
      </c>
      <c r="AE11" s="74">
        <f>Options!AE16/1000*'Price_Technical Assumption'!AF41</f>
        <v>0</v>
      </c>
      <c r="AF11" s="74">
        <f>Options!AF16/1000*'Price_Technical Assumption'!AG41</f>
        <v>0</v>
      </c>
      <c r="AG11" s="74">
        <f>Options!AG16/1000*'Price_Technical Assumption'!AH41</f>
        <v>0</v>
      </c>
    </row>
    <row r="12" spans="1:33">
      <c r="A12" s="3" t="s">
        <v>477</v>
      </c>
      <c r="C12" s="74">
        <f>Options!C8</f>
        <v>15544.94</v>
      </c>
      <c r="D12" s="74">
        <f>Options!D8</f>
        <v>15996.22</v>
      </c>
      <c r="E12" s="74">
        <f>Options!E8</f>
        <v>16200.055</v>
      </c>
      <c r="F12" s="74">
        <f>Options!F8</f>
        <v>16546.174999999999</v>
      </c>
      <c r="G12" s="74">
        <f>Options!G8</f>
        <v>16734.54</v>
      </c>
      <c r="H12" s="74">
        <f>Options!H8</f>
        <v>16892.733</v>
      </c>
      <c r="I12" s="74">
        <f>Options!I8</f>
        <v>17049.164000000001</v>
      </c>
      <c r="J12" s="74">
        <f>Options!J8</f>
        <v>17195.86</v>
      </c>
      <c r="K12" s="74">
        <f>Options!K8</f>
        <v>17267.466</v>
      </c>
      <c r="L12" s="74">
        <f>Options!L8</f>
        <v>17393.796999999999</v>
      </c>
      <c r="M12" s="74"/>
      <c r="N12" s="74"/>
      <c r="O12" s="74"/>
      <c r="P12" s="74"/>
      <c r="Q12" s="74"/>
      <c r="R12" s="74"/>
      <c r="S12" s="74"/>
      <c r="T12" s="74"/>
      <c r="U12" s="74"/>
      <c r="V12" s="74"/>
      <c r="W12" s="74"/>
      <c r="X12" s="74"/>
      <c r="Y12" s="74"/>
      <c r="Z12" s="74"/>
      <c r="AA12" s="74"/>
      <c r="AB12" s="74"/>
      <c r="AC12" s="74"/>
      <c r="AD12" s="74"/>
      <c r="AE12" s="74"/>
      <c r="AF12" s="74"/>
      <c r="AG12" s="74"/>
    </row>
    <row r="13" spans="1:33">
      <c r="A13" s="208" t="s">
        <v>463</v>
      </c>
      <c r="C13" s="370">
        <v>0</v>
      </c>
      <c r="D13" s="370">
        <v>0</v>
      </c>
      <c r="E13" s="370">
        <v>0</v>
      </c>
      <c r="F13" s="370">
        <v>0</v>
      </c>
      <c r="G13" s="370">
        <v>0</v>
      </c>
      <c r="H13" s="370">
        <v>0</v>
      </c>
      <c r="I13" s="370">
        <v>0</v>
      </c>
      <c r="J13" s="370">
        <v>0</v>
      </c>
      <c r="K13" s="370">
        <v>0</v>
      </c>
      <c r="L13" s="370">
        <v>0</v>
      </c>
      <c r="M13" s="370">
        <v>0</v>
      </c>
      <c r="N13" s="370">
        <v>0</v>
      </c>
      <c r="O13" s="370">
        <v>0</v>
      </c>
      <c r="P13" s="370">
        <v>0</v>
      </c>
      <c r="Q13" s="370">
        <v>0</v>
      </c>
      <c r="R13" s="370">
        <v>0</v>
      </c>
      <c r="S13" s="370">
        <v>0</v>
      </c>
      <c r="T13" s="370">
        <v>0</v>
      </c>
      <c r="U13" s="370">
        <v>0</v>
      </c>
      <c r="V13" s="370">
        <v>0</v>
      </c>
      <c r="W13" s="370">
        <v>0</v>
      </c>
      <c r="X13" s="370">
        <v>0</v>
      </c>
      <c r="Y13" s="370">
        <v>0</v>
      </c>
      <c r="Z13" s="370">
        <v>0</v>
      </c>
      <c r="AA13" s="370">
        <v>0</v>
      </c>
      <c r="AB13" s="370">
        <v>0</v>
      </c>
      <c r="AC13" s="370">
        <v>0</v>
      </c>
      <c r="AD13" s="370">
        <v>0</v>
      </c>
      <c r="AE13" s="370">
        <v>0</v>
      </c>
      <c r="AF13" s="370">
        <v>0</v>
      </c>
      <c r="AG13" s="370">
        <v>0</v>
      </c>
    </row>
    <row r="14" spans="1:33" s="11" customFormat="1">
      <c r="A14" s="2" t="s">
        <v>42</v>
      </c>
      <c r="C14" s="124">
        <f t="shared" ref="C14:AG14" si="0">SUM(C10:C13)</f>
        <v>37713.017039999999</v>
      </c>
      <c r="D14" s="124">
        <f t="shared" si="0"/>
        <v>47358.191440000002</v>
      </c>
      <c r="E14" s="124">
        <f t="shared" si="0"/>
        <v>49404.093560000001</v>
      </c>
      <c r="F14" s="124">
        <f t="shared" si="0"/>
        <v>50939.609599999996</v>
      </c>
      <c r="G14" s="124">
        <f t="shared" si="0"/>
        <v>50976.668079999996</v>
      </c>
      <c r="H14" s="124">
        <f t="shared" si="0"/>
        <v>50951.214120000004</v>
      </c>
      <c r="I14" s="124">
        <f t="shared" si="0"/>
        <v>49628.905840000007</v>
      </c>
      <c r="J14" s="124">
        <f t="shared" si="0"/>
        <v>50085.668640000004</v>
      </c>
      <c r="K14" s="124">
        <f t="shared" si="0"/>
        <v>50082.275200000004</v>
      </c>
      <c r="L14" s="124">
        <f t="shared" si="0"/>
        <v>42837.218200000003</v>
      </c>
      <c r="M14" s="124">
        <f t="shared" si="0"/>
        <v>9655.68</v>
      </c>
      <c r="N14" s="124">
        <f t="shared" si="0"/>
        <v>9655.68</v>
      </c>
      <c r="O14" s="124">
        <f t="shared" si="0"/>
        <v>9655.68</v>
      </c>
      <c r="P14" s="124">
        <f t="shared" si="0"/>
        <v>9655.68</v>
      </c>
      <c r="Q14" s="124">
        <f t="shared" si="0"/>
        <v>9655.68</v>
      </c>
      <c r="R14" s="124">
        <f t="shared" si="0"/>
        <v>9655.68</v>
      </c>
      <c r="S14" s="124">
        <f t="shared" si="0"/>
        <v>9655.68</v>
      </c>
      <c r="T14" s="124">
        <f t="shared" si="0"/>
        <v>9655.68</v>
      </c>
      <c r="U14" s="124">
        <f t="shared" si="0"/>
        <v>9655.68</v>
      </c>
      <c r="V14" s="124">
        <f t="shared" si="0"/>
        <v>9655.68</v>
      </c>
      <c r="W14" s="124">
        <f t="shared" si="0"/>
        <v>9655.68</v>
      </c>
      <c r="X14" s="124">
        <f t="shared" si="0"/>
        <v>9655.68</v>
      </c>
      <c r="Y14" s="124">
        <f t="shared" si="0"/>
        <v>9655.68</v>
      </c>
      <c r="Z14" s="124">
        <f t="shared" si="0"/>
        <v>9655.68</v>
      </c>
      <c r="AA14" s="124">
        <f t="shared" si="0"/>
        <v>9655.68</v>
      </c>
      <c r="AB14" s="124">
        <f t="shared" si="0"/>
        <v>9655.68</v>
      </c>
      <c r="AC14" s="124">
        <f t="shared" si="0"/>
        <v>9655.68</v>
      </c>
      <c r="AD14" s="124">
        <f t="shared" si="0"/>
        <v>9655.68</v>
      </c>
      <c r="AE14" s="124">
        <f t="shared" si="0"/>
        <v>9655.68</v>
      </c>
      <c r="AF14" s="124">
        <f t="shared" si="0"/>
        <v>9655.68</v>
      </c>
      <c r="AG14" s="124">
        <f t="shared" si="0"/>
        <v>0</v>
      </c>
    </row>
    <row r="15" spans="1:33">
      <c r="A15" s="6"/>
      <c r="Y15" s="12"/>
      <c r="Z15" s="12"/>
    </row>
    <row r="16" spans="1:33">
      <c r="A16" s="1" t="s">
        <v>43</v>
      </c>
      <c r="Y16" s="12"/>
      <c r="Z16" s="12"/>
    </row>
    <row r="17" spans="1:47">
      <c r="A17" s="5" t="s">
        <v>470</v>
      </c>
      <c r="C17" s="36">
        <f>IF(Assumptions!$B$16="Yes",Options!C17,0)</f>
        <v>15094.311</v>
      </c>
      <c r="D17" s="36">
        <f>IF(Assumptions!$B$16="Yes",Options!D17,0)</f>
        <v>24529.596000000001</v>
      </c>
      <c r="E17" s="36">
        <f>IF(Assumptions!$B$16="Yes",Options!E17,0)</f>
        <v>26860.987000000001</v>
      </c>
      <c r="F17" s="36">
        <f>IF(Assumptions!$B$16="Yes",Options!F17,0)</f>
        <v>28207.439999999999</v>
      </c>
      <c r="G17" s="36">
        <f>IF(Assumptions!$B$16="Yes",Options!G17,0)</f>
        <v>28131.985000000001</v>
      </c>
      <c r="H17" s="36">
        <f>IF(Assumptions!$B$16="Yes",Options!H17,0)</f>
        <v>28053.978999999999</v>
      </c>
      <c r="I17" s="36">
        <f>IF(Assumptions!$B$16="Yes",Options!I17,0)</f>
        <v>26286.584999999999</v>
      </c>
      <c r="J17" s="36">
        <f>IF(Assumptions!$B$16="Yes",Options!J17,0)</f>
        <v>26802.971000000001</v>
      </c>
      <c r="K17" s="36">
        <f>IF(Assumptions!$B$16="Yes",Options!K17,0)</f>
        <v>26892.871999999999</v>
      </c>
      <c r="L17" s="36">
        <f>IF(Assumptions!$B$16="Yes",Options!L17,0)</f>
        <v>19682.797999999999</v>
      </c>
      <c r="M17" s="36">
        <f>IF(Assumptions!$B$16="Yes",Options!M17,0)</f>
        <v>0</v>
      </c>
      <c r="N17" s="36">
        <f>IF(Assumptions!$B$16="Yes",Options!N17,0)</f>
        <v>0</v>
      </c>
      <c r="O17" s="36">
        <f>IF(Assumptions!$B$16="Yes",Options!O17,0)</f>
        <v>0</v>
      </c>
      <c r="P17" s="36">
        <f>IF(Assumptions!$B$16="Yes",Options!P17,0)</f>
        <v>0</v>
      </c>
      <c r="Q17" s="36">
        <f>IF(Assumptions!$B$16="Yes",Options!Q17,0)</f>
        <v>0</v>
      </c>
      <c r="R17" s="36">
        <f>IF(Assumptions!$B$16="Yes",Options!R17,0)</f>
        <v>0</v>
      </c>
      <c r="S17" s="36">
        <f>IF(Assumptions!$B$16="Yes",Options!S17,0)</f>
        <v>0</v>
      </c>
      <c r="T17" s="36">
        <f>IF(Assumptions!$B$16="Yes",Options!T17,0)</f>
        <v>0</v>
      </c>
      <c r="U17" s="36">
        <f>IF(Assumptions!$B$16="Yes",Options!U17,0)</f>
        <v>0</v>
      </c>
      <c r="V17" s="36">
        <f>IF(Assumptions!$B$16="Yes",Options!V17,0)</f>
        <v>0</v>
      </c>
      <c r="W17" s="36">
        <f>IF(Assumptions!$B$16="Yes",Options!W17,0)</f>
        <v>0</v>
      </c>
      <c r="X17" s="36">
        <f>IF(Assumptions!$B$16="Yes",Options!X17,0)</f>
        <v>0</v>
      </c>
      <c r="Y17" s="36">
        <f>IF(Assumptions!$B$16="Yes",Options!Y17,0)</f>
        <v>0</v>
      </c>
      <c r="Z17" s="36">
        <f>IF(Assumptions!$B$16="Yes",Options!Z17,0)</f>
        <v>0</v>
      </c>
      <c r="AA17" s="36">
        <f>IF(Assumptions!$B$16="Yes",Options!AA17,0)</f>
        <v>0</v>
      </c>
      <c r="AB17" s="36">
        <f>IF(Assumptions!$B$16="Yes",Options!AB17,0)</f>
        <v>0</v>
      </c>
      <c r="AC17" s="36">
        <f>IF(Assumptions!$B$16="Yes",Options!AC17,0)</f>
        <v>0</v>
      </c>
      <c r="AD17" s="36">
        <f>IF(Assumptions!$B$16="Yes",Options!AD17,0)</f>
        <v>0</v>
      </c>
      <c r="AE17" s="36">
        <f>IF(Assumptions!$B$16="Yes",Options!AE17,0)</f>
        <v>0</v>
      </c>
      <c r="AF17" s="36">
        <f>IF(Assumptions!$B$16="Yes",Options!AF17,0)</f>
        <v>0</v>
      </c>
      <c r="AG17" s="36">
        <f>IF(Assumptions!$B$16="Yes",Options!AG17,0)</f>
        <v>0</v>
      </c>
      <c r="AH17" s="36"/>
      <c r="AI17" s="36"/>
      <c r="AJ17" s="36"/>
      <c r="AK17" s="36"/>
      <c r="AL17" s="36"/>
      <c r="AM17" s="36"/>
      <c r="AN17" s="36"/>
      <c r="AO17" s="36"/>
      <c r="AP17" s="36"/>
      <c r="AQ17" s="36"/>
    </row>
    <row r="18" spans="1:47">
      <c r="A18" s="3" t="s">
        <v>44</v>
      </c>
      <c r="C18" s="218">
        <f>Assumptions!$H$62*'Price_Technical Assumption'!D30*'Price_Technical Assumption'!D46/1000000</f>
        <v>4087.7651219999998</v>
      </c>
      <c r="D18" s="218">
        <f>Assumptions!$H$62*'Price_Technical Assumption'!E30*'Price_Technical Assumption'!E46/1000000</f>
        <v>4087.7651219999998</v>
      </c>
      <c r="E18" s="218">
        <f>Assumptions!$H$62*'Price_Technical Assumption'!F30*'Price_Technical Assumption'!F46/1000000</f>
        <v>4087.7651219999998</v>
      </c>
      <c r="F18" s="218">
        <f>Assumptions!$H$62*'Price_Technical Assumption'!G30*'Price_Technical Assumption'!G46/1000000</f>
        <v>4087.7651219999998</v>
      </c>
      <c r="G18" s="218">
        <f>Assumptions!$H$62*'Price_Technical Assumption'!H30*'Price_Technical Assumption'!H46/1000000</f>
        <v>4087.7651219999998</v>
      </c>
      <c r="H18" s="218">
        <f>Assumptions!$H$62*'Price_Technical Assumption'!I30*'Price_Technical Assumption'!I46/1000000</f>
        <v>4087.7651219999998</v>
      </c>
      <c r="I18" s="218">
        <f>Assumptions!$H$62*'Price_Technical Assumption'!J30*'Price_Technical Assumption'!J46/1000000</f>
        <v>4087.7651219999998</v>
      </c>
      <c r="J18" s="218">
        <f>Assumptions!$H$62*'Price_Technical Assumption'!K30*'Price_Technical Assumption'!K46/1000000</f>
        <v>4087.7651219999998</v>
      </c>
      <c r="K18" s="218">
        <f>Assumptions!$H$62*'Price_Technical Assumption'!L30*'Price_Technical Assumption'!L46/1000000</f>
        <v>4087.7651219999998</v>
      </c>
      <c r="L18" s="218">
        <f>Assumptions!$H$62*'Price_Technical Assumption'!M30*'Price_Technical Assumption'!M46/1000000</f>
        <v>4087.7651219999998</v>
      </c>
      <c r="M18" s="218">
        <f>Assumptions!$H$62*'Price_Technical Assumption'!N30*'Price_Technical Assumption'!N46/1000000</f>
        <v>4087.7651219999998</v>
      </c>
      <c r="N18" s="218">
        <f>Assumptions!$H$62*'Price_Technical Assumption'!O30*'Price_Technical Assumption'!O46/1000000</f>
        <v>4087.7651219999998</v>
      </c>
      <c r="O18" s="218">
        <f>Assumptions!$H$62*'Price_Technical Assumption'!P30*'Price_Technical Assumption'!P46/1000000</f>
        <v>4087.7651219999998</v>
      </c>
      <c r="P18" s="218">
        <f>Assumptions!$H$62*'Price_Technical Assumption'!Q30*'Price_Technical Assumption'!Q46/1000000</f>
        <v>4087.7651219999998</v>
      </c>
      <c r="Q18" s="218">
        <f>Assumptions!$H$62*'Price_Technical Assumption'!R30*'Price_Technical Assumption'!R46/1000000</f>
        <v>4087.7651219999998</v>
      </c>
      <c r="R18" s="218">
        <f>Assumptions!$H$62*'Price_Technical Assumption'!S30*'Price_Technical Assumption'!S46/1000000</f>
        <v>4087.7651219999998</v>
      </c>
      <c r="S18" s="218">
        <f>Assumptions!$H$62*'Price_Technical Assumption'!T30*'Price_Technical Assumption'!T46/1000000</f>
        <v>4087.7651219999998</v>
      </c>
      <c r="T18" s="218">
        <f>Assumptions!$H$62*'Price_Technical Assumption'!U30*'Price_Technical Assumption'!U46/1000000</f>
        <v>4087.7651219999998</v>
      </c>
      <c r="U18" s="218">
        <f>Assumptions!$H$62*'Price_Technical Assumption'!V30*'Price_Technical Assumption'!V46/1000000</f>
        <v>4087.7651219999998</v>
      </c>
      <c r="V18" s="218">
        <f>Assumptions!$H$62*'Price_Technical Assumption'!W30*'Price_Technical Assumption'!W46/1000000</f>
        <v>4087.7651219999998</v>
      </c>
      <c r="W18" s="218">
        <f>Assumptions!$H$62*'Price_Technical Assumption'!X30*'Price_Technical Assumption'!X46/1000000</f>
        <v>4087.7651219999998</v>
      </c>
      <c r="X18" s="218">
        <f>Assumptions!$H$62*'Price_Technical Assumption'!Y30*'Price_Technical Assumption'!Y46/1000000</f>
        <v>4087.7651219999998</v>
      </c>
      <c r="Y18" s="218">
        <f>Assumptions!$H$62*'Price_Technical Assumption'!Z30*'Price_Technical Assumption'!Z46/1000000</f>
        <v>4087.7651219999998</v>
      </c>
      <c r="Z18" s="218">
        <f>Assumptions!$H$62*'Price_Technical Assumption'!AA30*'Price_Technical Assumption'!AA46/1000000</f>
        <v>4087.7651219999998</v>
      </c>
      <c r="AA18" s="218">
        <f>Assumptions!$H$62*'Price_Technical Assumption'!AB30*'Price_Technical Assumption'!AB46/1000000</f>
        <v>4087.7651219999998</v>
      </c>
      <c r="AB18" s="218">
        <f>Assumptions!$H$62*'Price_Technical Assumption'!AC30*'Price_Technical Assumption'!AC46/1000000</f>
        <v>4087.7651219999998</v>
      </c>
      <c r="AC18" s="218">
        <f>Assumptions!$H$62*'Price_Technical Assumption'!AD30*'Price_Technical Assumption'!AD46/1000000</f>
        <v>4087.7651219999998</v>
      </c>
      <c r="AD18" s="218">
        <f>Assumptions!$H$62*'Price_Technical Assumption'!AE30*'Price_Technical Assumption'!AE46/1000000</f>
        <v>4087.7651219999998</v>
      </c>
      <c r="AE18" s="218">
        <f>Assumptions!$H$62*'Price_Technical Assumption'!AF30*'Price_Technical Assumption'!AF46/1000000</f>
        <v>4087.7651219999998</v>
      </c>
      <c r="AF18" s="218">
        <f>Assumptions!$H$62*'Price_Technical Assumption'!AG30*'Price_Technical Assumption'!AG46/1000000</f>
        <v>4087.7651219999998</v>
      </c>
      <c r="AG18" s="218">
        <f>Assumptions!$H$62*'Price_Technical Assumption'!AH30*'Price_Technical Assumption'!AH46/1000000</f>
        <v>4087.7651219999998</v>
      </c>
    </row>
    <row r="19" spans="1:47">
      <c r="A19" s="3" t="s">
        <v>203</v>
      </c>
      <c r="C19" s="74">
        <f>Assumptions!$N19*C6</f>
        <v>300</v>
      </c>
      <c r="D19" s="74">
        <f>Assumptions!$N19*(1+Assumptions!$N$11)</f>
        <v>463.5</v>
      </c>
      <c r="E19" s="74">
        <f>D19*(1+Assumptions!$N$11)</f>
        <v>477.40500000000003</v>
      </c>
      <c r="F19" s="74">
        <f>E19*(1+Assumptions!$N$11)</f>
        <v>491.72715000000005</v>
      </c>
      <c r="G19" s="74">
        <f>F19*(1+Assumptions!$N$11)</f>
        <v>506.47896450000007</v>
      </c>
      <c r="H19" s="74">
        <f>G19*(1+Assumptions!$N$11)</f>
        <v>521.67333343500013</v>
      </c>
      <c r="I19" s="74">
        <f>H19*(1+Assumptions!$N$11)</f>
        <v>537.32353343805016</v>
      </c>
      <c r="J19" s="74">
        <f>I19*(1+Assumptions!$N$11)</f>
        <v>553.44323944119174</v>
      </c>
      <c r="K19" s="74">
        <f>J19*(1+Assumptions!$N$11)</f>
        <v>570.04653662442752</v>
      </c>
      <c r="L19" s="74">
        <f>K19*(1+Assumptions!$N$11)</f>
        <v>587.14793272316035</v>
      </c>
      <c r="M19" s="74">
        <f>L19*(1+Assumptions!$N$11)</f>
        <v>604.76237070485513</v>
      </c>
      <c r="N19" s="74">
        <f>M19*(1+Assumptions!$N$11)</f>
        <v>622.90524182600075</v>
      </c>
      <c r="O19" s="74">
        <f>N19*(1+Assumptions!$N$11)</f>
        <v>641.59239908078075</v>
      </c>
      <c r="P19" s="74">
        <f>O19*(1+Assumptions!$N$11)</f>
        <v>660.84017105320424</v>
      </c>
      <c r="Q19" s="74">
        <f>P19*(1+Assumptions!$N$11)</f>
        <v>680.66537618480038</v>
      </c>
      <c r="R19" s="74">
        <f>Q19*(1+Assumptions!$N$11)</f>
        <v>701.08533747034437</v>
      </c>
      <c r="S19" s="74">
        <f>R19*(1+Assumptions!$N$11)</f>
        <v>722.11789759445469</v>
      </c>
      <c r="T19" s="74">
        <f>S19*(1+Assumptions!$N$11)</f>
        <v>743.78143452228835</v>
      </c>
      <c r="U19" s="74">
        <f>T19*(1+Assumptions!$N$11)</f>
        <v>766.09487755795703</v>
      </c>
      <c r="V19" s="74">
        <f>U19*(1+Assumptions!$N$11)</f>
        <v>789.07772388469573</v>
      </c>
      <c r="W19" s="74">
        <f>V19*(1+Assumptions!$N$11)</f>
        <v>812.75005560123657</v>
      </c>
      <c r="X19" s="74">
        <f>W19*(1+Assumptions!$N$11)</f>
        <v>837.13255726927366</v>
      </c>
      <c r="Y19" s="74">
        <f>X19*(1+Assumptions!$N$11)</f>
        <v>862.24653398735188</v>
      </c>
      <c r="Z19" s="74">
        <f>Y19*(1+Assumptions!$N$11)</f>
        <v>888.11393000697251</v>
      </c>
      <c r="AA19" s="74">
        <f>Z19*(1+Assumptions!$N$11)</f>
        <v>914.75734790718172</v>
      </c>
      <c r="AB19" s="74">
        <f>AA19*(1+Assumptions!$N$11)</f>
        <v>942.20006834439721</v>
      </c>
      <c r="AC19" s="74">
        <f>AB19*(1+Assumptions!$N$11)</f>
        <v>970.46607039472917</v>
      </c>
      <c r="AD19" s="74">
        <f>AC19*(1+Assumptions!$N$11)</f>
        <v>999.58005250657106</v>
      </c>
      <c r="AE19" s="74">
        <f>AD19*(1+Assumptions!$N$11)</f>
        <v>1029.5674540817681</v>
      </c>
      <c r="AF19" s="74">
        <f>AE19*(1+Assumptions!$N$11)</f>
        <v>1060.4544777042213</v>
      </c>
      <c r="AG19" s="74">
        <f>AF19*(1+Assumptions!$N$11)</f>
        <v>1092.2681120353479</v>
      </c>
    </row>
    <row r="20" spans="1:47">
      <c r="A20" s="3" t="s">
        <v>249</v>
      </c>
      <c r="C20" s="218">
        <f>+(Assumptions!$P$15*Assumptions!$H$62)/1000*(1+Assumptions!$N$11)^IS!C6</f>
        <v>158.37843469821266</v>
      </c>
      <c r="D20" s="74">
        <f>C20*(1+Assumptions!$N$11)</f>
        <v>163.12978773915904</v>
      </c>
      <c r="E20" s="74">
        <f>D20*(1+Assumptions!$N$11)</f>
        <v>168.02368137133382</v>
      </c>
      <c r="F20" s="74">
        <f>E20*(1+Assumptions!$N$11)</f>
        <v>173.06439181247384</v>
      </c>
      <c r="G20" s="74">
        <f>F20*(1+Assumptions!$N$11)</f>
        <v>178.25632356684807</v>
      </c>
      <c r="H20" s="74">
        <f>G20*(1+Assumptions!$N$11)</f>
        <v>183.60401327385352</v>
      </c>
      <c r="I20" s="74">
        <f>H20*(1+Assumptions!$N$11)</f>
        <v>189.11213367206915</v>
      </c>
      <c r="J20" s="74">
        <f>I20*(1+Assumptions!$N$11)</f>
        <v>194.78549768223124</v>
      </c>
      <c r="K20" s="74">
        <f>J20*(1+Assumptions!$N$11)</f>
        <v>200.62906261269819</v>
      </c>
      <c r="L20" s="74">
        <f>K20*(1+Assumptions!$N$11)</f>
        <v>206.64793449107916</v>
      </c>
      <c r="M20" s="74">
        <f>L20*(1+Assumptions!$N$11)</f>
        <v>212.84737252581152</v>
      </c>
      <c r="N20" s="74">
        <f>M20*(1+Assumptions!$N$11)</f>
        <v>219.23279370158588</v>
      </c>
      <c r="O20" s="74">
        <f>N20*(1+Assumptions!$N$11)</f>
        <v>225.80977751263345</v>
      </c>
      <c r="P20" s="74">
        <f>O20*(1+Assumptions!$N$11)</f>
        <v>232.58407083801245</v>
      </c>
      <c r="Q20" s="74">
        <f>P20*(1+Assumptions!$N$11)</f>
        <v>239.56159296315283</v>
      </c>
      <c r="R20" s="74">
        <f>Q20*(1+Assumptions!$N$11)</f>
        <v>246.74844075204743</v>
      </c>
      <c r="S20" s="74">
        <f>R20*(1+Assumptions!$N$11)</f>
        <v>254.15089397460886</v>
      </c>
      <c r="T20" s="74">
        <f>S20*(1+Assumptions!$N$11)</f>
        <v>261.77542079384716</v>
      </c>
      <c r="U20" s="74">
        <f>T20*(1+Assumptions!$N$11)</f>
        <v>269.62868341766256</v>
      </c>
      <c r="V20" s="74">
        <f>U20*(1+Assumptions!$N$11)</f>
        <v>277.71754392019244</v>
      </c>
      <c r="W20" s="74">
        <f>V20*(1+Assumptions!$N$11)</f>
        <v>286.04907023779822</v>
      </c>
      <c r="X20" s="74">
        <f>W20*(1+Assumptions!$N$11)</f>
        <v>294.63054234493217</v>
      </c>
      <c r="Y20" s="74">
        <f>X20*(1+Assumptions!$N$11)</f>
        <v>303.46945861528013</v>
      </c>
      <c r="Z20" s="74">
        <f>Y20*(1+Assumptions!$N$11)</f>
        <v>312.57354237373852</v>
      </c>
      <c r="AA20" s="74">
        <f>Z20*(1+Assumptions!$N$11)</f>
        <v>321.95074864495069</v>
      </c>
      <c r="AB20" s="74">
        <f>AA20*(1+Assumptions!$N$11)</f>
        <v>331.60927110429924</v>
      </c>
      <c r="AC20" s="74">
        <f>AB20*(1+Assumptions!$N$11)</f>
        <v>341.55754923742825</v>
      </c>
      <c r="AD20" s="74">
        <f>AC20*(1+Assumptions!$N$11)</f>
        <v>351.80427571455112</v>
      </c>
      <c r="AE20" s="74">
        <f>AD20*(1+Assumptions!$N$11)</f>
        <v>362.35840398598765</v>
      </c>
      <c r="AF20" s="74">
        <f>AE20*(1+Assumptions!$N$11)</f>
        <v>373.22915610556731</v>
      </c>
      <c r="AG20" s="74">
        <f>AF20*(1+Assumptions!$N$11)</f>
        <v>384.42603078873435</v>
      </c>
    </row>
    <row r="21" spans="1:47">
      <c r="A21" s="3" t="s">
        <v>250</v>
      </c>
      <c r="C21" s="74">
        <f>Assumptions!$P$16*Assumptions!$H$62/1000*(1+Assumptions!$N$11)^IS!C6</f>
        <v>440.23836085604876</v>
      </c>
      <c r="D21" s="74">
        <f>C21*(1+Assumptions!$N$11)</f>
        <v>453.44551168173024</v>
      </c>
      <c r="E21" s="74">
        <f>D21*(1+Assumptions!$N$11)</f>
        <v>467.04887703218213</v>
      </c>
      <c r="F21" s="74">
        <f>E21*(1+Assumptions!$N$11)</f>
        <v>481.06034334314762</v>
      </c>
      <c r="G21" s="74">
        <f>F21*(1+Assumptions!$N$11)</f>
        <v>495.49215364344207</v>
      </c>
      <c r="H21" s="74">
        <f>G21*(1+Assumptions!$N$11)</f>
        <v>510.35691825274534</v>
      </c>
      <c r="I21" s="74">
        <f>H21*(1+Assumptions!$N$11)</f>
        <v>525.66762580032776</v>
      </c>
      <c r="J21" s="74">
        <f>I21*(1+Assumptions!$N$11)</f>
        <v>541.43765457433756</v>
      </c>
      <c r="K21" s="74">
        <f>J21*(1+Assumptions!$N$11)</f>
        <v>557.6807842115677</v>
      </c>
      <c r="L21" s="74">
        <f>K21*(1+Assumptions!$N$11)</f>
        <v>574.41120773791476</v>
      </c>
      <c r="M21" s="74">
        <f>L21*(1+Assumptions!$N$11)</f>
        <v>591.64354397005218</v>
      </c>
      <c r="N21" s="74">
        <f>M21*(1+Assumptions!$N$11)</f>
        <v>609.39285028915378</v>
      </c>
      <c r="O21" s="74">
        <f>N21*(1+Assumptions!$N$11)</f>
        <v>627.67463579782839</v>
      </c>
      <c r="P21" s="74">
        <f>O21*(1+Assumptions!$N$11)</f>
        <v>646.50487487176326</v>
      </c>
      <c r="Q21" s="74">
        <f>P21*(1+Assumptions!$N$11)</f>
        <v>665.90002111791614</v>
      </c>
      <c r="R21" s="74">
        <f>Q21*(1+Assumptions!$N$11)</f>
        <v>685.87702175145364</v>
      </c>
      <c r="S21" s="74">
        <f>R21*(1+Assumptions!$N$11)</f>
        <v>706.45333240399725</v>
      </c>
      <c r="T21" s="74">
        <f>S21*(1+Assumptions!$N$11)</f>
        <v>727.64693237611721</v>
      </c>
      <c r="U21" s="74">
        <f>T21*(1+Assumptions!$N$11)</f>
        <v>749.47634034740076</v>
      </c>
      <c r="V21" s="74">
        <f>U21*(1+Assumptions!$N$11)</f>
        <v>771.96063055782281</v>
      </c>
      <c r="W21" s="74">
        <f>V21*(1+Assumptions!$N$11)</f>
        <v>795.11944947455754</v>
      </c>
      <c r="X21" s="74">
        <f>W21*(1+Assumptions!$N$11)</f>
        <v>818.97303295879431</v>
      </c>
      <c r="Y21" s="74">
        <f>X21*(1+Assumptions!$N$11)</f>
        <v>843.54222394755811</v>
      </c>
      <c r="Z21" s="74">
        <f>Y21*(1+Assumptions!$N$11)</f>
        <v>868.84849066598485</v>
      </c>
      <c r="AA21" s="74">
        <f>Z21*(1+Assumptions!$N$11)</f>
        <v>894.91394538596444</v>
      </c>
      <c r="AB21" s="74">
        <f>AA21*(1+Assumptions!$N$11)</f>
        <v>921.76136374754344</v>
      </c>
      <c r="AC21" s="74">
        <f>AB21*(1+Assumptions!$N$11)</f>
        <v>949.41420465996976</v>
      </c>
      <c r="AD21" s="74">
        <f>AC21*(1+Assumptions!$N$11)</f>
        <v>977.8966307997689</v>
      </c>
      <c r="AE21" s="74">
        <f>AD21*(1+Assumptions!$N$11)</f>
        <v>1007.233529723762</v>
      </c>
      <c r="AF21" s="74">
        <f>AE21*(1+Assumptions!$N$11)</f>
        <v>1037.4505356154748</v>
      </c>
      <c r="AG21" s="74">
        <f>AF21*(1+Assumptions!$N$11)</f>
        <v>1068.5740516839392</v>
      </c>
    </row>
    <row r="22" spans="1:47">
      <c r="A22" s="3" t="s">
        <v>35</v>
      </c>
      <c r="C22" s="74">
        <f>Assumptions!$N20*Assumptions!H18/12</f>
        <v>133.33333333333334</v>
      </c>
      <c r="D22" s="74">
        <f>Assumptions!$N20*(1+Assumptions!$N$11)</f>
        <v>206</v>
      </c>
      <c r="E22" s="74">
        <f>D22*(1+Assumptions!$N$11)</f>
        <v>212.18</v>
      </c>
      <c r="F22" s="74">
        <f>E22*(1+Assumptions!$N$11)</f>
        <v>218.5454</v>
      </c>
      <c r="G22" s="74">
        <f>F22*(1+Assumptions!$N$11)</f>
        <v>225.10176200000001</v>
      </c>
      <c r="H22" s="74">
        <f>G22*(1+Assumptions!$N$11)</f>
        <v>231.85481486</v>
      </c>
      <c r="I22" s="74">
        <f>H22*(1+Assumptions!$N$11)</f>
        <v>238.81045930580001</v>
      </c>
      <c r="J22" s="74">
        <f>I22*(1+Assumptions!$N$11)</f>
        <v>245.974773084974</v>
      </c>
      <c r="K22" s="74">
        <f>J22*(1+Assumptions!$N$11)</f>
        <v>253.35401627752324</v>
      </c>
      <c r="L22" s="74">
        <f>K22*(1+Assumptions!$N$11)</f>
        <v>260.95463676584893</v>
      </c>
      <c r="M22" s="74">
        <f>L22*(1+Assumptions!$N$11)</f>
        <v>268.78327586882443</v>
      </c>
      <c r="N22" s="74">
        <f>M22*(1+Assumptions!$N$11)</f>
        <v>276.8467741448892</v>
      </c>
      <c r="O22" s="74">
        <f>N22*(1+Assumptions!$N$11)</f>
        <v>285.15217736923586</v>
      </c>
      <c r="P22" s="74">
        <f>O22*(1+Assumptions!$N$11)</f>
        <v>293.70674269031292</v>
      </c>
      <c r="Q22" s="74">
        <f>P22*(1+Assumptions!$N$11)</f>
        <v>302.5179449710223</v>
      </c>
      <c r="R22" s="74">
        <f>Q22*(1+Assumptions!$N$11)</f>
        <v>311.59348332015298</v>
      </c>
      <c r="S22" s="74">
        <f>R22*(1+Assumptions!$N$11)</f>
        <v>320.94128781975758</v>
      </c>
      <c r="T22" s="74">
        <f>S22*(1+Assumptions!$N$11)</f>
        <v>330.5695264543503</v>
      </c>
      <c r="U22" s="74">
        <f>T22*(1+Assumptions!$N$11)</f>
        <v>340.48661224798082</v>
      </c>
      <c r="V22" s="74">
        <f>U22*(1+Assumptions!$N$11)</f>
        <v>350.70121061542022</v>
      </c>
      <c r="W22" s="74">
        <f>V22*(1+Assumptions!$N$11)</f>
        <v>361.22224693388284</v>
      </c>
      <c r="X22" s="74">
        <f>W22*(1+Assumptions!$N$11)</f>
        <v>372.05891434189931</v>
      </c>
      <c r="Y22" s="74">
        <f>X22*(1+Assumptions!$N$11)</f>
        <v>383.2206817721563</v>
      </c>
      <c r="Z22" s="74">
        <f>Y22*(1+Assumptions!$N$11)</f>
        <v>394.71730222532102</v>
      </c>
      <c r="AA22" s="74">
        <f>Z22*(1+Assumptions!$N$11)</f>
        <v>406.55882129208067</v>
      </c>
      <c r="AB22" s="74">
        <f>AA22*(1+Assumptions!$N$11)</f>
        <v>418.7555859308431</v>
      </c>
      <c r="AC22" s="74">
        <f>AB22*(1+Assumptions!$N$11)</f>
        <v>431.31825350876841</v>
      </c>
      <c r="AD22" s="74">
        <f>AC22*(1+Assumptions!$N$11)</f>
        <v>444.25780111403145</v>
      </c>
      <c r="AE22" s="74">
        <f>AD22*(1+Assumptions!$N$11)</f>
        <v>457.58553514745239</v>
      </c>
      <c r="AF22" s="74">
        <f>AE22*(1+Assumptions!$N$11)</f>
        <v>471.31310120187595</v>
      </c>
      <c r="AG22" s="74">
        <f>AF22*(1+Assumptions!$N$11)</f>
        <v>485.45249423793223</v>
      </c>
    </row>
    <row r="23" spans="1:47">
      <c r="A23" s="3" t="s">
        <v>36</v>
      </c>
      <c r="C23" s="74">
        <f>Assumptions!$N21*Assumptions!H18/12</f>
        <v>100</v>
      </c>
      <c r="D23" s="74">
        <f>(Assumptions!$N21)*(1+Assumptions!$N$11)</f>
        <v>154.5</v>
      </c>
      <c r="E23" s="74">
        <f>D23*(1+Assumptions!$N$11)</f>
        <v>159.13499999999999</v>
      </c>
      <c r="F23" s="74">
        <f>E23*(1+Assumptions!$N$11)</f>
        <v>163.90905000000001</v>
      </c>
      <c r="G23" s="74">
        <f>F23*(1+Assumptions!$N$11)</f>
        <v>168.82632150000001</v>
      </c>
      <c r="H23" s="74">
        <f>G23*(1+Assumptions!$N$11)</f>
        <v>173.891111145</v>
      </c>
      <c r="I23" s="74">
        <f>H23*(1+Assumptions!$N$11)</f>
        <v>179.10784447935001</v>
      </c>
      <c r="J23" s="74">
        <f>I23*(1+Assumptions!$N$11)</f>
        <v>184.4810798137305</v>
      </c>
      <c r="K23" s="74">
        <f>J23*(1+Assumptions!$N$11)</f>
        <v>190.01551220814241</v>
      </c>
      <c r="L23" s="74">
        <f>K23*(1+Assumptions!$N$11)</f>
        <v>195.7159775743867</v>
      </c>
      <c r="M23" s="74">
        <f>L23*(1+Assumptions!$N$11)</f>
        <v>201.58745690161831</v>
      </c>
      <c r="N23" s="74">
        <f>M23*(1+Assumptions!$N$11)</f>
        <v>207.63508060866687</v>
      </c>
      <c r="O23" s="74">
        <f>N23*(1+Assumptions!$N$11)</f>
        <v>213.86413302692688</v>
      </c>
      <c r="P23" s="74">
        <f>O23*(1+Assumptions!$N$11)</f>
        <v>220.28005701773469</v>
      </c>
      <c r="Q23" s="74">
        <f>P23*(1+Assumptions!$N$11)</f>
        <v>226.88845872826673</v>
      </c>
      <c r="R23" s="74">
        <f>Q23*(1+Assumptions!$N$11)</f>
        <v>233.69511249011472</v>
      </c>
      <c r="S23" s="74">
        <f>R23*(1+Assumptions!$N$11)</f>
        <v>240.70596586481818</v>
      </c>
      <c r="T23" s="74">
        <f>S23*(1+Assumptions!$N$11)</f>
        <v>247.92714484076274</v>
      </c>
      <c r="U23" s="74">
        <f>T23*(1+Assumptions!$N$11)</f>
        <v>255.36495918598561</v>
      </c>
      <c r="V23" s="74">
        <f>U23*(1+Assumptions!$N$11)</f>
        <v>263.02590796156517</v>
      </c>
      <c r="W23" s="74">
        <f>V23*(1+Assumptions!$N$11)</f>
        <v>270.91668520041213</v>
      </c>
      <c r="X23" s="74">
        <f>W23*(1+Assumptions!$N$11)</f>
        <v>279.0441857564245</v>
      </c>
      <c r="Y23" s="74">
        <f>X23*(1+Assumptions!$N$11)</f>
        <v>287.41551132911724</v>
      </c>
      <c r="Z23" s="74">
        <f>Y23*(1+Assumptions!$N$11)</f>
        <v>296.03797666899078</v>
      </c>
      <c r="AA23" s="74">
        <f>Z23*(1+Assumptions!$N$11)</f>
        <v>304.9191159690605</v>
      </c>
      <c r="AB23" s="74">
        <f>AA23*(1+Assumptions!$N$11)</f>
        <v>314.06668944813231</v>
      </c>
      <c r="AC23" s="74">
        <f>AB23*(1+Assumptions!$N$11)</f>
        <v>323.48869013157628</v>
      </c>
      <c r="AD23" s="74">
        <f>AC23*(1+Assumptions!$N$11)</f>
        <v>333.19335083552357</v>
      </c>
      <c r="AE23" s="74">
        <f>AD23*(1+Assumptions!$N$11)</f>
        <v>343.18915136058928</v>
      </c>
      <c r="AF23" s="74">
        <f>AE23*(1+Assumptions!$N$11)</f>
        <v>353.48482590140696</v>
      </c>
      <c r="AG23" s="74">
        <f>AF23*(1+Assumptions!$N$11)</f>
        <v>364.0893706784492</v>
      </c>
    </row>
    <row r="24" spans="1:47">
      <c r="A24" s="3" t="s">
        <v>354</v>
      </c>
      <c r="C24" s="74">
        <f>+Assumptions!N22</f>
        <v>0</v>
      </c>
      <c r="D24" s="74">
        <f>+Assumptions!N22*(1+Assumptions!$N$11)</f>
        <v>0</v>
      </c>
      <c r="E24" s="74">
        <f>D24*(1+Assumptions!$N$11)</f>
        <v>0</v>
      </c>
      <c r="F24" s="74">
        <f>E24*(1+Assumptions!$N$11)</f>
        <v>0</v>
      </c>
      <c r="G24" s="74">
        <f>F24*(1+Assumptions!$N$11)</f>
        <v>0</v>
      </c>
      <c r="H24" s="74">
        <f>G24*(1+Assumptions!$N$11)</f>
        <v>0</v>
      </c>
      <c r="I24" s="74">
        <f>H24*(1+Assumptions!$N$11)</f>
        <v>0</v>
      </c>
      <c r="J24" s="74">
        <f>I24*(1+Assumptions!$N$11)</f>
        <v>0</v>
      </c>
      <c r="K24" s="74">
        <f>J24*(1+Assumptions!$N$11)</f>
        <v>0</v>
      </c>
      <c r="L24" s="74">
        <f>K24*(1+Assumptions!$N$11)</f>
        <v>0</v>
      </c>
      <c r="M24" s="74">
        <f>L24*(1+Assumptions!$N$11)</f>
        <v>0</v>
      </c>
      <c r="N24" s="74">
        <f>M24*(1+Assumptions!$N$11)</f>
        <v>0</v>
      </c>
      <c r="O24" s="74">
        <f>N24*(1+Assumptions!$N$11)</f>
        <v>0</v>
      </c>
      <c r="P24" s="74">
        <f>O24*(1+Assumptions!$N$11)</f>
        <v>0</v>
      </c>
      <c r="Q24" s="74">
        <f>P24*(1+Assumptions!$N$11)</f>
        <v>0</v>
      </c>
      <c r="R24" s="74">
        <f>Q24*(1+Assumptions!$N$11)</f>
        <v>0</v>
      </c>
      <c r="S24" s="74">
        <f>R24*(1+Assumptions!$N$11)</f>
        <v>0</v>
      </c>
      <c r="T24" s="74">
        <f>S24*(1+Assumptions!$N$11)</f>
        <v>0</v>
      </c>
      <c r="U24" s="74">
        <f>T24*(1+Assumptions!$N$11)</f>
        <v>0</v>
      </c>
      <c r="V24" s="74">
        <f>U24*(1+Assumptions!$N$11)</f>
        <v>0</v>
      </c>
      <c r="W24" s="74">
        <f>V24*(1+Assumptions!$N$11)</f>
        <v>0</v>
      </c>
      <c r="X24" s="74">
        <f>W24*(1+Assumptions!$N$11)</f>
        <v>0</v>
      </c>
      <c r="Y24" s="74">
        <f>X24*(1+Assumptions!$N$11)</f>
        <v>0</v>
      </c>
      <c r="Z24" s="74">
        <f>Y24*(1+Assumptions!$N$11)</f>
        <v>0</v>
      </c>
      <c r="AA24" s="74">
        <f>Z24*(1+Assumptions!$N$11)</f>
        <v>0</v>
      </c>
      <c r="AB24" s="74">
        <f>AA24*(1+Assumptions!$N$11)</f>
        <v>0</v>
      </c>
      <c r="AC24" s="74">
        <f>AB24*(1+Assumptions!$N$11)</f>
        <v>0</v>
      </c>
      <c r="AD24" s="74">
        <f>AC24*(1+Assumptions!$N$11)</f>
        <v>0</v>
      </c>
      <c r="AE24" s="74">
        <f>AD24*(1+Assumptions!$N$11)</f>
        <v>0</v>
      </c>
      <c r="AF24" s="74">
        <f>AE24*(1+Assumptions!$N$11)</f>
        <v>0</v>
      </c>
      <c r="AG24" s="74">
        <f>AF24*(1+Assumptions!$N$11)</f>
        <v>0</v>
      </c>
    </row>
    <row r="25" spans="1:47" ht="14.25" customHeight="1">
      <c r="A25" s="3" t="s">
        <v>215</v>
      </c>
      <c r="C25" s="543">
        <v>400</v>
      </c>
      <c r="D25" s="193">
        <f>C25*(1+Assumptions!$P$30)</f>
        <v>408</v>
      </c>
      <c r="E25" s="193">
        <f>D25*(1+Assumptions!$P$30)</f>
        <v>416.16</v>
      </c>
      <c r="F25" s="193">
        <f>E25*(1+Assumptions!$P$30)</f>
        <v>424.48320000000001</v>
      </c>
      <c r="G25" s="193">
        <f>F25*(1+Assumptions!$P$30)</f>
        <v>432.97286400000002</v>
      </c>
      <c r="H25" s="193">
        <f>G25*(1+Assumptions!$P$30)</f>
        <v>441.63232128000004</v>
      </c>
      <c r="I25" s="193">
        <f>H25*(1+Assumptions!$P$30)</f>
        <v>450.46496770560003</v>
      </c>
      <c r="J25" s="193">
        <f>I25*(1+Assumptions!$P$30)</f>
        <v>459.47426705971202</v>
      </c>
      <c r="K25" s="193">
        <f>J25*(1+Assumptions!$P$30)</f>
        <v>468.66375240090628</v>
      </c>
      <c r="L25" s="193">
        <f>K25*(1+Assumptions!$P$30)</f>
        <v>478.03702744892439</v>
      </c>
      <c r="M25" s="193">
        <f>L25*(1+Assumptions!$P$30)</f>
        <v>487.59776799790291</v>
      </c>
      <c r="N25" s="193">
        <f>M25*(1+Assumptions!$P$30)</f>
        <v>497.34972335786097</v>
      </c>
      <c r="O25" s="193">
        <f>N25*(1+Assumptions!$P$30)</f>
        <v>507.29671782501822</v>
      </c>
      <c r="P25" s="193">
        <f>O25*(1+Assumptions!$P$30)</f>
        <v>517.44265218151861</v>
      </c>
      <c r="Q25" s="193">
        <f>P25*(1+Assumptions!$P$30)</f>
        <v>527.79150522514897</v>
      </c>
      <c r="R25" s="193">
        <f>Q25*(1+Assumptions!$P$30)</f>
        <v>538.34733532965197</v>
      </c>
      <c r="S25" s="193">
        <f>R25*(1+Assumptions!$P$30)</f>
        <v>549.11428203624507</v>
      </c>
      <c r="T25" s="193">
        <f>S25*(1+Assumptions!$P$30)</f>
        <v>560.09656767697004</v>
      </c>
      <c r="U25" s="193">
        <f>T25*(1+Assumptions!$P$30)</f>
        <v>571.29849903050945</v>
      </c>
      <c r="V25" s="193">
        <f>U25*(1+Assumptions!$P$30)</f>
        <v>582.7244690111196</v>
      </c>
      <c r="W25" s="193">
        <f>V25*(1+Assumptions!$P$30)</f>
        <v>594.37895839134205</v>
      </c>
      <c r="X25" s="193">
        <f>W25*(1+Assumptions!$P$30)</f>
        <v>606.26653755916891</v>
      </c>
      <c r="Y25" s="193">
        <f>X25*(1+Assumptions!$P$30)</f>
        <v>618.39186831035227</v>
      </c>
      <c r="Z25" s="193">
        <f>Y25*(1+Assumptions!$P$30)</f>
        <v>630.75970567655929</v>
      </c>
      <c r="AA25" s="193">
        <f>Z25*(1+Assumptions!$P$30)</f>
        <v>643.37489979009047</v>
      </c>
      <c r="AB25" s="193">
        <f>AA25*(1+Assumptions!$P$30)</f>
        <v>656.24239778589231</v>
      </c>
      <c r="AC25" s="193">
        <f>AB25*(1+Assumptions!$P$30)</f>
        <v>669.36724574161019</v>
      </c>
      <c r="AD25" s="193">
        <f>AC25*(1+Assumptions!$P$30)</f>
        <v>682.75459065644236</v>
      </c>
      <c r="AE25" s="193">
        <f>AD25*(1+Assumptions!$P$30)</f>
        <v>696.40968246957118</v>
      </c>
      <c r="AF25" s="193">
        <f>AE25*(1+Assumptions!$P$30)</f>
        <v>710.33787611896264</v>
      </c>
      <c r="AG25" s="193">
        <f>AF25*(1+Assumptions!$P$30)</f>
        <v>724.54463364134187</v>
      </c>
    </row>
    <row r="26" spans="1:47">
      <c r="A26" s="5" t="s">
        <v>205</v>
      </c>
      <c r="C26" s="74">
        <f>Assumptions!$N$52*Depreciation!D50*Assumptions!H18/12</f>
        <v>170.32671307978265</v>
      </c>
      <c r="D26" s="74">
        <f>Assumptions!$N$52*Depreciation!E50</f>
        <v>246.00295932519418</v>
      </c>
      <c r="E26" s="74">
        <f>Assumptions!$N$52*Depreciation!F50</f>
        <v>236.51584903071435</v>
      </c>
      <c r="F26" s="74">
        <f>Assumptions!$N$52*Depreciation!G50</f>
        <v>227.02873873623452</v>
      </c>
      <c r="G26" s="74">
        <f>Assumptions!$N$52*Depreciation!H50</f>
        <v>217.54162844175471</v>
      </c>
      <c r="H26" s="74">
        <f>Assumptions!$N$52*Depreciation!I50</f>
        <v>209.29582481394155</v>
      </c>
      <c r="I26" s="74">
        <f>Assumptions!$N$52*Depreciation!J50</f>
        <v>201.67067451946173</v>
      </c>
      <c r="J26" s="74">
        <f>Assumptions!$N$52*Depreciation!K50</f>
        <v>194.0455242249819</v>
      </c>
      <c r="K26" s="74">
        <f>Assumptions!$N$52*Depreciation!L50</f>
        <v>186.42037393050208</v>
      </c>
      <c r="L26" s="74">
        <f>Assumptions!$N$52*Depreciation!M50</f>
        <v>178.79522363602223</v>
      </c>
      <c r="M26" s="74">
        <f>Assumptions!$N$52*Depreciation!N50</f>
        <v>171.17007334154241</v>
      </c>
      <c r="N26" s="74">
        <f>Assumptions!$N$52*Depreciation!O50</f>
        <v>163.54492304706261</v>
      </c>
      <c r="O26" s="74">
        <f>Assumptions!$N$52*Depreciation!P50</f>
        <v>155.91977275258279</v>
      </c>
      <c r="P26" s="74">
        <f>Assumptions!$N$52*Depreciation!Q50</f>
        <v>148.29462245810299</v>
      </c>
      <c r="Q26" s="74">
        <f>Assumptions!$N$52*Depreciation!R50</f>
        <v>140.66947216362317</v>
      </c>
      <c r="R26" s="74">
        <f>Assumptions!$N$52*Depreciation!S50</f>
        <v>133.04432186914337</v>
      </c>
      <c r="S26" s="74">
        <f>Assumptions!$N$52*Depreciation!T50</f>
        <v>125.41917157466357</v>
      </c>
      <c r="T26" s="74">
        <f>Assumptions!$N$52*Depreciation!U50</f>
        <v>117.79402128018376</v>
      </c>
      <c r="U26" s="74">
        <f>Assumptions!$N$52*Depreciation!V50</f>
        <v>110.16887098570395</v>
      </c>
      <c r="V26" s="74">
        <f>Assumptions!$N$52*Depreciation!W50</f>
        <v>102.54372069122414</v>
      </c>
      <c r="W26" s="74">
        <f>Assumptions!$N$52*Depreciation!X50</f>
        <v>95.001903730077643</v>
      </c>
      <c r="X26" s="74">
        <f>Assumptions!$N$52*Depreciation!Y50</f>
        <v>87.501753435597834</v>
      </c>
      <c r="Y26" s="74">
        <f>Assumptions!$N$52*Depreciation!Z50</f>
        <v>80.001603141118025</v>
      </c>
      <c r="Z26" s="74">
        <f>Assumptions!$N$52*Depreciation!AA50</f>
        <v>72.501452846638202</v>
      </c>
      <c r="AA26" s="74">
        <f>Assumptions!$N$52*Depreciation!AB50</f>
        <v>65.001302552158393</v>
      </c>
      <c r="AB26" s="74">
        <f>Assumptions!$N$52*Depreciation!AC50</f>
        <v>57.501152257678569</v>
      </c>
      <c r="AC26" s="74">
        <f>Assumptions!$N$52*Depreciation!AD50</f>
        <v>50.001001963198753</v>
      </c>
      <c r="AD26" s="74">
        <f>Assumptions!$N$52*Depreciation!AE50</f>
        <v>42.500851668718937</v>
      </c>
      <c r="AE26" s="74">
        <f>Assumptions!$N$52*Depreciation!AF50</f>
        <v>35.000701374239114</v>
      </c>
      <c r="AF26" s="74">
        <f>Assumptions!$N$52*Depreciation!AG50</f>
        <v>27.500551079759298</v>
      </c>
      <c r="AG26" s="74">
        <f>Assumptions!$N$52*Depreciation!AH50</f>
        <v>25.000500981599359</v>
      </c>
    </row>
    <row r="27" spans="1:47">
      <c r="A27" s="5" t="s">
        <v>209</v>
      </c>
      <c r="C27" s="193">
        <v>0</v>
      </c>
      <c r="D27" s="193">
        <v>0</v>
      </c>
      <c r="E27" s="193">
        <v>0</v>
      </c>
      <c r="F27" s="193">
        <v>0</v>
      </c>
      <c r="G27" s="193">
        <v>0</v>
      </c>
      <c r="H27" s="193">
        <v>0</v>
      </c>
      <c r="I27" s="193">
        <v>0</v>
      </c>
      <c r="J27" s="193">
        <v>0</v>
      </c>
      <c r="K27" s="193">
        <v>0</v>
      </c>
      <c r="L27" s="193">
        <v>0</v>
      </c>
      <c r="M27" s="193">
        <v>0</v>
      </c>
      <c r="N27" s="193">
        <v>0</v>
      </c>
      <c r="O27" s="193">
        <v>0</v>
      </c>
      <c r="P27" s="193">
        <v>0</v>
      </c>
      <c r="Q27" s="193">
        <v>0</v>
      </c>
      <c r="R27" s="193">
        <v>0</v>
      </c>
      <c r="S27" s="193">
        <v>0</v>
      </c>
      <c r="T27" s="193">
        <v>0</v>
      </c>
      <c r="U27" s="193">
        <v>0</v>
      </c>
      <c r="V27" s="193">
        <v>0</v>
      </c>
      <c r="W27" s="193">
        <v>0</v>
      </c>
      <c r="X27" s="193">
        <v>0</v>
      </c>
      <c r="Y27" s="193">
        <v>0</v>
      </c>
      <c r="Z27" s="193">
        <v>0</v>
      </c>
      <c r="AA27" s="193">
        <v>0</v>
      </c>
      <c r="AB27" s="193">
        <v>0</v>
      </c>
      <c r="AC27" s="193">
        <v>0</v>
      </c>
      <c r="AD27" s="193">
        <v>0</v>
      </c>
      <c r="AE27" s="193">
        <v>0</v>
      </c>
      <c r="AF27" s="193">
        <v>0</v>
      </c>
      <c r="AG27" s="193">
        <v>0</v>
      </c>
    </row>
    <row r="28" spans="1:47">
      <c r="A28" s="13" t="s">
        <v>20</v>
      </c>
      <c r="C28" s="74">
        <f>IF(C8&lt;Assumptions!$G$34,Assumptions!$G$42*Assumptions!$G$41*C6,0)</f>
        <v>0</v>
      </c>
      <c r="D28" s="74">
        <f>IF(D8&lt;Assumptions!$G$34,Assumptions!$G$42*Assumptions!$G$41,IF(AND(D8&gt;Assumptions!$G$34,C8&lt;Assumptions!$G$34),Assumptions!$G$42*Assumptions!$G$41*(1-$C$6),0))</f>
        <v>0</v>
      </c>
      <c r="E28" s="74">
        <f>IF(E8&lt;Assumptions!$G$34,Assumptions!$G$42*Assumptions!$G$41,IF(AND(E8&gt;Assumptions!$G$34,D8&lt;Assumptions!$G$34),Assumptions!$G$42*Assumptions!$G$41*(1-$C$6),0))</f>
        <v>0</v>
      </c>
      <c r="F28" s="74">
        <f>IF(F8&lt;Assumptions!$G$34,Assumptions!$G$42*Assumptions!$G$41,IF(AND(F8&gt;Assumptions!$G$34,E8&lt;Assumptions!$G$34),Assumptions!$G$42*Assumptions!$G$41*(1-$C$6),0))</f>
        <v>0</v>
      </c>
      <c r="G28" s="74">
        <f>IF(G8&lt;Assumptions!$G$34,Assumptions!$G$42*Assumptions!$G$41,IF(AND(G8&gt;Assumptions!$G$34,F8&lt;Assumptions!$G$34),Assumptions!$G$42*Assumptions!$G$41*(1-$C$6),0))</f>
        <v>0</v>
      </c>
      <c r="H28" s="74">
        <f>IF(H8&lt;Assumptions!$G$34,Assumptions!$G$42*Assumptions!$G$41,IF(AND(H8&gt;Assumptions!$G$34,G8&lt;Assumptions!$G$34),Assumptions!$G$42*Assumptions!$G$41*(1-$C$6),0))</f>
        <v>0</v>
      </c>
      <c r="I28" s="74">
        <f>IF(I8&lt;Assumptions!$G$34,Assumptions!$G$42*Assumptions!$G$41,IF(AND(I8&gt;Assumptions!$G$34,H8&lt;Assumptions!$G$34),Assumptions!$G$42*Assumptions!$G$41*(1-$C$6),0))</f>
        <v>0</v>
      </c>
      <c r="J28" s="74">
        <f>IF(J8&lt;Assumptions!$G$34,Assumptions!$G$42*Assumptions!$G$41,IF(AND(J8&gt;Assumptions!$G$34,I8&lt;Assumptions!$G$34),Assumptions!$G$42*Assumptions!$G$41*(1-$C$6),0))</f>
        <v>0</v>
      </c>
      <c r="K28" s="74">
        <f>IF(K8&lt;Assumptions!$G$34,Assumptions!$G$42*Assumptions!$G$41,IF(AND(K8&gt;Assumptions!$G$34,J8&lt;Assumptions!$G$34),Assumptions!$G$42*Assumptions!$G$41*(1-$C$6),0))</f>
        <v>0</v>
      </c>
      <c r="L28" s="74">
        <f>IF(L8&lt;Assumptions!$G$34,Assumptions!$G$42*Assumptions!$G$41,IF(AND(L8&gt;Assumptions!$G$34,K8&lt;Assumptions!$G$34),Assumptions!$G$42*Assumptions!$G$41*(1-$C$6),0))</f>
        <v>0</v>
      </c>
      <c r="M28" s="74">
        <f>IF(M8&lt;Assumptions!$G$34,Assumptions!$G$42*Assumptions!$G$41,IF(AND(M8&gt;Assumptions!$G$34,L8&lt;Assumptions!$G$34),Assumptions!$G$42*Assumptions!$G$41*(1-$C$6),0))</f>
        <v>0</v>
      </c>
      <c r="N28" s="74">
        <f>IF(N8&lt;Assumptions!$G$34,Assumptions!$G$42*Assumptions!$G$41,IF(AND(N8&gt;Assumptions!$G$34,M8&lt;Assumptions!$G$34),Assumptions!$G$42*Assumptions!$G$41*(1-$C$6),0))</f>
        <v>0</v>
      </c>
      <c r="O28" s="74">
        <f>IF(O8&lt;Assumptions!$G$34,Assumptions!$G$42*Assumptions!$G$41,IF(AND(O8&gt;Assumptions!$G$34,N8&lt;Assumptions!$G$34),Assumptions!$G$42*Assumptions!$G$41*(1-$C$6),0))</f>
        <v>0</v>
      </c>
      <c r="P28" s="74">
        <f>IF(P8&lt;Assumptions!$G$34,Assumptions!$G$42*Assumptions!$G$41,IF(AND(P8&gt;Assumptions!$G$34,O8&lt;Assumptions!$G$34),Assumptions!$G$42*Assumptions!$G$41*(1-$C$6),0))</f>
        <v>0</v>
      </c>
      <c r="Q28" s="74">
        <f>IF(Q8&lt;Assumptions!$G$34,Assumptions!$G$42*Assumptions!$G$41,IF(AND(Q8&gt;Assumptions!$G$34,P8&lt;Assumptions!$G$34),Assumptions!$G$42*Assumptions!$G$41*(1-$C$6),0))</f>
        <v>0</v>
      </c>
      <c r="R28" s="74">
        <f>IF(R8&lt;Assumptions!$G$34,Assumptions!$G$42*Assumptions!$G$41,IF(AND(R8&gt;Assumptions!$G$34,Q8&lt;Assumptions!$G$34),Assumptions!$G$42*Assumptions!$G$41*(1-$C$6),0))</f>
        <v>0</v>
      </c>
      <c r="S28" s="74">
        <f>IF(S8&lt;Assumptions!$G$34,Assumptions!$G$42*Assumptions!$G$41,IF(AND(S8&gt;Assumptions!$G$34,R8&lt;Assumptions!$G$34),Assumptions!$G$42*Assumptions!$G$41*(1-$C$6),0))</f>
        <v>0</v>
      </c>
      <c r="T28" s="74">
        <f>IF(T8&lt;Assumptions!$G$34,Assumptions!$G$42*Assumptions!$G$41,IF(AND(T8&gt;Assumptions!$G$34,S8&lt;Assumptions!$G$34),Assumptions!$G$42*Assumptions!$G$41*(1-$C$6),0))</f>
        <v>0</v>
      </c>
      <c r="U28" s="74">
        <f>IF(U8&lt;Assumptions!$G$34,Assumptions!$G$42*Assumptions!$G$41,IF(AND(U8&gt;Assumptions!$G$34,T8&lt;Assumptions!$G$34),Assumptions!$G$42*Assumptions!$G$41*(1-$C$6),0))</f>
        <v>0</v>
      </c>
      <c r="V28" s="74">
        <f>IF(V8&lt;Assumptions!$G$34,Assumptions!$G$42*Assumptions!$G$41,IF(AND(V8&gt;Assumptions!$G$34,U8&lt;Assumptions!$G$34),Assumptions!$G$42*Assumptions!$G$41*(1-$C$6),0))</f>
        <v>0</v>
      </c>
      <c r="W28" s="74">
        <f>IF(W8&lt;Assumptions!$G$34,Assumptions!$G$42*Assumptions!$G$41,IF(AND(W8&gt;Assumptions!$G$34,V8&lt;Assumptions!$G$34),Assumptions!$G$42*Assumptions!$G$41*(1-$C$6),0))</f>
        <v>0</v>
      </c>
      <c r="X28" s="74">
        <f>IF(X8&lt;Assumptions!$G$34,Assumptions!$G$42*Assumptions!$G$41,IF(AND(X8&gt;Assumptions!$G$34,W8&lt;Assumptions!$G$34),Assumptions!$G$42*Assumptions!$G$41*(1-$C$6),0))</f>
        <v>0</v>
      </c>
      <c r="Y28" s="74">
        <f>IF(Y8&lt;Assumptions!$G$34,Assumptions!$G$42*Assumptions!$G$41,IF(AND(Y8&gt;Assumptions!$G$34,X8&lt;Assumptions!$G$34),Assumptions!$G$42*Assumptions!$G$41*(1-$C$6),0))</f>
        <v>0</v>
      </c>
      <c r="Z28" s="74">
        <f>IF(Z8&lt;Assumptions!$G$34,Assumptions!$G$42*Assumptions!$G$41,IF(AND(Z8&gt;Assumptions!$G$34,Y8&lt;Assumptions!$G$34),Assumptions!$G$42*Assumptions!$G$41*(1-$C$6),0))</f>
        <v>0</v>
      </c>
      <c r="AA28" s="74">
        <f>IF(AA8&lt;Assumptions!$G$34,Assumptions!$G$42*Assumptions!$G$41,IF(AND(AA8&gt;Assumptions!$G$34,Z8&lt;Assumptions!$G$34),Assumptions!$G$42*Assumptions!$G$41*(1-$C$6),0))</f>
        <v>0</v>
      </c>
      <c r="AB28" s="74">
        <f>IF(AB8&lt;Assumptions!$G$34,Assumptions!$G$42*Assumptions!$G$41,IF(AND(AB8&gt;Assumptions!$G$34,AA8&lt;Assumptions!$G$34),Assumptions!$G$42*Assumptions!$G$41*(1-$C$6),0))</f>
        <v>0</v>
      </c>
      <c r="AC28" s="74">
        <f>IF(AC8&lt;Assumptions!$G$34,Assumptions!$G$42*Assumptions!$G$41,IF(AND(AC8&gt;Assumptions!$G$34,AB8&lt;Assumptions!$G$34),Assumptions!$G$42*Assumptions!$G$41*(1-$C$6),0))</f>
        <v>0</v>
      </c>
      <c r="AD28" s="74">
        <f>IF(AD8&lt;Assumptions!$G$34,Assumptions!$G$42*Assumptions!$G$41,IF(AND(AD8&gt;Assumptions!$G$34,AC8&lt;Assumptions!$G$34),Assumptions!$G$42*Assumptions!$G$41*(1-$C$6),0))</f>
        <v>0</v>
      </c>
      <c r="AE28" s="74">
        <f>IF(AE8&lt;Assumptions!$G$34,Assumptions!$G$42*Assumptions!$G$41,IF(AND(AE8&gt;Assumptions!$G$34,AD8&lt;Assumptions!$G$34),Assumptions!$G$42*Assumptions!$G$41*(1-$C$6),0))</f>
        <v>0</v>
      </c>
      <c r="AF28" s="74">
        <f>IF(AF8&lt;Assumptions!$G$34,Assumptions!$G$42*Assumptions!$G$41,IF(AND(AF8&gt;Assumptions!$G$34,AE8&lt;Assumptions!$G$34),Assumptions!$G$42*Assumptions!$G$41*(1-$C$6),0))</f>
        <v>0</v>
      </c>
      <c r="AG28" s="74">
        <f>IF(AG8&lt;Assumptions!$G$34,Assumptions!$G$42*Assumptions!$G$41,IF(AND(AG8&gt;Assumptions!$G$34,AF8&lt;Assumptions!$G$34),Assumptions!$G$42*Assumptions!$G$41*(1-$C$6),0))</f>
        <v>0</v>
      </c>
      <c r="AH28" s="74"/>
      <c r="AI28" s="74"/>
      <c r="AJ28" s="74"/>
      <c r="AK28" s="74"/>
      <c r="AL28" s="74"/>
      <c r="AM28" s="74"/>
      <c r="AN28" s="74"/>
      <c r="AO28" s="74"/>
      <c r="AP28" s="74"/>
      <c r="AQ28" s="74"/>
      <c r="AR28" s="74"/>
      <c r="AS28" s="74"/>
      <c r="AT28" s="74"/>
      <c r="AU28" s="74"/>
    </row>
    <row r="29" spans="1:47">
      <c r="A29" s="13" t="s">
        <v>45</v>
      </c>
      <c r="C29" s="74">
        <f>Assumptions!$O$23*Assumptions!$H$68*Assumptions!H18/12</f>
        <v>0</v>
      </c>
      <c r="D29" s="74">
        <f>Assumptions!$O$23*Assumptions!$H$68*(1+Assumptions!$N$11)</f>
        <v>0</v>
      </c>
      <c r="E29" s="74">
        <f>Assumptions!$O$23*Assumptions!$H$68*(1+Assumptions!$N$11)</f>
        <v>0</v>
      </c>
      <c r="F29" s="74">
        <f>Assumptions!$O$23*Assumptions!$H$68*(1+Assumptions!$N$11)</f>
        <v>0</v>
      </c>
      <c r="G29" s="74">
        <f>Assumptions!$O$23*Assumptions!$H$68*(1+Assumptions!$N$11)</f>
        <v>0</v>
      </c>
      <c r="H29" s="74">
        <f>Assumptions!$O$23*Assumptions!$H$68*(1+Assumptions!$N$11)</f>
        <v>0</v>
      </c>
      <c r="I29" s="74">
        <f>Assumptions!$O$23*Assumptions!$H$68*(1+Assumptions!$N$11)</f>
        <v>0</v>
      </c>
      <c r="J29" s="74">
        <f>Assumptions!$O$23*Assumptions!$H$68*(1+Assumptions!$N$11)</f>
        <v>0</v>
      </c>
      <c r="K29" s="74">
        <f>Assumptions!$O$23*Assumptions!$H$68*(1+Assumptions!$N$11)</f>
        <v>0</v>
      </c>
      <c r="L29" s="74">
        <f>Assumptions!$O$23*Assumptions!$H$68*(1+Assumptions!$N$11)</f>
        <v>0</v>
      </c>
      <c r="M29" s="74">
        <f>Assumptions!$O$23*Assumptions!$H$68*(1+Assumptions!$N$11)</f>
        <v>0</v>
      </c>
      <c r="N29" s="74">
        <f>Assumptions!$O$23*Assumptions!$H$68*(1+Assumptions!$N$11)</f>
        <v>0</v>
      </c>
      <c r="O29" s="74">
        <f>Assumptions!$O$23*Assumptions!$H$68*(1+Assumptions!$N$11)</f>
        <v>0</v>
      </c>
      <c r="P29" s="74">
        <f>Assumptions!$O$23*Assumptions!$H$68*(1+Assumptions!$N$11)</f>
        <v>0</v>
      </c>
      <c r="Q29" s="74">
        <f>Assumptions!$O$23*Assumptions!$H$68*(1+Assumptions!$N$11)</f>
        <v>0</v>
      </c>
      <c r="R29" s="74">
        <f>Assumptions!$O$23*Assumptions!$H$68*(1+Assumptions!$N$11)</f>
        <v>0</v>
      </c>
      <c r="S29" s="74">
        <f>Assumptions!$O$23*Assumptions!$H$68*(1+Assumptions!$N$11)</f>
        <v>0</v>
      </c>
      <c r="T29" s="74">
        <f>Assumptions!$O$23*Assumptions!$H$68*(1+Assumptions!$N$11)</f>
        <v>0</v>
      </c>
      <c r="U29" s="74">
        <f>Assumptions!$O$23*Assumptions!$H$68*(1+Assumptions!$N$11)</f>
        <v>0</v>
      </c>
      <c r="V29" s="74">
        <f>Assumptions!$O$23*Assumptions!$H$68*(1+Assumptions!$N$11)</f>
        <v>0</v>
      </c>
      <c r="W29" s="74">
        <f>Assumptions!$O$23*Assumptions!$H$68*(1+Assumptions!$N$11)</f>
        <v>0</v>
      </c>
      <c r="X29" s="74">
        <f>Assumptions!$O$23*Assumptions!$H$68*(1+Assumptions!$N$11)</f>
        <v>0</v>
      </c>
      <c r="Y29" s="74">
        <f>Assumptions!$O$23*Assumptions!$H$68*(1+Assumptions!$N$11)</f>
        <v>0</v>
      </c>
      <c r="Z29" s="74">
        <f>Assumptions!$O$23*Assumptions!$H$68*(1+Assumptions!$N$11)</f>
        <v>0</v>
      </c>
      <c r="AA29" s="74">
        <f>Assumptions!$O$23*Assumptions!$H$68*(1+Assumptions!$N$11)</f>
        <v>0</v>
      </c>
      <c r="AB29" s="74">
        <f>Assumptions!$O$23*Assumptions!$H$68*(1+Assumptions!$N$11)</f>
        <v>0</v>
      </c>
      <c r="AC29" s="74">
        <f>Assumptions!$O$23*Assumptions!$H$68*(1+Assumptions!$N$11)</f>
        <v>0</v>
      </c>
      <c r="AD29" s="74">
        <f>Assumptions!$O$23*Assumptions!$H$68*(1+Assumptions!$N$11)</f>
        <v>0</v>
      </c>
      <c r="AE29" s="74">
        <f>Assumptions!$O$23*Assumptions!$H$68*(1+Assumptions!$N$11)</f>
        <v>0</v>
      </c>
      <c r="AF29" s="74">
        <f>Assumptions!$O$23*Assumptions!$H$68*(1+Assumptions!$N$11)</f>
        <v>0</v>
      </c>
      <c r="AG29" s="74">
        <f>Assumptions!$O$23*Assumptions!$H$68*(1+Assumptions!$N$11)</f>
        <v>0</v>
      </c>
    </row>
    <row r="30" spans="1:47">
      <c r="A30" s="3" t="s">
        <v>46</v>
      </c>
      <c r="C30" s="74">
        <f>Assumptions!$N24*Assumptions!H18/12</f>
        <v>0</v>
      </c>
      <c r="D30" s="74">
        <f>Assumptions!$N24*(1+Assumptions!$N$11)</f>
        <v>0</v>
      </c>
      <c r="E30" s="74">
        <f>D30*(1+Assumptions!$N$11)</f>
        <v>0</v>
      </c>
      <c r="F30" s="74">
        <f>E30*(1+Assumptions!$N$11)</f>
        <v>0</v>
      </c>
      <c r="G30" s="74">
        <f>F30*(1+Assumptions!$N$11)</f>
        <v>0</v>
      </c>
      <c r="H30" s="74">
        <f>G30*(1+Assumptions!$N$11)</f>
        <v>0</v>
      </c>
      <c r="I30" s="74">
        <f>H30*(1+Assumptions!$N$11)</f>
        <v>0</v>
      </c>
      <c r="J30" s="74">
        <f>I30*(1+Assumptions!$N$11)</f>
        <v>0</v>
      </c>
      <c r="K30" s="74">
        <f>J30*(1+Assumptions!$N$11)</f>
        <v>0</v>
      </c>
      <c r="L30" s="74">
        <f>K30*(1+Assumptions!$N$11)</f>
        <v>0</v>
      </c>
      <c r="M30" s="74">
        <f>L30*(1+Assumptions!$N$11)</f>
        <v>0</v>
      </c>
      <c r="N30" s="74">
        <f>M30*(1+Assumptions!$N$11)</f>
        <v>0</v>
      </c>
      <c r="O30" s="74">
        <f>N30*(1+Assumptions!$N$11)</f>
        <v>0</v>
      </c>
      <c r="P30" s="74">
        <f>O30*(1+Assumptions!$N$11)</f>
        <v>0</v>
      </c>
      <c r="Q30" s="74">
        <f>P30*(1+Assumptions!$N$11)</f>
        <v>0</v>
      </c>
      <c r="R30" s="74">
        <f>Q30*(1+Assumptions!$N$11)</f>
        <v>0</v>
      </c>
      <c r="S30" s="74">
        <f>R30*(1+Assumptions!$N$11)</f>
        <v>0</v>
      </c>
      <c r="T30" s="74">
        <f>S30*(1+Assumptions!$N$11)</f>
        <v>0</v>
      </c>
      <c r="U30" s="74">
        <f>T30*(1+Assumptions!$N$11)</f>
        <v>0</v>
      </c>
      <c r="V30" s="74">
        <f>U30*(1+Assumptions!$N$11)</f>
        <v>0</v>
      </c>
      <c r="W30" s="74">
        <f>V30*(1+Assumptions!$N$11)</f>
        <v>0</v>
      </c>
      <c r="X30" s="74">
        <f>W30*(1+Assumptions!$N$11)</f>
        <v>0</v>
      </c>
      <c r="Y30" s="74">
        <f>X30*(1+Assumptions!$N$11)</f>
        <v>0</v>
      </c>
      <c r="Z30" s="74">
        <f>Y30*(1+Assumptions!$N$11)</f>
        <v>0</v>
      </c>
      <c r="AA30" s="74">
        <f>Z30*(1+Assumptions!$N$11)</f>
        <v>0</v>
      </c>
      <c r="AB30" s="74">
        <f>AA30*(1+Assumptions!$N$11)</f>
        <v>0</v>
      </c>
      <c r="AC30" s="74">
        <f>AB30*(1+Assumptions!$N$11)</f>
        <v>0</v>
      </c>
      <c r="AD30" s="74">
        <f>AC30*(1+Assumptions!$N$11)</f>
        <v>0</v>
      </c>
      <c r="AE30" s="74">
        <f>AD30*(1+Assumptions!$N$11)</f>
        <v>0</v>
      </c>
      <c r="AF30" s="74">
        <f>AE30*(1+Assumptions!$N$11)</f>
        <v>0</v>
      </c>
      <c r="AG30" s="74">
        <f>AF30*(1+Assumptions!$N$11)</f>
        <v>0</v>
      </c>
    </row>
    <row r="31" spans="1:47">
      <c r="A31" s="3" t="s">
        <v>47</v>
      </c>
      <c r="C31" s="75">
        <f>Assumptions!$N25*Assumptions!H18/12</f>
        <v>133.33333333333334</v>
      </c>
      <c r="D31" s="75">
        <f>Assumptions!$N25*(1+Assumptions!$N$11)</f>
        <v>206</v>
      </c>
      <c r="E31" s="75">
        <f>D31*(1+Assumptions!$N$11)</f>
        <v>212.18</v>
      </c>
      <c r="F31" s="75">
        <f>E31*(1+Assumptions!$N$11)</f>
        <v>218.5454</v>
      </c>
      <c r="G31" s="75">
        <f>F31*(1+Assumptions!$N$11)</f>
        <v>225.10176200000001</v>
      </c>
      <c r="H31" s="75">
        <f>G31*(1+Assumptions!$N$11)</f>
        <v>231.85481486</v>
      </c>
      <c r="I31" s="75">
        <f>H31*(1+Assumptions!$N$11)</f>
        <v>238.81045930580001</v>
      </c>
      <c r="J31" s="75">
        <f>I31*(1+Assumptions!$N$11)</f>
        <v>245.974773084974</v>
      </c>
      <c r="K31" s="75">
        <f>J31*(1+Assumptions!$N$11)</f>
        <v>253.35401627752324</v>
      </c>
      <c r="L31" s="75">
        <f>K31*(1+Assumptions!$N$11)</f>
        <v>260.95463676584893</v>
      </c>
      <c r="M31" s="75">
        <f>L31*(1+Assumptions!$N$11)</f>
        <v>268.78327586882443</v>
      </c>
      <c r="N31" s="75">
        <f>M31*(1+Assumptions!$N$11)</f>
        <v>276.8467741448892</v>
      </c>
      <c r="O31" s="75">
        <f>N31*(1+Assumptions!$N$11)</f>
        <v>285.15217736923586</v>
      </c>
      <c r="P31" s="75">
        <f>O31*(1+Assumptions!$N$11)</f>
        <v>293.70674269031292</v>
      </c>
      <c r="Q31" s="75">
        <f>P31*(1+Assumptions!$N$11)</f>
        <v>302.5179449710223</v>
      </c>
      <c r="R31" s="75">
        <f>Q31*(1+Assumptions!$N$11)</f>
        <v>311.59348332015298</v>
      </c>
      <c r="S31" s="75">
        <f>R31*(1+Assumptions!$N$11)</f>
        <v>320.94128781975758</v>
      </c>
      <c r="T31" s="75">
        <f>S31*(1+Assumptions!$N$11)</f>
        <v>330.5695264543503</v>
      </c>
      <c r="U31" s="75">
        <f>T31*(1+Assumptions!$N$11)</f>
        <v>340.48661224798082</v>
      </c>
      <c r="V31" s="75">
        <f>U31*(1+Assumptions!$N$11)</f>
        <v>350.70121061542022</v>
      </c>
      <c r="W31" s="75">
        <f>V31*(1+Assumptions!$N$11)</f>
        <v>361.22224693388284</v>
      </c>
      <c r="X31" s="75">
        <f>W31*(1+Assumptions!$N$11)</f>
        <v>372.05891434189931</v>
      </c>
      <c r="Y31" s="75">
        <f>X31*(1+Assumptions!$N$11)</f>
        <v>383.2206817721563</v>
      </c>
      <c r="Z31" s="75">
        <f>Y31*(1+Assumptions!$N$11)</f>
        <v>394.71730222532102</v>
      </c>
      <c r="AA31" s="75">
        <f>Z31*(1+Assumptions!$N$11)</f>
        <v>406.55882129208067</v>
      </c>
      <c r="AB31" s="75">
        <f>AA31*(1+Assumptions!$N$11)</f>
        <v>418.7555859308431</v>
      </c>
      <c r="AC31" s="75">
        <f>AB31*(1+Assumptions!$N$11)</f>
        <v>431.31825350876841</v>
      </c>
      <c r="AD31" s="75">
        <f>AC31*(1+Assumptions!$N$11)</f>
        <v>444.25780111403145</v>
      </c>
      <c r="AE31" s="75">
        <f>AD31*(1+Assumptions!$N$11)</f>
        <v>457.58553514745239</v>
      </c>
      <c r="AF31" s="75">
        <f>AE31*(1+Assumptions!$N$11)</f>
        <v>471.31310120187595</v>
      </c>
      <c r="AG31" s="75">
        <f>AF31*(1+Assumptions!$N$11)</f>
        <v>485.45249423793223</v>
      </c>
    </row>
    <row r="32" spans="1:47" s="11" customFormat="1">
      <c r="A32" s="549" t="s">
        <v>48</v>
      </c>
      <c r="C32" s="124">
        <f>SUM(C17:C31)</f>
        <v>21017.686297300708</v>
      </c>
      <c r="D32" s="124">
        <f t="shared" ref="D32:AG32" si="1">SUM(D17:D31)</f>
        <v>30917.939380746084</v>
      </c>
      <c r="E32" s="124">
        <f t="shared" si="1"/>
        <v>33297.400529434235</v>
      </c>
      <c r="F32" s="124">
        <f t="shared" si="1"/>
        <v>34693.568795891864</v>
      </c>
      <c r="G32" s="124">
        <f t="shared" si="1"/>
        <v>34669.521901652042</v>
      </c>
      <c r="H32" s="124">
        <f t="shared" si="1"/>
        <v>34645.907273920537</v>
      </c>
      <c r="I32" s="124">
        <f t="shared" si="1"/>
        <v>32935.317820226461</v>
      </c>
      <c r="J32" s="124">
        <f t="shared" si="1"/>
        <v>33510.352930966139</v>
      </c>
      <c r="K32" s="124">
        <f t="shared" si="1"/>
        <v>33660.801176543289</v>
      </c>
      <c r="L32" s="124">
        <f t="shared" si="1"/>
        <v>26513.227699143183</v>
      </c>
      <c r="M32" s="124">
        <f t="shared" si="1"/>
        <v>6894.9402591794324</v>
      </c>
      <c r="N32" s="124">
        <f t="shared" si="1"/>
        <v>6961.5192831201093</v>
      </c>
      <c r="O32" s="124">
        <f t="shared" si="1"/>
        <v>7030.2269127342406</v>
      </c>
      <c r="P32" s="124">
        <f t="shared" si="1"/>
        <v>7101.1250558009633</v>
      </c>
      <c r="Q32" s="124">
        <f t="shared" si="1"/>
        <v>7174.2774383249525</v>
      </c>
      <c r="R32" s="124">
        <f t="shared" si="1"/>
        <v>7249.7496583030616</v>
      </c>
      <c r="S32" s="124">
        <f t="shared" si="1"/>
        <v>7327.609241088303</v>
      </c>
      <c r="T32" s="124">
        <f t="shared" si="1"/>
        <v>7407.9256963988701</v>
      </c>
      <c r="U32" s="124">
        <f t="shared" si="1"/>
        <v>7490.7705770211805</v>
      </c>
      <c r="V32" s="124">
        <f t="shared" si="1"/>
        <v>7576.2175392574609</v>
      </c>
      <c r="W32" s="124">
        <f t="shared" si="1"/>
        <v>7664.4257385031906</v>
      </c>
      <c r="X32" s="124">
        <f t="shared" si="1"/>
        <v>7755.4315600079899</v>
      </c>
      <c r="Y32" s="124">
        <f t="shared" si="1"/>
        <v>7849.2736848750892</v>
      </c>
      <c r="Z32" s="124">
        <f t="shared" si="1"/>
        <v>7946.0348246895264</v>
      </c>
      <c r="AA32" s="124">
        <f t="shared" si="1"/>
        <v>8045.8001248335677</v>
      </c>
      <c r="AB32" s="124">
        <f t="shared" si="1"/>
        <v>8148.6572365496295</v>
      </c>
      <c r="AC32" s="124">
        <f t="shared" si="1"/>
        <v>8254.6963911460498</v>
      </c>
      <c r="AD32" s="124">
        <f t="shared" si="1"/>
        <v>8364.0104764096377</v>
      </c>
      <c r="AE32" s="124">
        <f t="shared" si="1"/>
        <v>8476.6951152908223</v>
      </c>
      <c r="AF32" s="124">
        <f t="shared" si="1"/>
        <v>8592.8487469291431</v>
      </c>
      <c r="AG32" s="124">
        <f t="shared" si="1"/>
        <v>8717.5728102852754</v>
      </c>
    </row>
    <row r="33" spans="1:33">
      <c r="A33" s="4"/>
      <c r="C33" s="371"/>
      <c r="D33" s="371"/>
      <c r="E33" s="371"/>
      <c r="F33" s="371"/>
      <c r="G33" s="371"/>
      <c r="H33" s="371"/>
      <c r="I33" s="371"/>
      <c r="J33" s="371"/>
      <c r="K33" s="371"/>
      <c r="L33" s="371"/>
      <c r="M33" s="371"/>
      <c r="N33" s="371"/>
      <c r="O33" s="371"/>
      <c r="P33" s="371"/>
      <c r="Q33" s="371"/>
      <c r="R33" s="371"/>
      <c r="S33" s="371"/>
      <c r="T33" s="371"/>
      <c r="U33" s="371"/>
      <c r="V33" s="371"/>
      <c r="W33" s="371"/>
      <c r="X33" s="371"/>
      <c r="Y33" s="371"/>
      <c r="Z33" s="371"/>
      <c r="AA33" s="371"/>
      <c r="AB33" s="371"/>
      <c r="AC33" s="371"/>
      <c r="AD33" s="371"/>
      <c r="AE33" s="371"/>
      <c r="AF33" s="371"/>
      <c r="AG33" s="371"/>
    </row>
    <row r="34" spans="1:33">
      <c r="A34" s="1" t="s">
        <v>49</v>
      </c>
      <c r="C34" s="124">
        <f t="shared" ref="C34:X34" si="2">C14-C32</f>
        <v>16695.330742699291</v>
      </c>
      <c r="D34" s="124">
        <f t="shared" si="2"/>
        <v>16440.252059253919</v>
      </c>
      <c r="E34" s="124">
        <f t="shared" si="2"/>
        <v>16106.693030565766</v>
      </c>
      <c r="F34" s="124">
        <f t="shared" si="2"/>
        <v>16246.040804108132</v>
      </c>
      <c r="G34" s="124">
        <f t="shared" si="2"/>
        <v>16307.146178347954</v>
      </c>
      <c r="H34" s="124">
        <f t="shared" si="2"/>
        <v>16305.306846079468</v>
      </c>
      <c r="I34" s="124">
        <f t="shared" si="2"/>
        <v>16693.588019773546</v>
      </c>
      <c r="J34" s="124">
        <f t="shared" si="2"/>
        <v>16575.315709033865</v>
      </c>
      <c r="K34" s="124">
        <f t="shared" si="2"/>
        <v>16421.474023456714</v>
      </c>
      <c r="L34" s="124">
        <f t="shared" si="2"/>
        <v>16323.99050085682</v>
      </c>
      <c r="M34" s="124">
        <f t="shared" si="2"/>
        <v>2760.7397408205679</v>
      </c>
      <c r="N34" s="124">
        <f t="shared" si="2"/>
        <v>2694.160716879891</v>
      </c>
      <c r="O34" s="124">
        <f t="shared" si="2"/>
        <v>2625.4530872657597</v>
      </c>
      <c r="P34" s="124">
        <f t="shared" si="2"/>
        <v>2554.554944199037</v>
      </c>
      <c r="Q34" s="124">
        <f t="shared" si="2"/>
        <v>2481.4025616750478</v>
      </c>
      <c r="R34" s="124">
        <f t="shared" si="2"/>
        <v>2405.9303416969387</v>
      </c>
      <c r="S34" s="124">
        <f t="shared" si="2"/>
        <v>2328.0707589116973</v>
      </c>
      <c r="T34" s="124">
        <f t="shared" si="2"/>
        <v>2247.7543036011302</v>
      </c>
      <c r="U34" s="124">
        <f t="shared" si="2"/>
        <v>2164.9094229788197</v>
      </c>
      <c r="V34" s="124">
        <f t="shared" si="2"/>
        <v>2079.4624607425394</v>
      </c>
      <c r="W34" s="124">
        <f t="shared" si="2"/>
        <v>1991.2542614968097</v>
      </c>
      <c r="X34" s="124">
        <f t="shared" si="2"/>
        <v>1900.2484399920104</v>
      </c>
      <c r="Y34" s="124">
        <f t="shared" ref="Y34:AG34" si="3">Y14-Y32</f>
        <v>1806.4063151249111</v>
      </c>
      <c r="Z34" s="124">
        <f t="shared" si="3"/>
        <v>1709.6451753104739</v>
      </c>
      <c r="AA34" s="124">
        <f t="shared" si="3"/>
        <v>1609.8798751664326</v>
      </c>
      <c r="AB34" s="124">
        <f t="shared" si="3"/>
        <v>1507.0227634503708</v>
      </c>
      <c r="AC34" s="124">
        <f t="shared" si="3"/>
        <v>1400.9836088539505</v>
      </c>
      <c r="AD34" s="124">
        <f t="shared" si="3"/>
        <v>1291.6695235903626</v>
      </c>
      <c r="AE34" s="124">
        <f t="shared" si="3"/>
        <v>1178.984884709178</v>
      </c>
      <c r="AF34" s="124">
        <f t="shared" si="3"/>
        <v>1062.8312530708572</v>
      </c>
      <c r="AG34" s="124">
        <f t="shared" si="3"/>
        <v>-8717.5728102852754</v>
      </c>
    </row>
    <row r="35" spans="1:33">
      <c r="A35" s="1"/>
      <c r="C35" s="371"/>
      <c r="D35" s="371"/>
      <c r="E35" s="371"/>
      <c r="F35" s="371"/>
      <c r="G35" s="371"/>
      <c r="H35" s="371"/>
      <c r="I35" s="371"/>
      <c r="J35" s="371"/>
      <c r="K35" s="371"/>
      <c r="L35" s="371"/>
      <c r="M35" s="371"/>
      <c r="N35" s="371"/>
      <c r="O35" s="371"/>
      <c r="P35" s="371"/>
      <c r="Q35" s="371"/>
      <c r="R35" s="371"/>
      <c r="S35" s="371"/>
      <c r="T35" s="371"/>
      <c r="U35" s="371"/>
      <c r="V35" s="371"/>
      <c r="W35" s="371"/>
      <c r="X35" s="371"/>
      <c r="Y35" s="371"/>
      <c r="Z35" s="371"/>
      <c r="AA35" s="371"/>
      <c r="AB35" s="371"/>
      <c r="AC35" s="371"/>
      <c r="AD35" s="371"/>
      <c r="AE35" s="371"/>
      <c r="AF35" s="371"/>
      <c r="AG35" s="371"/>
    </row>
    <row r="36" spans="1:33">
      <c r="A36" s="3" t="s">
        <v>50</v>
      </c>
      <c r="C36" s="65">
        <f>Depreciation!D48</f>
        <v>2529.896078527951</v>
      </c>
      <c r="D36" s="65">
        <f>Depreciation!E48</f>
        <v>3794.8441177919262</v>
      </c>
      <c r="E36" s="65">
        <f>Depreciation!F48</f>
        <v>3794.8441177919262</v>
      </c>
      <c r="F36" s="65">
        <f>Depreciation!G48</f>
        <v>3794.8441177919262</v>
      </c>
      <c r="G36" s="65">
        <f>Depreciation!H48</f>
        <v>3794.8441177919262</v>
      </c>
      <c r="H36" s="65">
        <f>Depreciation!I48</f>
        <v>3298.3214511252595</v>
      </c>
      <c r="I36" s="65">
        <f>Depreciation!J48</f>
        <v>3050.0601177919261</v>
      </c>
      <c r="J36" s="65">
        <f>Depreciation!K48</f>
        <v>3050.0601177919261</v>
      </c>
      <c r="K36" s="65">
        <f>Depreciation!L48</f>
        <v>3050.0601177919261</v>
      </c>
      <c r="L36" s="65">
        <f>Depreciation!M48</f>
        <v>3050.0601177919261</v>
      </c>
      <c r="M36" s="65">
        <f>Depreciation!N48</f>
        <v>3050.0601177919261</v>
      </c>
      <c r="N36" s="65">
        <f>Depreciation!O48</f>
        <v>3050.0601177919261</v>
      </c>
      <c r="O36" s="65">
        <f>Depreciation!P48</f>
        <v>3050.0601177919261</v>
      </c>
      <c r="P36" s="65">
        <f>Depreciation!Q48</f>
        <v>3050.0601177919261</v>
      </c>
      <c r="Q36" s="65">
        <f>Depreciation!R48</f>
        <v>3050.0601177919261</v>
      </c>
      <c r="R36" s="65">
        <f>Depreciation!S48</f>
        <v>3050.0601177919261</v>
      </c>
      <c r="S36" s="65">
        <f>Depreciation!T48</f>
        <v>3050.0601177919261</v>
      </c>
      <c r="T36" s="65">
        <f>Depreciation!U48</f>
        <v>3050.0601177919261</v>
      </c>
      <c r="U36" s="65">
        <f>Depreciation!V48</f>
        <v>3050.0601177919261</v>
      </c>
      <c r="V36" s="65">
        <f>Depreciation!W48</f>
        <v>3050.0601177919261</v>
      </c>
      <c r="W36" s="65">
        <f>Depreciation!X48</f>
        <v>3016.7267844585926</v>
      </c>
      <c r="X36" s="65">
        <f>Depreciation!Y48</f>
        <v>3000.0601177919261</v>
      </c>
      <c r="Y36" s="65">
        <f>Depreciation!Z48</f>
        <v>3000.0601177919261</v>
      </c>
      <c r="Z36" s="65">
        <f>Depreciation!AA48</f>
        <v>3000.0601177919261</v>
      </c>
      <c r="AA36" s="65">
        <f>Depreciation!AB48</f>
        <v>3000.0601177919261</v>
      </c>
      <c r="AB36" s="65">
        <f>Depreciation!AC48</f>
        <v>3000.0601177919261</v>
      </c>
      <c r="AC36" s="65">
        <f>Depreciation!AD48</f>
        <v>3000.0601177919261</v>
      </c>
      <c r="AD36" s="65">
        <f>Depreciation!AE48</f>
        <v>3000.0601177919261</v>
      </c>
      <c r="AE36" s="65">
        <f>Depreciation!AF48</f>
        <v>3000.0601177919261</v>
      </c>
      <c r="AF36" s="65">
        <f>Depreciation!AG48</f>
        <v>3000.0601177919261</v>
      </c>
      <c r="AG36" s="65">
        <f>Depreciation!AH48</f>
        <v>1000.0200392639757</v>
      </c>
    </row>
    <row r="37" spans="1:33">
      <c r="A37" s="3"/>
      <c r="C37" s="65"/>
      <c r="D37" s="65"/>
      <c r="E37" s="65"/>
      <c r="F37" s="65"/>
      <c r="G37" s="65"/>
      <c r="H37" s="65"/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X37" s="65"/>
      <c r="Y37" s="65"/>
      <c r="Z37" s="65"/>
      <c r="AA37" s="65"/>
      <c r="AB37" s="65"/>
      <c r="AC37" s="65"/>
      <c r="AD37" s="65"/>
      <c r="AE37" s="65"/>
      <c r="AF37" s="65"/>
      <c r="AG37" s="65"/>
    </row>
    <row r="38" spans="1:33">
      <c r="A38" s="1" t="s">
        <v>51</v>
      </c>
      <c r="C38" s="124">
        <f>C34-C36</f>
        <v>14165.43466417134</v>
      </c>
      <c r="D38" s="124">
        <f t="shared" ref="D38:X38" si="4">D34-D36</f>
        <v>12645.407941461992</v>
      </c>
      <c r="E38" s="124">
        <f t="shared" si="4"/>
        <v>12311.848912773839</v>
      </c>
      <c r="F38" s="124">
        <f t="shared" si="4"/>
        <v>12451.196686316205</v>
      </c>
      <c r="G38" s="124">
        <f t="shared" si="4"/>
        <v>12512.302060556027</v>
      </c>
      <c r="H38" s="124">
        <f t="shared" si="4"/>
        <v>13006.985394954208</v>
      </c>
      <c r="I38" s="124">
        <f t="shared" si="4"/>
        <v>13643.527901981619</v>
      </c>
      <c r="J38" s="124">
        <f t="shared" si="4"/>
        <v>13525.255591241938</v>
      </c>
      <c r="K38" s="124">
        <f t="shared" si="4"/>
        <v>13371.413905664787</v>
      </c>
      <c r="L38" s="124">
        <f t="shared" si="4"/>
        <v>13273.930383064893</v>
      </c>
      <c r="M38" s="124">
        <f t="shared" si="4"/>
        <v>-289.3203769713582</v>
      </c>
      <c r="N38" s="124">
        <f t="shared" si="4"/>
        <v>-355.89940091203516</v>
      </c>
      <c r="O38" s="124">
        <f t="shared" si="4"/>
        <v>-424.60703052616645</v>
      </c>
      <c r="P38" s="124">
        <f t="shared" si="4"/>
        <v>-495.50517359288915</v>
      </c>
      <c r="Q38" s="124">
        <f t="shared" si="4"/>
        <v>-568.65755611687837</v>
      </c>
      <c r="R38" s="124">
        <f t="shared" si="4"/>
        <v>-644.12977609498739</v>
      </c>
      <c r="S38" s="124">
        <f t="shared" si="4"/>
        <v>-721.98935888022879</v>
      </c>
      <c r="T38" s="124">
        <f t="shared" si="4"/>
        <v>-802.3058141907959</v>
      </c>
      <c r="U38" s="124">
        <f t="shared" si="4"/>
        <v>-885.15069481310638</v>
      </c>
      <c r="V38" s="124">
        <f t="shared" si="4"/>
        <v>-970.59765704938673</v>
      </c>
      <c r="W38" s="124">
        <f t="shared" si="4"/>
        <v>-1025.4725229617829</v>
      </c>
      <c r="X38" s="124">
        <f t="shared" si="4"/>
        <v>-1099.8116777999157</v>
      </c>
      <c r="Y38" s="124">
        <f t="shared" ref="Y38:AG38" si="5">Y34-Y36</f>
        <v>-1193.653802667015</v>
      </c>
      <c r="Z38" s="124">
        <f t="shared" si="5"/>
        <v>-1290.4149424814523</v>
      </c>
      <c r="AA38" s="124">
        <f t="shared" si="5"/>
        <v>-1390.1802426254935</v>
      </c>
      <c r="AB38" s="124">
        <f t="shared" si="5"/>
        <v>-1493.0373543415553</v>
      </c>
      <c r="AC38" s="124">
        <f t="shared" si="5"/>
        <v>-1599.0765089379756</v>
      </c>
      <c r="AD38" s="124">
        <f t="shared" si="5"/>
        <v>-1708.3905942015635</v>
      </c>
      <c r="AE38" s="124">
        <f t="shared" si="5"/>
        <v>-1821.0752330827481</v>
      </c>
      <c r="AF38" s="124">
        <f t="shared" si="5"/>
        <v>-1937.2288647210689</v>
      </c>
      <c r="AG38" s="124">
        <f t="shared" si="5"/>
        <v>-9717.5928495492517</v>
      </c>
    </row>
    <row r="39" spans="1:33">
      <c r="A39" s="1"/>
      <c r="C39" s="124"/>
      <c r="D39" s="124"/>
      <c r="E39" s="124"/>
      <c r="F39" s="124"/>
      <c r="G39" s="124"/>
      <c r="H39" s="124"/>
      <c r="I39" s="124"/>
      <c r="J39" s="124"/>
      <c r="K39" s="124"/>
      <c r="L39" s="124"/>
      <c r="M39" s="124"/>
      <c r="N39" s="124"/>
      <c r="O39" s="124"/>
      <c r="P39" s="124"/>
      <c r="Q39" s="124"/>
      <c r="R39" s="124"/>
      <c r="S39" s="124"/>
      <c r="T39" s="124"/>
      <c r="U39" s="124"/>
      <c r="V39" s="124"/>
      <c r="W39" s="124"/>
      <c r="X39" s="124"/>
      <c r="Y39" s="124"/>
      <c r="Z39" s="124"/>
      <c r="AA39" s="124"/>
      <c r="AB39" s="124"/>
      <c r="AC39" s="124"/>
      <c r="AD39" s="124"/>
      <c r="AE39" s="124"/>
      <c r="AF39" s="124"/>
      <c r="AG39" s="124"/>
    </row>
    <row r="40" spans="1:33">
      <c r="A40" s="3" t="s">
        <v>135</v>
      </c>
      <c r="C40" s="65">
        <f>Debt!B57</f>
        <v>4126.6768692401884</v>
      </c>
      <c r="D40" s="65">
        <f>Debt!C57</f>
        <v>5669.6328410958322</v>
      </c>
      <c r="E40" s="65">
        <f>Debt!D57</f>
        <v>5155.3215407088983</v>
      </c>
      <c r="F40" s="65">
        <f>Debt!E57</f>
        <v>4666.1930892406799</v>
      </c>
      <c r="G40" s="65">
        <f>Debt!F57</f>
        <v>4129.6292247955316</v>
      </c>
      <c r="H40" s="65">
        <f>Debt!G57</f>
        <v>3545.1409640475013</v>
      </c>
      <c r="I40" s="65">
        <f>Debt!H57</f>
        <v>2900.9200980884411</v>
      </c>
      <c r="J40" s="65">
        <f>Debt!I57</f>
        <v>2192.9907853551063</v>
      </c>
      <c r="K40" s="65">
        <f>Debt!J57</f>
        <v>1425.3190258455404</v>
      </c>
      <c r="L40" s="65">
        <f>Debt!K57</f>
        <v>599.9981873465174</v>
      </c>
      <c r="M40" s="65">
        <f>Debt!L57</f>
        <v>41.624307385708683</v>
      </c>
      <c r="N40" s="65">
        <f>Debt!M57</f>
        <v>0</v>
      </c>
      <c r="O40" s="65">
        <f>Debt!N57</f>
        <v>0</v>
      </c>
      <c r="P40" s="65">
        <f>Debt!O57</f>
        <v>0</v>
      </c>
      <c r="Q40" s="65">
        <f>Debt!P57</f>
        <v>0</v>
      </c>
      <c r="R40" s="65">
        <f>Debt!Q57</f>
        <v>0</v>
      </c>
      <c r="S40" s="65">
        <f>Debt!R57</f>
        <v>0</v>
      </c>
      <c r="T40" s="65">
        <f>Debt!S57</f>
        <v>0</v>
      </c>
      <c r="U40" s="65">
        <f>Debt!T57</f>
        <v>0</v>
      </c>
      <c r="V40" s="65">
        <f>Debt!U57</f>
        <v>0</v>
      </c>
      <c r="W40" s="65">
        <f>Debt!V57</f>
        <v>0</v>
      </c>
      <c r="X40" s="65">
        <f>Debt!W57</f>
        <v>0</v>
      </c>
      <c r="Y40" s="65">
        <f>Debt!X57</f>
        <v>0</v>
      </c>
      <c r="Z40" s="65">
        <f>Debt!Y57</f>
        <v>0</v>
      </c>
      <c r="AA40" s="65">
        <f>Debt!Z57</f>
        <v>0</v>
      </c>
      <c r="AB40" s="65">
        <f>Debt!AA57</f>
        <v>0</v>
      </c>
      <c r="AC40" s="65">
        <f>Debt!AB57</f>
        <v>0</v>
      </c>
      <c r="AD40" s="65">
        <f>Debt!AC57</f>
        <v>0</v>
      </c>
      <c r="AE40" s="65">
        <f>Debt!AD57</f>
        <v>0</v>
      </c>
      <c r="AF40" s="65">
        <f>Debt!AE57</f>
        <v>0</v>
      </c>
      <c r="AG40" s="65">
        <f>Debt!AF57</f>
        <v>340.99763851355488</v>
      </c>
    </row>
    <row r="41" spans="1:33" ht="12" customHeight="1">
      <c r="A41" s="5"/>
      <c r="C41" s="65"/>
      <c r="D41" s="65"/>
      <c r="E41" s="65"/>
      <c r="F41" s="65"/>
      <c r="G41" s="65"/>
      <c r="H41" s="65"/>
      <c r="I41" s="65"/>
      <c r="J41" s="65"/>
      <c r="K41" s="65"/>
      <c r="L41" s="65"/>
      <c r="M41" s="65"/>
      <c r="N41" s="65"/>
      <c r="O41" s="65"/>
      <c r="P41" s="65"/>
      <c r="Q41" s="65"/>
      <c r="R41" s="65"/>
      <c r="S41" s="65"/>
      <c r="T41" s="65"/>
      <c r="U41" s="65"/>
      <c r="V41" s="65"/>
      <c r="W41" s="65"/>
      <c r="X41" s="65"/>
      <c r="Y41" s="65"/>
      <c r="Z41" s="65"/>
      <c r="AA41" s="65"/>
      <c r="AB41" s="65"/>
      <c r="AC41" s="65"/>
      <c r="AD41" s="65"/>
      <c r="AE41" s="65"/>
      <c r="AF41" s="65"/>
      <c r="AG41" s="65"/>
    </row>
    <row r="42" spans="1:33">
      <c r="A42" s="1" t="s">
        <v>211</v>
      </c>
      <c r="C42" s="124">
        <f>C38-C40</f>
        <v>10038.757794931153</v>
      </c>
      <c r="D42" s="124">
        <f t="shared" ref="D42:X42" si="6">D38-D40</f>
        <v>6975.7751003661597</v>
      </c>
      <c r="E42" s="124">
        <f t="shared" si="6"/>
        <v>7156.5273720649411</v>
      </c>
      <c r="F42" s="124">
        <f t="shared" si="6"/>
        <v>7785.0035970755252</v>
      </c>
      <c r="G42" s="124">
        <f t="shared" si="6"/>
        <v>8382.6728357604952</v>
      </c>
      <c r="H42" s="124">
        <f t="shared" si="6"/>
        <v>9461.8444309067072</v>
      </c>
      <c r="I42" s="124">
        <f t="shared" si="6"/>
        <v>10742.607803893177</v>
      </c>
      <c r="J42" s="124">
        <f t="shared" si="6"/>
        <v>11332.264805886831</v>
      </c>
      <c r="K42" s="124">
        <f t="shared" si="6"/>
        <v>11946.094879819248</v>
      </c>
      <c r="L42" s="124">
        <f t="shared" si="6"/>
        <v>12673.932195718377</v>
      </c>
      <c r="M42" s="124">
        <f t="shared" si="6"/>
        <v>-330.94468435706688</v>
      </c>
      <c r="N42" s="124">
        <f t="shared" si="6"/>
        <v>-355.89940091203516</v>
      </c>
      <c r="O42" s="124">
        <f t="shared" si="6"/>
        <v>-424.60703052616645</v>
      </c>
      <c r="P42" s="124">
        <f t="shared" si="6"/>
        <v>-495.50517359288915</v>
      </c>
      <c r="Q42" s="124">
        <f t="shared" si="6"/>
        <v>-568.65755611687837</v>
      </c>
      <c r="R42" s="124">
        <f t="shared" si="6"/>
        <v>-644.12977609498739</v>
      </c>
      <c r="S42" s="124">
        <f t="shared" si="6"/>
        <v>-721.98935888022879</v>
      </c>
      <c r="T42" s="124">
        <f t="shared" si="6"/>
        <v>-802.3058141907959</v>
      </c>
      <c r="U42" s="124">
        <f t="shared" si="6"/>
        <v>-885.15069481310638</v>
      </c>
      <c r="V42" s="124">
        <f t="shared" si="6"/>
        <v>-970.59765704938673</v>
      </c>
      <c r="W42" s="124">
        <f t="shared" si="6"/>
        <v>-1025.4725229617829</v>
      </c>
      <c r="X42" s="124">
        <f t="shared" si="6"/>
        <v>-1099.8116777999157</v>
      </c>
      <c r="Y42" s="124">
        <f t="shared" ref="Y42:AG42" si="7">Y38-Y40</f>
        <v>-1193.653802667015</v>
      </c>
      <c r="Z42" s="124">
        <f t="shared" si="7"/>
        <v>-1290.4149424814523</v>
      </c>
      <c r="AA42" s="124">
        <f t="shared" si="7"/>
        <v>-1390.1802426254935</v>
      </c>
      <c r="AB42" s="124">
        <f t="shared" si="7"/>
        <v>-1493.0373543415553</v>
      </c>
      <c r="AC42" s="124">
        <f t="shared" si="7"/>
        <v>-1599.0765089379756</v>
      </c>
      <c r="AD42" s="124">
        <f t="shared" si="7"/>
        <v>-1708.3905942015635</v>
      </c>
      <c r="AE42" s="124">
        <f t="shared" si="7"/>
        <v>-1821.0752330827481</v>
      </c>
      <c r="AF42" s="124">
        <f t="shared" si="7"/>
        <v>-1937.2288647210689</v>
      </c>
      <c r="AG42" s="124">
        <f t="shared" si="7"/>
        <v>-10058.590488062806</v>
      </c>
    </row>
    <row r="43" spans="1:33">
      <c r="A43" s="1"/>
      <c r="C43" s="124"/>
      <c r="D43" s="124"/>
      <c r="E43" s="124"/>
      <c r="F43" s="124"/>
      <c r="G43" s="124"/>
      <c r="H43" s="124"/>
      <c r="I43" s="124"/>
      <c r="J43" s="124"/>
      <c r="K43" s="124"/>
      <c r="L43" s="124"/>
      <c r="M43" s="124"/>
      <c r="N43" s="124"/>
      <c r="O43" s="124"/>
      <c r="P43" s="124"/>
      <c r="Q43" s="124"/>
      <c r="R43" s="124"/>
      <c r="S43" s="124"/>
      <c r="T43" s="124"/>
      <c r="U43" s="124"/>
      <c r="V43" s="124"/>
      <c r="W43" s="124"/>
      <c r="X43" s="124"/>
      <c r="Y43" s="124"/>
      <c r="Z43" s="124"/>
      <c r="AA43" s="124"/>
      <c r="AB43" s="124"/>
      <c r="AC43" s="124"/>
      <c r="AD43" s="124"/>
      <c r="AE43" s="124"/>
      <c r="AF43" s="124"/>
      <c r="AG43" s="124"/>
    </row>
    <row r="44" spans="1:33">
      <c r="A44" s="3" t="s">
        <v>52</v>
      </c>
      <c r="B44" s="347">
        <f>Assumptions!N51</f>
        <v>7.0000000000000007E-2</v>
      </c>
      <c r="C44" s="74">
        <f>-C42*$B$44</f>
        <v>-702.71304564518073</v>
      </c>
      <c r="D44" s="74">
        <f t="shared" ref="D44:AG44" si="8">-D42*$B$44</f>
        <v>-488.30425702563122</v>
      </c>
      <c r="E44" s="74">
        <f t="shared" si="8"/>
        <v>-500.95691604454595</v>
      </c>
      <c r="F44" s="74">
        <f t="shared" si="8"/>
        <v>-544.95025179528682</v>
      </c>
      <c r="G44" s="74">
        <f t="shared" si="8"/>
        <v>-586.78709850323469</v>
      </c>
      <c r="H44" s="74">
        <f t="shared" si="8"/>
        <v>-662.32911016346952</v>
      </c>
      <c r="I44" s="74">
        <f t="shared" si="8"/>
        <v>-751.98254627252254</v>
      </c>
      <c r="J44" s="74">
        <f t="shared" si="8"/>
        <v>-793.25853641207823</v>
      </c>
      <c r="K44" s="74">
        <f t="shared" si="8"/>
        <v>-836.22664158734744</v>
      </c>
      <c r="L44" s="74">
        <f t="shared" si="8"/>
        <v>-887.17525370028648</v>
      </c>
      <c r="M44" s="74">
        <f t="shared" si="8"/>
        <v>23.166127904994685</v>
      </c>
      <c r="N44" s="74">
        <f t="shared" si="8"/>
        <v>24.912958063842463</v>
      </c>
      <c r="O44" s="74">
        <f t="shared" si="8"/>
        <v>29.722492136831654</v>
      </c>
      <c r="P44" s="74">
        <f t="shared" si="8"/>
        <v>34.685362151502247</v>
      </c>
      <c r="Q44" s="74">
        <f t="shared" si="8"/>
        <v>39.80602892818149</v>
      </c>
      <c r="R44" s="74">
        <f t="shared" si="8"/>
        <v>45.089084326649122</v>
      </c>
      <c r="S44" s="74">
        <f t="shared" si="8"/>
        <v>50.539255121616023</v>
      </c>
      <c r="T44" s="74">
        <f t="shared" si="8"/>
        <v>56.161406993355719</v>
      </c>
      <c r="U44" s="74">
        <f t="shared" si="8"/>
        <v>61.960548636917451</v>
      </c>
      <c r="V44" s="74">
        <f t="shared" si="8"/>
        <v>67.941835993457076</v>
      </c>
      <c r="W44" s="74">
        <f t="shared" si="8"/>
        <v>71.783076607324816</v>
      </c>
      <c r="X44" s="74">
        <f t="shared" si="8"/>
        <v>76.986817445994106</v>
      </c>
      <c r="Y44" s="74">
        <f t="shared" si="8"/>
        <v>83.555766186691059</v>
      </c>
      <c r="Z44" s="74">
        <f t="shared" si="8"/>
        <v>90.329045973701668</v>
      </c>
      <c r="AA44" s="74">
        <f t="shared" si="8"/>
        <v>97.312616983784551</v>
      </c>
      <c r="AB44" s="74">
        <f t="shared" si="8"/>
        <v>104.51261480390889</v>
      </c>
      <c r="AC44" s="74">
        <f t="shared" si="8"/>
        <v>111.9353556256583</v>
      </c>
      <c r="AD44" s="74">
        <f t="shared" si="8"/>
        <v>119.58734159410946</v>
      </c>
      <c r="AE44" s="74">
        <f t="shared" si="8"/>
        <v>127.47526631579238</v>
      </c>
      <c r="AF44" s="74">
        <f t="shared" si="8"/>
        <v>135.60602053047484</v>
      </c>
      <c r="AG44" s="74">
        <f t="shared" si="8"/>
        <v>704.10133416439646</v>
      </c>
    </row>
    <row r="45" spans="1:33">
      <c r="A45" s="3" t="s">
        <v>53</v>
      </c>
      <c r="B45" s="347">
        <f>Assumptions!N50</f>
        <v>0.35</v>
      </c>
      <c r="C45" s="74">
        <f t="shared" ref="C45:AG45" si="9">(C42+C44)*-$B$45</f>
        <v>-3267.6156622500898</v>
      </c>
      <c r="D45" s="74">
        <f t="shared" si="9"/>
        <v>-2270.6147951691846</v>
      </c>
      <c r="E45" s="74">
        <f t="shared" si="9"/>
        <v>-2329.4496596071381</v>
      </c>
      <c r="F45" s="74">
        <f t="shared" si="9"/>
        <v>-2534.0186708480833</v>
      </c>
      <c r="G45" s="74">
        <f t="shared" si="9"/>
        <v>-2728.5600080400409</v>
      </c>
      <c r="H45" s="74">
        <f t="shared" si="9"/>
        <v>-3079.8303622601329</v>
      </c>
      <c r="I45" s="74">
        <f t="shared" si="9"/>
        <v>-3496.7188401672292</v>
      </c>
      <c r="J45" s="74">
        <f t="shared" si="9"/>
        <v>-3688.6521943161629</v>
      </c>
      <c r="K45" s="74">
        <f t="shared" si="9"/>
        <v>-3888.4538833811648</v>
      </c>
      <c r="L45" s="74">
        <f t="shared" si="9"/>
        <v>-4125.3649297063312</v>
      </c>
      <c r="M45" s="74">
        <f t="shared" si="9"/>
        <v>107.72249475822525</v>
      </c>
      <c r="N45" s="74">
        <f t="shared" si="9"/>
        <v>115.84525499686744</v>
      </c>
      <c r="O45" s="74">
        <f t="shared" si="9"/>
        <v>138.20958843626718</v>
      </c>
      <c r="P45" s="74">
        <f t="shared" si="9"/>
        <v>161.2869340044854</v>
      </c>
      <c r="Q45" s="74">
        <f t="shared" si="9"/>
        <v>185.0980345160439</v>
      </c>
      <c r="R45" s="74">
        <f t="shared" si="9"/>
        <v>209.66424211891839</v>
      </c>
      <c r="S45" s="74">
        <f t="shared" si="9"/>
        <v>235.00753631551444</v>
      </c>
      <c r="T45" s="74">
        <f t="shared" si="9"/>
        <v>261.15054251910402</v>
      </c>
      <c r="U45" s="74">
        <f t="shared" si="9"/>
        <v>288.11655116166611</v>
      </c>
      <c r="V45" s="74">
        <f t="shared" si="9"/>
        <v>315.92953736957537</v>
      </c>
      <c r="W45" s="74">
        <f t="shared" si="9"/>
        <v>333.79130622406035</v>
      </c>
      <c r="X45" s="74">
        <f t="shared" si="9"/>
        <v>357.98870112387254</v>
      </c>
      <c r="Y45" s="74">
        <f t="shared" si="9"/>
        <v>388.53431276811341</v>
      </c>
      <c r="Z45" s="74">
        <f t="shared" si="9"/>
        <v>420.03006377771271</v>
      </c>
      <c r="AA45" s="74">
        <f t="shared" si="9"/>
        <v>452.50366897459804</v>
      </c>
      <c r="AB45" s="74">
        <f t="shared" si="9"/>
        <v>485.98365883817621</v>
      </c>
      <c r="AC45" s="74">
        <f t="shared" si="9"/>
        <v>520.49940365931104</v>
      </c>
      <c r="AD45" s="74">
        <f t="shared" si="9"/>
        <v>556.08113841260888</v>
      </c>
      <c r="AE45" s="74">
        <f t="shared" si="9"/>
        <v>592.75998836843451</v>
      </c>
      <c r="AF45" s="74">
        <f t="shared" si="9"/>
        <v>630.56799546670788</v>
      </c>
      <c r="AG45" s="74">
        <f t="shared" si="9"/>
        <v>3274.0712038644433</v>
      </c>
    </row>
    <row r="46" spans="1:33">
      <c r="A46" s="5"/>
      <c r="C46" s="65"/>
      <c r="D46" s="65"/>
      <c r="E46" s="65"/>
      <c r="F46" s="65"/>
      <c r="G46" s="65"/>
      <c r="H46" s="65"/>
      <c r="I46" s="65"/>
      <c r="J46" s="65"/>
      <c r="K46" s="65"/>
      <c r="L46" s="65"/>
      <c r="M46" s="65"/>
      <c r="N46" s="65"/>
      <c r="O46" s="65"/>
      <c r="P46" s="65"/>
      <c r="Q46" s="65"/>
      <c r="R46" s="65"/>
      <c r="S46" s="65"/>
      <c r="T46" s="65"/>
      <c r="U46" s="65"/>
      <c r="V46" s="65"/>
      <c r="W46" s="65"/>
      <c r="X46" s="65"/>
      <c r="Y46" s="65"/>
      <c r="Z46" s="65"/>
      <c r="AA46" s="65"/>
      <c r="AB46" s="65"/>
      <c r="AC46" s="65"/>
      <c r="AD46" s="65"/>
      <c r="AE46" s="65"/>
      <c r="AF46" s="65"/>
      <c r="AG46" s="65"/>
    </row>
    <row r="47" spans="1:33" ht="15.75">
      <c r="A47" s="54" t="s">
        <v>54</v>
      </c>
      <c r="B47" s="46"/>
      <c r="C47" s="372">
        <f t="shared" ref="C47:AG47" si="10">C42+C44+C45</f>
        <v>6068.4290870358818</v>
      </c>
      <c r="D47" s="372">
        <f t="shared" si="10"/>
        <v>4216.8560481713439</v>
      </c>
      <c r="E47" s="372">
        <f t="shared" si="10"/>
        <v>4326.1207964132573</v>
      </c>
      <c r="F47" s="372">
        <f t="shared" si="10"/>
        <v>4706.034674432155</v>
      </c>
      <c r="G47" s="372">
        <f t="shared" si="10"/>
        <v>5067.3257292172193</v>
      </c>
      <c r="H47" s="372">
        <f t="shared" si="10"/>
        <v>5719.6849584831052</v>
      </c>
      <c r="I47" s="372">
        <f t="shared" si="10"/>
        <v>6493.906417453426</v>
      </c>
      <c r="J47" s="372">
        <f t="shared" si="10"/>
        <v>6850.3540751585897</v>
      </c>
      <c r="K47" s="372">
        <f t="shared" si="10"/>
        <v>7221.4143548507354</v>
      </c>
      <c r="L47" s="372">
        <f t="shared" si="10"/>
        <v>7661.3920123117587</v>
      </c>
      <c r="M47" s="372">
        <f t="shared" si="10"/>
        <v>-200.05606169384691</v>
      </c>
      <c r="N47" s="372">
        <f t="shared" si="10"/>
        <v>-215.1411878513253</v>
      </c>
      <c r="O47" s="372">
        <f t="shared" si="10"/>
        <v>-256.67494995306765</v>
      </c>
      <c r="P47" s="372">
        <f t="shared" si="10"/>
        <v>-299.53287743690146</v>
      </c>
      <c r="Q47" s="372">
        <f t="shared" si="10"/>
        <v>-343.75349267265301</v>
      </c>
      <c r="R47" s="372">
        <f t="shared" si="10"/>
        <v>-389.3764496494199</v>
      </c>
      <c r="S47" s="372">
        <f t="shared" si="10"/>
        <v>-436.44256744309826</v>
      </c>
      <c r="T47" s="372">
        <f t="shared" si="10"/>
        <v>-484.99386467833614</v>
      </c>
      <c r="U47" s="372">
        <f t="shared" si="10"/>
        <v>-535.07359501452288</v>
      </c>
      <c r="V47" s="372">
        <f t="shared" si="10"/>
        <v>-586.72628368635424</v>
      </c>
      <c r="W47" s="372">
        <f t="shared" si="10"/>
        <v>-619.89814013039779</v>
      </c>
      <c r="X47" s="372">
        <f t="shared" si="10"/>
        <v>-664.83615923004913</v>
      </c>
      <c r="Y47" s="372">
        <f t="shared" si="10"/>
        <v>-721.56372371221062</v>
      </c>
      <c r="Z47" s="372">
        <f t="shared" si="10"/>
        <v>-780.05583273003799</v>
      </c>
      <c r="AA47" s="372">
        <f t="shared" si="10"/>
        <v>-840.36395666711087</v>
      </c>
      <c r="AB47" s="372">
        <f t="shared" si="10"/>
        <v>-902.54108069947017</v>
      </c>
      <c r="AC47" s="372">
        <f t="shared" si="10"/>
        <v>-966.64174965300629</v>
      </c>
      <c r="AD47" s="372">
        <f t="shared" si="10"/>
        <v>-1032.7221141948453</v>
      </c>
      <c r="AE47" s="372">
        <f t="shared" si="10"/>
        <v>-1100.8399783985212</v>
      </c>
      <c r="AF47" s="372">
        <f t="shared" si="10"/>
        <v>-1171.0548487238862</v>
      </c>
      <c r="AG47" s="372">
        <f t="shared" si="10"/>
        <v>-6080.4179500339669</v>
      </c>
    </row>
    <row r="50" spans="1:33">
      <c r="C50" s="64"/>
      <c r="D50" s="64"/>
      <c r="E50" s="64"/>
      <c r="F50" s="64"/>
      <c r="G50" s="64"/>
      <c r="H50" s="64"/>
      <c r="I50" s="64"/>
      <c r="J50" s="64"/>
      <c r="K50" s="64"/>
      <c r="L50" s="64"/>
      <c r="M50" s="64"/>
      <c r="N50" s="64"/>
      <c r="O50" s="64"/>
      <c r="P50" s="64"/>
      <c r="Q50" s="64"/>
      <c r="R50" s="64"/>
      <c r="S50" s="64"/>
      <c r="T50" s="64"/>
      <c r="U50" s="64"/>
      <c r="V50" s="64"/>
      <c r="W50" s="64"/>
      <c r="X50" s="64"/>
    </row>
    <row r="51" spans="1:33">
      <c r="A51" s="11"/>
      <c r="C51" s="373"/>
      <c r="D51" s="373"/>
      <c r="E51" s="373"/>
      <c r="F51" s="373"/>
      <c r="G51" s="373"/>
      <c r="H51" s="373"/>
      <c r="I51" s="373"/>
      <c r="J51" s="373"/>
      <c r="K51" s="373"/>
      <c r="L51" s="373"/>
      <c r="M51" s="373"/>
      <c r="N51" s="373"/>
      <c r="O51" s="373"/>
      <c r="P51" s="373"/>
      <c r="Q51" s="373"/>
      <c r="R51" s="373"/>
      <c r="S51" s="373"/>
      <c r="T51" s="373"/>
      <c r="U51" s="373"/>
      <c r="V51" s="373"/>
      <c r="W51" s="373"/>
      <c r="X51" s="373"/>
      <c r="Y51" s="373"/>
      <c r="Z51" s="373"/>
      <c r="AA51" s="373"/>
      <c r="AB51" s="373"/>
      <c r="AC51" s="373"/>
      <c r="AD51" s="373"/>
      <c r="AE51" s="373"/>
      <c r="AF51" s="373"/>
      <c r="AG51" s="373"/>
    </row>
    <row r="52" spans="1:33">
      <c r="A52" s="11"/>
      <c r="C52" s="373"/>
      <c r="D52" s="373"/>
      <c r="E52" s="373"/>
      <c r="F52" s="373"/>
      <c r="G52" s="373"/>
      <c r="H52" s="373"/>
      <c r="I52" s="373"/>
      <c r="J52" s="373"/>
      <c r="K52" s="373"/>
      <c r="L52" s="373"/>
      <c r="M52" s="373"/>
      <c r="N52" s="373"/>
      <c r="O52" s="373"/>
      <c r="P52" s="373"/>
      <c r="Q52" s="373"/>
      <c r="R52" s="373"/>
      <c r="S52" s="373"/>
      <c r="T52" s="373"/>
      <c r="U52" s="373"/>
      <c r="V52" s="373"/>
      <c r="W52" s="373"/>
      <c r="X52" s="373"/>
      <c r="Y52" s="373"/>
      <c r="Z52" s="373"/>
      <c r="AA52" s="373"/>
      <c r="AB52" s="373"/>
      <c r="AC52" s="373"/>
      <c r="AD52" s="373"/>
      <c r="AE52" s="373"/>
      <c r="AF52" s="373"/>
      <c r="AG52" s="373"/>
    </row>
    <row r="53" spans="1:33">
      <c r="C53" s="373"/>
      <c r="D53" s="373"/>
      <c r="E53" s="373"/>
      <c r="F53" s="373"/>
      <c r="G53" s="373"/>
    </row>
    <row r="54" spans="1:33">
      <c r="C54" s="6"/>
      <c r="D54" s="6"/>
      <c r="E54" s="6"/>
      <c r="F54" s="6"/>
      <c r="G54" s="6"/>
    </row>
    <row r="55" spans="1:33">
      <c r="C55" s="373"/>
      <c r="D55" s="373"/>
      <c r="E55" s="373"/>
      <c r="F55" s="373"/>
      <c r="G55" s="373"/>
    </row>
    <row r="56" spans="1:33">
      <c r="C56" s="373"/>
      <c r="D56" s="373"/>
      <c r="E56" s="373"/>
      <c r="F56" s="373"/>
      <c r="G56" s="373"/>
    </row>
    <row r="57" spans="1:33">
      <c r="C57" s="373"/>
      <c r="D57" s="373"/>
      <c r="E57" s="373"/>
      <c r="F57" s="373"/>
      <c r="G57" s="373"/>
    </row>
    <row r="58" spans="1:33">
      <c r="C58" s="373"/>
      <c r="D58" s="373"/>
      <c r="E58" s="373"/>
      <c r="F58" s="373"/>
      <c r="G58" s="373"/>
    </row>
    <row r="59" spans="1:33">
      <c r="C59" s="373"/>
      <c r="D59" s="373"/>
      <c r="E59" s="373"/>
      <c r="F59" s="373"/>
      <c r="G59" s="373"/>
    </row>
    <row r="60" spans="1:33">
      <c r="C60" s="6"/>
      <c r="D60" s="6"/>
      <c r="E60" s="6"/>
      <c r="F60" s="6"/>
      <c r="G60" s="6"/>
    </row>
    <row r="61" spans="1:33">
      <c r="C61" s="6"/>
      <c r="D61" s="6"/>
      <c r="E61" s="6"/>
      <c r="F61" s="6"/>
      <c r="G61" s="6"/>
    </row>
    <row r="62" spans="1:33">
      <c r="C62" s="374"/>
      <c r="D62" s="374"/>
      <c r="E62" s="374"/>
      <c r="F62" s="374"/>
      <c r="G62" s="6"/>
    </row>
    <row r="63" spans="1:33">
      <c r="C63" s="6"/>
      <c r="D63" s="6"/>
      <c r="E63" s="6"/>
      <c r="F63" s="6"/>
      <c r="G63" s="6"/>
    </row>
    <row r="64" spans="1:33">
      <c r="C64" s="374"/>
      <c r="D64" s="6"/>
      <c r="E64" s="6"/>
      <c r="F64" s="6"/>
      <c r="G64" s="6"/>
    </row>
    <row r="65" spans="3:7">
      <c r="C65" s="6"/>
      <c r="D65" s="6"/>
      <c r="E65" s="6"/>
      <c r="F65" s="6"/>
      <c r="G65" s="6"/>
    </row>
    <row r="66" spans="3:7">
      <c r="C66" s="6"/>
      <c r="D66" s="6"/>
      <c r="E66" s="6"/>
      <c r="F66" s="6"/>
      <c r="G66" s="6"/>
    </row>
  </sheetData>
  <pageMargins left="0.45" right="0.45" top="0.5" bottom="0.5" header="0.25" footer="0.25"/>
  <pageSetup scale="54" fitToWidth="2" orientation="landscape" r:id="rId1"/>
  <headerFooter alignWithMargins="0">
    <oddFooter xml:space="preserve">&amp;L&amp;T, &amp;D&amp;C&amp;F&amp;R&amp;P </oddFooter>
  </headerFooter>
  <colBreaks count="1" manualBreakCount="1">
    <brk id="17" min="1" max="4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"/>
  <dimension ref="A2:BH90"/>
  <sheetViews>
    <sheetView zoomScale="75" zoomScaleNormal="75" workbookViewId="0">
      <selection activeCell="A35" sqref="A35"/>
    </sheetView>
  </sheetViews>
  <sheetFormatPr defaultRowHeight="12.75"/>
  <cols>
    <col min="1" max="1" width="34.42578125" customWidth="1"/>
    <col min="2" max="2" width="11.28515625" bestFit="1" customWidth="1"/>
    <col min="3" max="3" width="11.28515625" customWidth="1"/>
    <col min="4" max="24" width="12.5703125" customWidth="1"/>
    <col min="25" max="25" width="13.28515625" bestFit="1" customWidth="1"/>
    <col min="26" max="27" width="13.28515625" style="88" customWidth="1"/>
    <col min="28" max="34" width="13.28515625" customWidth="1"/>
  </cols>
  <sheetData>
    <row r="2" spans="1:60" ht="18.75">
      <c r="A2" s="87" t="str">
        <f>Assumptions!A3</f>
        <v>PROJECT NAME:  Retail Shorts</v>
      </c>
    </row>
    <row r="4" spans="1:60" ht="18.75">
      <c r="A4" s="60" t="s">
        <v>137</v>
      </c>
      <c r="B4" s="8"/>
      <c r="C4" s="8"/>
    </row>
    <row r="6" spans="1:60">
      <c r="C6" s="317">
        <v>0</v>
      </c>
      <c r="D6" s="210">
        <f>'Price_Technical Assumption'!D7</f>
        <v>0.66666666666666663</v>
      </c>
      <c r="E6" s="210">
        <f>'Price_Technical Assumption'!E7</f>
        <v>1.6666666666666665</v>
      </c>
      <c r="F6" s="210">
        <f>'Price_Technical Assumption'!F7</f>
        <v>2.6666666666666665</v>
      </c>
      <c r="G6" s="210">
        <f>'Price_Technical Assumption'!G7</f>
        <v>3.6666666666666665</v>
      </c>
      <c r="H6" s="210">
        <f>'Price_Technical Assumption'!H7</f>
        <v>4.6666666666666661</v>
      </c>
      <c r="I6" s="210">
        <f>'Price_Technical Assumption'!I7</f>
        <v>5.6666666666666661</v>
      </c>
      <c r="J6" s="210">
        <f>'Price_Technical Assumption'!J7</f>
        <v>6.6666666666666661</v>
      </c>
      <c r="K6" s="210">
        <f>'Price_Technical Assumption'!K7</f>
        <v>7.6666666666666661</v>
      </c>
      <c r="L6" s="210">
        <f>'Price_Technical Assumption'!L7</f>
        <v>8.6666666666666661</v>
      </c>
      <c r="M6" s="210">
        <f>'Price_Technical Assumption'!M7</f>
        <v>9.6666666666666661</v>
      </c>
      <c r="N6" s="210">
        <f>'Price_Technical Assumption'!N7</f>
        <v>10.666666666666666</v>
      </c>
      <c r="O6" s="210">
        <f>'Price_Technical Assumption'!O7</f>
        <v>11.666666666666666</v>
      </c>
      <c r="P6" s="210">
        <f>'Price_Technical Assumption'!P7</f>
        <v>12.666666666666666</v>
      </c>
      <c r="Q6" s="210">
        <f>'Price_Technical Assumption'!Q7</f>
        <v>13.666666666666666</v>
      </c>
      <c r="R6" s="210">
        <f>'Price_Technical Assumption'!R7</f>
        <v>14.666666666666666</v>
      </c>
      <c r="S6" s="210">
        <f>'Price_Technical Assumption'!S7</f>
        <v>15.666666666666666</v>
      </c>
      <c r="T6" s="210">
        <f>'Price_Technical Assumption'!T7</f>
        <v>16.666666666666664</v>
      </c>
      <c r="U6" s="210">
        <f>'Price_Technical Assumption'!U7</f>
        <v>17.666666666666664</v>
      </c>
      <c r="V6" s="210">
        <f>'Price_Technical Assumption'!V7</f>
        <v>18.666666666666664</v>
      </c>
      <c r="W6" s="210">
        <f>'Price_Technical Assumption'!W7</f>
        <v>19.666666666666664</v>
      </c>
      <c r="X6" s="210">
        <f>'Price_Technical Assumption'!X7</f>
        <v>20.666666666666664</v>
      </c>
      <c r="Y6" s="210">
        <f>'Price_Technical Assumption'!Y7</f>
        <v>21.666666666666664</v>
      </c>
      <c r="Z6" s="210">
        <f>'Price_Technical Assumption'!Z7</f>
        <v>22.666666666666664</v>
      </c>
      <c r="AA6" s="210">
        <f>'Price_Technical Assumption'!AA7</f>
        <v>23.666666666666664</v>
      </c>
      <c r="AB6" s="210">
        <f>'Price_Technical Assumption'!AB7</f>
        <v>24.666666666666664</v>
      </c>
      <c r="AC6" s="210">
        <f>'Price_Technical Assumption'!AC7</f>
        <v>25.666666666666664</v>
      </c>
      <c r="AD6" s="210">
        <f>'Price_Technical Assumption'!AD7</f>
        <v>26.666666666666664</v>
      </c>
      <c r="AE6" s="210">
        <f>'Price_Technical Assumption'!AE7</f>
        <v>27.666666666666664</v>
      </c>
      <c r="AF6" s="210">
        <f>'Price_Technical Assumption'!AF7</f>
        <v>28.666666666666664</v>
      </c>
      <c r="AG6" s="210">
        <f>'Price_Technical Assumption'!AG7</f>
        <v>29.666666666666664</v>
      </c>
      <c r="AH6" s="210">
        <f>'Price_Technical Assumption'!AH7</f>
        <v>30.666666666666664</v>
      </c>
    </row>
    <row r="7" spans="1:60" s="6" customFormat="1" ht="13.5" thickBot="1">
      <c r="A7" s="123" t="s">
        <v>40</v>
      </c>
      <c r="B7" s="7"/>
      <c r="C7" s="318" t="s">
        <v>254</v>
      </c>
      <c r="D7" s="7">
        <f>'Price_Technical Assumption'!D8</f>
        <v>2001</v>
      </c>
      <c r="E7" s="7">
        <f>'Price_Technical Assumption'!E8</f>
        <v>2002</v>
      </c>
      <c r="F7" s="7">
        <f>'Price_Technical Assumption'!F8</f>
        <v>2003</v>
      </c>
      <c r="G7" s="7">
        <f>'Price_Technical Assumption'!G8</f>
        <v>2004</v>
      </c>
      <c r="H7" s="7">
        <f>'Price_Technical Assumption'!H8</f>
        <v>2005</v>
      </c>
      <c r="I7" s="7">
        <f>'Price_Technical Assumption'!I8</f>
        <v>2006</v>
      </c>
      <c r="J7" s="7">
        <f>'Price_Technical Assumption'!J8</f>
        <v>2007</v>
      </c>
      <c r="K7" s="7">
        <f>'Price_Technical Assumption'!K8</f>
        <v>2008</v>
      </c>
      <c r="L7" s="7">
        <f>'Price_Technical Assumption'!L8</f>
        <v>2009</v>
      </c>
      <c r="M7" s="7">
        <f>'Price_Technical Assumption'!M8</f>
        <v>2010</v>
      </c>
      <c r="N7" s="7">
        <f>'Price_Technical Assumption'!N8</f>
        <v>2011</v>
      </c>
      <c r="O7" s="7">
        <f>'Price_Technical Assumption'!O8</f>
        <v>2012</v>
      </c>
      <c r="P7" s="7">
        <f>'Price_Technical Assumption'!P8</f>
        <v>2013</v>
      </c>
      <c r="Q7" s="7">
        <f>'Price_Technical Assumption'!Q8</f>
        <v>2014</v>
      </c>
      <c r="R7" s="7">
        <f>'Price_Technical Assumption'!R8</f>
        <v>2015</v>
      </c>
      <c r="S7" s="7">
        <f>'Price_Technical Assumption'!S8</f>
        <v>2016</v>
      </c>
      <c r="T7" s="7">
        <f>'Price_Technical Assumption'!T8</f>
        <v>2017</v>
      </c>
      <c r="U7" s="7">
        <f>'Price_Technical Assumption'!U8</f>
        <v>2018</v>
      </c>
      <c r="V7" s="7">
        <f>'Price_Technical Assumption'!V8</f>
        <v>2019</v>
      </c>
      <c r="W7" s="7">
        <f>'Price_Technical Assumption'!W8</f>
        <v>2020</v>
      </c>
      <c r="X7" s="7">
        <f>'Price_Technical Assumption'!X8</f>
        <v>2021</v>
      </c>
      <c r="Y7" s="7">
        <f>'Price_Technical Assumption'!Y8</f>
        <v>2022</v>
      </c>
      <c r="Z7" s="7">
        <f>'Price_Technical Assumption'!Z8</f>
        <v>2023</v>
      </c>
      <c r="AA7" s="7">
        <f>'Price_Technical Assumption'!AA8</f>
        <v>2024</v>
      </c>
      <c r="AB7" s="7">
        <f>'Price_Technical Assumption'!AB8</f>
        <v>2025</v>
      </c>
      <c r="AC7" s="7">
        <f>'Price_Technical Assumption'!AC8</f>
        <v>2026</v>
      </c>
      <c r="AD7" s="7">
        <f>'Price_Technical Assumption'!AD8</f>
        <v>2027</v>
      </c>
      <c r="AE7" s="7">
        <f>'Price_Technical Assumption'!AE8</f>
        <v>2028</v>
      </c>
      <c r="AF7" s="7">
        <f>'Price_Technical Assumption'!AF8</f>
        <v>2029</v>
      </c>
      <c r="AG7" s="7">
        <f>'Price_Technical Assumption'!AG8</f>
        <v>2030</v>
      </c>
      <c r="AH7" s="7">
        <f>'Price_Technical Assumption'!AH8</f>
        <v>2031</v>
      </c>
    </row>
    <row r="8" spans="1:60">
      <c r="A8" s="2"/>
      <c r="C8" s="319"/>
      <c r="D8" s="211">
        <f>Assumptions!H17+365.25*Assumptions!H18/12</f>
        <v>37255.5</v>
      </c>
      <c r="E8" s="211">
        <f t="shared" ref="E8:AH8" si="0">D8+365.25</f>
        <v>37620.75</v>
      </c>
      <c r="F8" s="211">
        <f t="shared" si="0"/>
        <v>37986</v>
      </c>
      <c r="G8" s="211">
        <f t="shared" si="0"/>
        <v>38351.25</v>
      </c>
      <c r="H8" s="211">
        <f t="shared" si="0"/>
        <v>38716.5</v>
      </c>
      <c r="I8" s="211">
        <f t="shared" si="0"/>
        <v>39081.75</v>
      </c>
      <c r="J8" s="211">
        <f t="shared" si="0"/>
        <v>39447</v>
      </c>
      <c r="K8" s="211">
        <f t="shared" si="0"/>
        <v>39812.25</v>
      </c>
      <c r="L8" s="211">
        <f t="shared" si="0"/>
        <v>40177.5</v>
      </c>
      <c r="M8" s="211">
        <f t="shared" si="0"/>
        <v>40542.75</v>
      </c>
      <c r="N8" s="211">
        <f t="shared" si="0"/>
        <v>40908</v>
      </c>
      <c r="O8" s="211">
        <f t="shared" si="0"/>
        <v>41273.25</v>
      </c>
      <c r="P8" s="211">
        <f t="shared" si="0"/>
        <v>41638.5</v>
      </c>
      <c r="Q8" s="211">
        <f t="shared" si="0"/>
        <v>42003.75</v>
      </c>
      <c r="R8" s="211">
        <f t="shared" si="0"/>
        <v>42369</v>
      </c>
      <c r="S8" s="211">
        <f t="shared" si="0"/>
        <v>42734.25</v>
      </c>
      <c r="T8" s="211">
        <f t="shared" si="0"/>
        <v>43099.5</v>
      </c>
      <c r="U8" s="211">
        <f t="shared" si="0"/>
        <v>43464.75</v>
      </c>
      <c r="V8" s="211">
        <f t="shared" si="0"/>
        <v>43830</v>
      </c>
      <c r="W8" s="211">
        <f t="shared" si="0"/>
        <v>44195.25</v>
      </c>
      <c r="X8" s="211">
        <f t="shared" si="0"/>
        <v>44560.5</v>
      </c>
      <c r="Y8" s="211">
        <f t="shared" si="0"/>
        <v>44925.75</v>
      </c>
      <c r="Z8" s="211">
        <f t="shared" si="0"/>
        <v>45291</v>
      </c>
      <c r="AA8" s="211">
        <f t="shared" si="0"/>
        <v>45656.25</v>
      </c>
      <c r="AB8" s="211">
        <f t="shared" si="0"/>
        <v>46021.5</v>
      </c>
      <c r="AC8" s="211">
        <f t="shared" si="0"/>
        <v>46386.75</v>
      </c>
      <c r="AD8" s="211">
        <f t="shared" si="0"/>
        <v>46752</v>
      </c>
      <c r="AE8" s="211">
        <f t="shared" si="0"/>
        <v>47117.25</v>
      </c>
      <c r="AF8" s="211">
        <f t="shared" si="0"/>
        <v>47482.5</v>
      </c>
      <c r="AG8" s="211">
        <f t="shared" si="0"/>
        <v>47847.75</v>
      </c>
      <c r="AH8" s="211">
        <f t="shared" si="0"/>
        <v>48213</v>
      </c>
    </row>
    <row r="9" spans="1:60">
      <c r="A9" s="1" t="s">
        <v>138</v>
      </c>
      <c r="B9" s="12"/>
      <c r="C9" s="320"/>
      <c r="D9" s="65"/>
      <c r="E9" s="65"/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  <c r="T9" s="71"/>
      <c r="U9" s="71"/>
      <c r="V9" s="71"/>
      <c r="W9" s="71"/>
      <c r="X9" s="71"/>
      <c r="Y9" s="71"/>
      <c r="Z9" s="71"/>
      <c r="AA9" s="71"/>
      <c r="AB9" s="71"/>
      <c r="AC9" s="71"/>
      <c r="AD9" s="71"/>
      <c r="AE9" s="71"/>
      <c r="AF9" s="71"/>
      <c r="AG9" s="71"/>
      <c r="AH9" s="71"/>
    </row>
    <row r="10" spans="1:60">
      <c r="A10" s="1"/>
      <c r="B10" s="12"/>
      <c r="C10" s="320"/>
      <c r="D10" s="65"/>
      <c r="E10" s="65"/>
      <c r="F10" s="71"/>
      <c r="G10" s="71"/>
      <c r="H10" s="71"/>
      <c r="I10" s="71"/>
      <c r="J10" s="71"/>
      <c r="K10" s="71"/>
      <c r="L10" s="71"/>
      <c r="M10" s="71"/>
      <c r="N10" s="71"/>
      <c r="O10" s="71"/>
      <c r="P10" s="71"/>
      <c r="Q10" s="71"/>
      <c r="R10" s="71"/>
      <c r="S10" s="71"/>
      <c r="T10" s="71"/>
      <c r="U10" s="71"/>
      <c r="V10" s="71"/>
      <c r="W10" s="71"/>
      <c r="X10" s="71"/>
      <c r="Y10" s="71"/>
      <c r="Z10" s="71"/>
      <c r="AA10" s="71"/>
      <c r="AB10" s="71"/>
      <c r="AC10" s="71"/>
      <c r="AD10" s="71"/>
      <c r="AE10" s="71"/>
      <c r="AF10" s="71"/>
      <c r="AG10" s="71"/>
      <c r="AH10" s="71"/>
    </row>
    <row r="11" spans="1:60">
      <c r="A11" s="23" t="s">
        <v>139</v>
      </c>
      <c r="B11" s="12"/>
      <c r="C11" s="321">
        <v>0</v>
      </c>
      <c r="D11" s="18">
        <v>0</v>
      </c>
      <c r="E11" s="18">
        <v>0</v>
      </c>
      <c r="F11" s="18">
        <v>0</v>
      </c>
      <c r="G11" s="18">
        <v>0</v>
      </c>
      <c r="H11" s="18">
        <v>0</v>
      </c>
      <c r="I11" s="18">
        <v>0</v>
      </c>
      <c r="J11" s="18">
        <v>0</v>
      </c>
      <c r="K11" s="18">
        <v>0</v>
      </c>
      <c r="L11" s="18">
        <v>0</v>
      </c>
      <c r="M11" s="18">
        <v>0</v>
      </c>
      <c r="N11" s="18">
        <v>0</v>
      </c>
      <c r="O11" s="18">
        <v>0</v>
      </c>
      <c r="P11" s="18">
        <v>0</v>
      </c>
      <c r="Q11" s="18">
        <v>0</v>
      </c>
      <c r="R11" s="18">
        <v>0</v>
      </c>
      <c r="S11" s="18">
        <v>0</v>
      </c>
      <c r="T11" s="18">
        <v>0</v>
      </c>
      <c r="U11" s="18">
        <v>0</v>
      </c>
      <c r="V11" s="18">
        <v>0</v>
      </c>
      <c r="W11" s="18">
        <v>0</v>
      </c>
      <c r="X11" s="18">
        <v>0</v>
      </c>
      <c r="Y11" s="18">
        <v>0</v>
      </c>
      <c r="Z11" s="18">
        <v>0</v>
      </c>
      <c r="AA11" s="18">
        <v>0</v>
      </c>
      <c r="AB11" s="18">
        <v>0</v>
      </c>
      <c r="AC11" s="18">
        <v>0</v>
      </c>
      <c r="AD11" s="18">
        <v>0</v>
      </c>
      <c r="AE11" s="18">
        <v>0</v>
      </c>
      <c r="AF11" s="18">
        <v>0</v>
      </c>
      <c r="AG11" s="18">
        <v>0</v>
      </c>
      <c r="AH11" s="18">
        <v>0</v>
      </c>
      <c r="AI11" s="310"/>
      <c r="AJ11" s="310"/>
      <c r="AK11" s="310"/>
      <c r="AL11" s="310"/>
      <c r="AM11" s="310"/>
      <c r="AN11" s="310"/>
      <c r="AO11" s="310"/>
      <c r="AP11" s="310"/>
      <c r="AQ11" s="310"/>
      <c r="AR11" s="310"/>
      <c r="AS11" s="310"/>
      <c r="AT11" s="310"/>
      <c r="AU11" s="310"/>
      <c r="AV11" s="310"/>
      <c r="AW11" s="310"/>
      <c r="AX11" s="310"/>
      <c r="AY11" s="310"/>
      <c r="AZ11" s="310"/>
      <c r="BA11" s="310"/>
      <c r="BB11" s="310"/>
      <c r="BC11" s="310"/>
      <c r="BD11" s="310"/>
      <c r="BE11" s="310"/>
      <c r="BF11" s="310"/>
      <c r="BG11" s="310"/>
      <c r="BH11" s="310"/>
    </row>
    <row r="12" spans="1:60">
      <c r="A12" s="23" t="s">
        <v>140</v>
      </c>
      <c r="B12" s="12"/>
      <c r="C12" s="321">
        <v>0</v>
      </c>
      <c r="D12" s="18">
        <v>0</v>
      </c>
      <c r="E12" s="18">
        <v>0</v>
      </c>
      <c r="F12" s="18">
        <v>0</v>
      </c>
      <c r="G12" s="18">
        <v>0</v>
      </c>
      <c r="H12" s="18">
        <v>0</v>
      </c>
      <c r="I12" s="18">
        <v>0</v>
      </c>
      <c r="J12" s="18">
        <v>0</v>
      </c>
      <c r="K12" s="18">
        <v>0</v>
      </c>
      <c r="L12" s="18">
        <v>0</v>
      </c>
      <c r="M12" s="18">
        <v>0</v>
      </c>
      <c r="N12" s="18">
        <v>0</v>
      </c>
      <c r="O12" s="18">
        <v>0</v>
      </c>
      <c r="P12" s="18">
        <v>0</v>
      </c>
      <c r="Q12" s="18">
        <v>0</v>
      </c>
      <c r="R12" s="18">
        <v>0</v>
      </c>
      <c r="S12" s="18">
        <v>0</v>
      </c>
      <c r="T12" s="18">
        <v>0</v>
      </c>
      <c r="U12" s="18">
        <v>0</v>
      </c>
      <c r="V12" s="18">
        <v>0</v>
      </c>
      <c r="W12" s="18">
        <v>0</v>
      </c>
      <c r="X12" s="18">
        <v>0</v>
      </c>
      <c r="Y12" s="18">
        <v>0</v>
      </c>
      <c r="Z12" s="18">
        <v>0</v>
      </c>
      <c r="AA12" s="18">
        <v>0</v>
      </c>
      <c r="AB12" s="18">
        <v>0</v>
      </c>
      <c r="AC12" s="18">
        <v>0</v>
      </c>
      <c r="AD12" s="18">
        <v>0</v>
      </c>
      <c r="AE12" s="18">
        <v>0</v>
      </c>
      <c r="AF12" s="18">
        <v>0</v>
      </c>
      <c r="AG12" s="18">
        <v>0</v>
      </c>
      <c r="AH12" s="18">
        <v>0</v>
      </c>
      <c r="AI12" s="310"/>
      <c r="AJ12" s="310"/>
      <c r="AK12" s="310"/>
      <c r="AL12" s="310"/>
      <c r="AM12" s="310"/>
      <c r="AN12" s="310"/>
      <c r="AO12" s="310"/>
      <c r="AP12" s="310"/>
      <c r="AQ12" s="310"/>
      <c r="AR12" s="310"/>
      <c r="AS12" s="310"/>
      <c r="AT12" s="310"/>
      <c r="AU12" s="310"/>
      <c r="AV12" s="310"/>
      <c r="AW12" s="310"/>
      <c r="AX12" s="310"/>
      <c r="AY12" s="310"/>
      <c r="AZ12" s="310"/>
      <c r="BA12" s="310"/>
      <c r="BB12" s="310"/>
      <c r="BC12" s="310"/>
      <c r="BD12" s="310"/>
      <c r="BE12" s="310"/>
      <c r="BF12" s="310"/>
      <c r="BG12" s="310"/>
      <c r="BH12" s="310"/>
    </row>
    <row r="13" spans="1:60">
      <c r="A13" s="23" t="s">
        <v>141</v>
      </c>
      <c r="B13" s="12"/>
      <c r="C13" s="321">
        <v>0</v>
      </c>
      <c r="D13" s="18">
        <v>0</v>
      </c>
      <c r="E13" s="18">
        <v>0</v>
      </c>
      <c r="F13" s="18">
        <v>0</v>
      </c>
      <c r="G13" s="18">
        <v>0</v>
      </c>
      <c r="H13" s="18">
        <v>0</v>
      </c>
      <c r="I13" s="18">
        <v>0</v>
      </c>
      <c r="J13" s="18">
        <v>0</v>
      </c>
      <c r="K13" s="18">
        <v>0</v>
      </c>
      <c r="L13" s="18">
        <v>0</v>
      </c>
      <c r="M13" s="18">
        <v>0</v>
      </c>
      <c r="N13" s="18">
        <v>0</v>
      </c>
      <c r="O13" s="18">
        <v>0</v>
      </c>
      <c r="P13" s="18">
        <v>0</v>
      </c>
      <c r="Q13" s="18">
        <v>0</v>
      </c>
      <c r="R13" s="18">
        <v>0</v>
      </c>
      <c r="S13" s="18">
        <v>0</v>
      </c>
      <c r="T13" s="18">
        <v>0</v>
      </c>
      <c r="U13" s="18">
        <v>0</v>
      </c>
      <c r="V13" s="18">
        <v>0</v>
      </c>
      <c r="W13" s="18">
        <v>0</v>
      </c>
      <c r="X13" s="18">
        <v>0</v>
      </c>
      <c r="Y13" s="18">
        <v>0</v>
      </c>
      <c r="Z13" s="18">
        <v>0</v>
      </c>
      <c r="AA13" s="18">
        <v>0</v>
      </c>
      <c r="AB13" s="18">
        <v>0</v>
      </c>
      <c r="AC13" s="18">
        <v>0</v>
      </c>
      <c r="AD13" s="18">
        <v>0</v>
      </c>
      <c r="AE13" s="18">
        <v>0</v>
      </c>
      <c r="AF13" s="18">
        <v>0</v>
      </c>
      <c r="AG13" s="18">
        <v>0</v>
      </c>
      <c r="AH13" s="18">
        <v>0</v>
      </c>
      <c r="AI13" s="310"/>
      <c r="AJ13" s="310"/>
      <c r="AK13" s="310"/>
      <c r="AL13" s="310"/>
      <c r="AM13" s="310"/>
      <c r="AN13" s="310"/>
      <c r="AO13" s="310"/>
      <c r="AP13" s="310"/>
      <c r="AQ13" s="310"/>
      <c r="AR13" s="310"/>
      <c r="AS13" s="310"/>
      <c r="AT13" s="310"/>
      <c r="AU13" s="310"/>
      <c r="AV13" s="310"/>
      <c r="AW13" s="310"/>
      <c r="AX13" s="310"/>
      <c r="AY13" s="310"/>
      <c r="AZ13" s="310"/>
      <c r="BA13" s="310"/>
      <c r="BB13" s="310"/>
      <c r="BC13" s="310"/>
      <c r="BD13" s="310"/>
      <c r="BE13" s="310"/>
      <c r="BF13" s="310"/>
      <c r="BG13" s="310"/>
      <c r="BH13" s="310"/>
    </row>
    <row r="14" spans="1:60">
      <c r="A14" s="23" t="s">
        <v>142</v>
      </c>
      <c r="B14" s="12"/>
      <c r="C14" s="321">
        <v>0</v>
      </c>
      <c r="D14" s="18">
        <v>0</v>
      </c>
      <c r="E14" s="18">
        <v>0</v>
      </c>
      <c r="F14" s="18">
        <v>0</v>
      </c>
      <c r="G14" s="18">
        <v>0</v>
      </c>
      <c r="H14" s="18">
        <v>0</v>
      </c>
      <c r="I14" s="18">
        <v>0</v>
      </c>
      <c r="J14" s="18">
        <v>0</v>
      </c>
      <c r="K14" s="18">
        <v>0</v>
      </c>
      <c r="L14" s="18">
        <v>0</v>
      </c>
      <c r="M14" s="18">
        <v>0</v>
      </c>
      <c r="N14" s="18">
        <v>0</v>
      </c>
      <c r="O14" s="18">
        <v>0</v>
      </c>
      <c r="P14" s="18">
        <v>0</v>
      </c>
      <c r="Q14" s="18">
        <v>0</v>
      </c>
      <c r="R14" s="18">
        <v>0</v>
      </c>
      <c r="S14" s="18">
        <v>0</v>
      </c>
      <c r="T14" s="18">
        <v>0</v>
      </c>
      <c r="U14" s="18">
        <v>0</v>
      </c>
      <c r="V14" s="18">
        <v>0</v>
      </c>
      <c r="W14" s="18">
        <v>0</v>
      </c>
      <c r="X14" s="18">
        <v>0</v>
      </c>
      <c r="Y14" s="18">
        <v>0</v>
      </c>
      <c r="Z14" s="18">
        <v>0</v>
      </c>
      <c r="AA14" s="18">
        <v>0</v>
      </c>
      <c r="AB14" s="18">
        <v>0</v>
      </c>
      <c r="AC14" s="18">
        <v>0</v>
      </c>
      <c r="AD14" s="18">
        <v>0</v>
      </c>
      <c r="AE14" s="18">
        <v>0</v>
      </c>
      <c r="AF14" s="18">
        <v>0</v>
      </c>
      <c r="AG14" s="18">
        <v>0</v>
      </c>
      <c r="AH14" s="18">
        <v>0</v>
      </c>
      <c r="AI14" s="310"/>
      <c r="AJ14" s="310"/>
      <c r="AK14" s="310"/>
      <c r="AL14" s="310"/>
      <c r="AM14" s="310"/>
      <c r="AN14" s="310"/>
      <c r="AO14" s="310"/>
      <c r="AP14" s="310"/>
      <c r="AQ14" s="310"/>
      <c r="AR14" s="310"/>
      <c r="AS14" s="310"/>
      <c r="AT14" s="310"/>
      <c r="AU14" s="310"/>
      <c r="AV14" s="310"/>
      <c r="AW14" s="310"/>
      <c r="AX14" s="310"/>
      <c r="AY14" s="310"/>
      <c r="AZ14" s="310"/>
      <c r="BA14" s="310"/>
      <c r="BB14" s="310"/>
      <c r="BC14" s="310"/>
      <c r="BD14" s="310"/>
      <c r="BE14" s="310"/>
      <c r="BF14" s="310"/>
      <c r="BG14" s="310"/>
      <c r="BH14" s="310"/>
    </row>
    <row r="15" spans="1:60">
      <c r="A15" s="309" t="s">
        <v>143</v>
      </c>
      <c r="B15" s="58"/>
      <c r="C15" s="322">
        <v>0</v>
      </c>
      <c r="D15" s="309">
        <v>0</v>
      </c>
      <c r="E15" s="309">
        <v>0</v>
      </c>
      <c r="F15" s="309">
        <v>0</v>
      </c>
      <c r="G15" s="309">
        <v>0</v>
      </c>
      <c r="H15" s="309">
        <v>0</v>
      </c>
      <c r="I15" s="309">
        <v>0</v>
      </c>
      <c r="J15" s="309">
        <v>0</v>
      </c>
      <c r="K15" s="309">
        <v>0</v>
      </c>
      <c r="L15" s="309">
        <v>0</v>
      </c>
      <c r="M15" s="309">
        <v>0</v>
      </c>
      <c r="N15" s="309">
        <v>0</v>
      </c>
      <c r="O15" s="309">
        <v>0</v>
      </c>
      <c r="P15" s="309">
        <v>0</v>
      </c>
      <c r="Q15" s="309">
        <v>0</v>
      </c>
      <c r="R15" s="309">
        <v>0</v>
      </c>
      <c r="S15" s="309">
        <v>0</v>
      </c>
      <c r="T15" s="309">
        <v>0</v>
      </c>
      <c r="U15" s="309">
        <v>0</v>
      </c>
      <c r="V15" s="309">
        <v>0</v>
      </c>
      <c r="W15" s="309">
        <v>0</v>
      </c>
      <c r="X15" s="309">
        <v>0</v>
      </c>
      <c r="Y15" s="309">
        <v>0</v>
      </c>
      <c r="Z15" s="309">
        <v>0</v>
      </c>
      <c r="AA15" s="309">
        <v>0</v>
      </c>
      <c r="AB15" s="309">
        <v>0</v>
      </c>
      <c r="AC15" s="309">
        <v>0</v>
      </c>
      <c r="AD15" s="309">
        <v>0</v>
      </c>
      <c r="AE15" s="309">
        <v>0</v>
      </c>
      <c r="AF15" s="309">
        <v>0</v>
      </c>
      <c r="AG15" s="309">
        <v>0</v>
      </c>
      <c r="AH15" s="309">
        <v>0</v>
      </c>
      <c r="AI15" s="310"/>
      <c r="AJ15" s="310"/>
      <c r="AK15" s="310"/>
      <c r="AL15" s="310"/>
      <c r="AM15" s="310"/>
      <c r="AN15" s="310"/>
      <c r="AO15" s="310"/>
      <c r="AP15" s="310"/>
      <c r="AQ15" s="310"/>
      <c r="AR15" s="310"/>
      <c r="AS15" s="310"/>
      <c r="AT15" s="310"/>
      <c r="AU15" s="310"/>
      <c r="AV15" s="310"/>
      <c r="AW15" s="310"/>
      <c r="AX15" s="310"/>
      <c r="AY15" s="310"/>
      <c r="AZ15" s="310"/>
      <c r="BA15" s="310"/>
      <c r="BB15" s="310"/>
      <c r="BC15" s="310"/>
      <c r="BD15" s="310"/>
      <c r="BE15" s="310"/>
      <c r="BF15" s="310"/>
      <c r="BG15" s="310"/>
      <c r="BH15" s="310"/>
    </row>
    <row r="16" spans="1:60">
      <c r="A16" s="23" t="s">
        <v>144</v>
      </c>
      <c r="B16" s="12"/>
      <c r="C16" s="321"/>
      <c r="D16" s="18">
        <f t="shared" ref="D16:AH16" si="1">SUM(D11:D15)</f>
        <v>0</v>
      </c>
      <c r="E16" s="18">
        <f t="shared" si="1"/>
        <v>0</v>
      </c>
      <c r="F16" s="18">
        <f t="shared" si="1"/>
        <v>0</v>
      </c>
      <c r="G16" s="18">
        <f t="shared" si="1"/>
        <v>0</v>
      </c>
      <c r="H16" s="18">
        <f t="shared" si="1"/>
        <v>0</v>
      </c>
      <c r="I16" s="18">
        <f t="shared" si="1"/>
        <v>0</v>
      </c>
      <c r="J16" s="18">
        <f t="shared" si="1"/>
        <v>0</v>
      </c>
      <c r="K16" s="18">
        <f t="shared" si="1"/>
        <v>0</v>
      </c>
      <c r="L16" s="18">
        <f t="shared" si="1"/>
        <v>0</v>
      </c>
      <c r="M16" s="18">
        <f t="shared" si="1"/>
        <v>0</v>
      </c>
      <c r="N16" s="18">
        <f t="shared" si="1"/>
        <v>0</v>
      </c>
      <c r="O16" s="18">
        <f t="shared" si="1"/>
        <v>0</v>
      </c>
      <c r="P16" s="18">
        <f t="shared" si="1"/>
        <v>0</v>
      </c>
      <c r="Q16" s="18">
        <f t="shared" si="1"/>
        <v>0</v>
      </c>
      <c r="R16" s="18">
        <f t="shared" si="1"/>
        <v>0</v>
      </c>
      <c r="S16" s="18">
        <f t="shared" si="1"/>
        <v>0</v>
      </c>
      <c r="T16" s="18">
        <f t="shared" si="1"/>
        <v>0</v>
      </c>
      <c r="U16" s="18">
        <f t="shared" si="1"/>
        <v>0</v>
      </c>
      <c r="V16" s="18">
        <f t="shared" si="1"/>
        <v>0</v>
      </c>
      <c r="W16" s="18">
        <f t="shared" si="1"/>
        <v>0</v>
      </c>
      <c r="X16" s="18">
        <f t="shared" si="1"/>
        <v>0</v>
      </c>
      <c r="Y16" s="18">
        <f t="shared" si="1"/>
        <v>0</v>
      </c>
      <c r="Z16" s="18">
        <f t="shared" si="1"/>
        <v>0</v>
      </c>
      <c r="AA16" s="18">
        <f t="shared" si="1"/>
        <v>0</v>
      </c>
      <c r="AB16" s="18">
        <f t="shared" si="1"/>
        <v>0</v>
      </c>
      <c r="AC16" s="18">
        <f t="shared" si="1"/>
        <v>0</v>
      </c>
      <c r="AD16" s="18">
        <f t="shared" si="1"/>
        <v>0</v>
      </c>
      <c r="AE16" s="18">
        <f t="shared" si="1"/>
        <v>0</v>
      </c>
      <c r="AF16" s="18">
        <f t="shared" si="1"/>
        <v>0</v>
      </c>
      <c r="AG16" s="18">
        <f t="shared" si="1"/>
        <v>0</v>
      </c>
      <c r="AH16" s="18">
        <f t="shared" si="1"/>
        <v>0</v>
      </c>
      <c r="AI16" s="310"/>
      <c r="AJ16" s="310"/>
      <c r="AK16" s="310"/>
      <c r="AL16" s="310"/>
      <c r="AM16" s="310"/>
      <c r="AN16" s="310"/>
      <c r="AO16" s="310"/>
      <c r="AP16" s="310"/>
      <c r="AQ16" s="310"/>
      <c r="AR16" s="310"/>
      <c r="AS16" s="310"/>
      <c r="AT16" s="310"/>
      <c r="AU16" s="310"/>
      <c r="AV16" s="310"/>
      <c r="AW16" s="310"/>
      <c r="AX16" s="310"/>
      <c r="AY16" s="310"/>
      <c r="AZ16" s="310"/>
      <c r="BA16" s="310"/>
      <c r="BB16" s="310"/>
      <c r="BC16" s="310"/>
      <c r="BD16" s="310"/>
      <c r="BE16" s="310"/>
      <c r="BF16" s="310"/>
      <c r="BG16" s="310"/>
      <c r="BH16" s="310"/>
    </row>
    <row r="17" spans="1:60">
      <c r="A17" s="13"/>
      <c r="B17" s="12"/>
      <c r="C17" s="321"/>
      <c r="D17" s="18"/>
      <c r="E17" s="18"/>
      <c r="F17" s="310"/>
      <c r="G17" s="310"/>
      <c r="H17" s="310"/>
      <c r="I17" s="310"/>
      <c r="J17" s="310"/>
      <c r="K17" s="310"/>
      <c r="L17" s="310"/>
      <c r="M17" s="310"/>
      <c r="N17" s="310"/>
      <c r="O17" s="310"/>
      <c r="P17" s="310"/>
      <c r="Q17" s="310"/>
      <c r="R17" s="310"/>
      <c r="S17" s="310"/>
      <c r="T17" s="310"/>
      <c r="U17" s="310"/>
      <c r="V17" s="310"/>
      <c r="W17" s="310"/>
      <c r="X17" s="310"/>
      <c r="Y17" s="310"/>
      <c r="Z17" s="151"/>
      <c r="AA17" s="151"/>
      <c r="AB17" s="310"/>
      <c r="AC17" s="310"/>
      <c r="AD17" s="310"/>
      <c r="AE17" s="310"/>
      <c r="AF17" s="310"/>
      <c r="AG17" s="310"/>
      <c r="AH17" s="310"/>
      <c r="AI17" s="310"/>
      <c r="AJ17" s="310"/>
      <c r="AK17" s="310"/>
      <c r="AL17" s="310"/>
      <c r="AM17" s="310"/>
      <c r="AN17" s="310"/>
      <c r="AO17" s="310"/>
      <c r="AP17" s="310"/>
      <c r="AQ17" s="310"/>
      <c r="AR17" s="310"/>
      <c r="AS17" s="310"/>
      <c r="AT17" s="310"/>
      <c r="AU17" s="310"/>
      <c r="AV17" s="310"/>
      <c r="AW17" s="310"/>
      <c r="AX17" s="310"/>
      <c r="AY17" s="310"/>
      <c r="AZ17" s="310"/>
      <c r="BA17" s="310"/>
      <c r="BB17" s="310"/>
      <c r="BC17" s="310"/>
      <c r="BD17" s="310"/>
      <c r="BE17" s="310"/>
      <c r="BF17" s="310"/>
      <c r="BG17" s="310"/>
      <c r="BH17" s="310"/>
    </row>
    <row r="18" spans="1:60">
      <c r="A18" s="23" t="s">
        <v>145</v>
      </c>
      <c r="B18" s="12"/>
      <c r="C18" s="321">
        <f>Assumptions!C58</f>
        <v>104725.92392639755</v>
      </c>
      <c r="D18" s="18">
        <f>Depreciation!$B$48</f>
        <v>104725.92392639755</v>
      </c>
      <c r="E18" s="18">
        <f>Depreciation!$B$48</f>
        <v>104725.92392639755</v>
      </c>
      <c r="F18" s="18">
        <f>Depreciation!$B$48</f>
        <v>104725.92392639755</v>
      </c>
      <c r="G18" s="18">
        <f>Depreciation!$B$48</f>
        <v>104725.92392639755</v>
      </c>
      <c r="H18" s="18">
        <f>Depreciation!$B$48</f>
        <v>104725.92392639755</v>
      </c>
      <c r="I18" s="18">
        <f>Depreciation!$B$48</f>
        <v>104725.92392639755</v>
      </c>
      <c r="J18" s="18">
        <f>Depreciation!$B$48</f>
        <v>104725.92392639755</v>
      </c>
      <c r="K18" s="18">
        <f>Depreciation!$B$48</f>
        <v>104725.92392639755</v>
      </c>
      <c r="L18" s="18">
        <f>Depreciation!$B$48</f>
        <v>104725.92392639755</v>
      </c>
      <c r="M18" s="18">
        <f>Depreciation!$B$48</f>
        <v>104725.92392639755</v>
      </c>
      <c r="N18" s="18">
        <f>Depreciation!$B$48</f>
        <v>104725.92392639755</v>
      </c>
      <c r="O18" s="18">
        <f>Depreciation!$B$48</f>
        <v>104725.92392639755</v>
      </c>
      <c r="P18" s="18">
        <f>Depreciation!$B$48</f>
        <v>104725.92392639755</v>
      </c>
      <c r="Q18" s="18">
        <f>Depreciation!$B$48</f>
        <v>104725.92392639755</v>
      </c>
      <c r="R18" s="18">
        <f>Depreciation!$B$48</f>
        <v>104725.92392639755</v>
      </c>
      <c r="S18" s="18">
        <f>Depreciation!$B$48</f>
        <v>104725.92392639755</v>
      </c>
      <c r="T18" s="18">
        <f>Depreciation!$B$48</f>
        <v>104725.92392639755</v>
      </c>
      <c r="U18" s="18">
        <f>Depreciation!$B$48</f>
        <v>104725.92392639755</v>
      </c>
      <c r="V18" s="18">
        <f>Depreciation!$B$48</f>
        <v>104725.92392639755</v>
      </c>
      <c r="W18" s="18">
        <f>Depreciation!$B$48</f>
        <v>104725.92392639755</v>
      </c>
      <c r="X18" s="18">
        <f>Depreciation!$B$48</f>
        <v>104725.92392639755</v>
      </c>
      <c r="Y18" s="18">
        <f>Depreciation!$B$48</f>
        <v>104725.92392639755</v>
      </c>
      <c r="Z18" s="18">
        <f>Depreciation!$B$48</f>
        <v>104725.92392639755</v>
      </c>
      <c r="AA18" s="18">
        <f>Depreciation!$B$48</f>
        <v>104725.92392639755</v>
      </c>
      <c r="AB18" s="18">
        <f>Depreciation!$B$48</f>
        <v>104725.92392639755</v>
      </c>
      <c r="AC18" s="18">
        <f>Depreciation!$B$48</f>
        <v>104725.92392639755</v>
      </c>
      <c r="AD18" s="18">
        <f>Depreciation!$B$48</f>
        <v>104725.92392639755</v>
      </c>
      <c r="AE18" s="18">
        <f>Depreciation!$B$48</f>
        <v>104725.92392639755</v>
      </c>
      <c r="AF18" s="18">
        <f>Depreciation!$B$48</f>
        <v>104725.92392639755</v>
      </c>
      <c r="AG18" s="18">
        <f>Depreciation!$B$48</f>
        <v>104725.92392639755</v>
      </c>
      <c r="AH18" s="18">
        <f>Depreciation!$B$48</f>
        <v>104725.92392639755</v>
      </c>
      <c r="AI18" s="310"/>
      <c r="AJ18" s="310"/>
      <c r="AK18" s="310"/>
      <c r="AL18" s="310"/>
      <c r="AM18" s="310"/>
      <c r="AN18" s="310"/>
      <c r="AO18" s="310"/>
      <c r="AP18" s="310"/>
      <c r="AQ18" s="310"/>
      <c r="AR18" s="310"/>
      <c r="AS18" s="310"/>
      <c r="AT18" s="310"/>
      <c r="AU18" s="310"/>
      <c r="AV18" s="310"/>
      <c r="AW18" s="310"/>
      <c r="AX18" s="310"/>
      <c r="AY18" s="310"/>
      <c r="AZ18" s="310"/>
      <c r="BA18" s="310"/>
      <c r="BB18" s="310"/>
      <c r="BC18" s="310"/>
      <c r="BD18" s="310"/>
      <c r="BE18" s="310"/>
      <c r="BF18" s="310"/>
      <c r="BG18" s="310"/>
      <c r="BH18" s="310"/>
    </row>
    <row r="19" spans="1:60">
      <c r="A19" s="23" t="s">
        <v>146</v>
      </c>
      <c r="B19" s="13"/>
      <c r="C19" s="323">
        <v>0</v>
      </c>
      <c r="D19" s="311">
        <f>SUM(Depreciation!$D$48:D48)</f>
        <v>2529.896078527951</v>
      </c>
      <c r="E19" s="311">
        <f>SUM(Depreciation!$D$48:E48)</f>
        <v>6324.7401963198772</v>
      </c>
      <c r="F19" s="311">
        <f>SUM(Depreciation!$D$48:F48)</f>
        <v>10119.584314111804</v>
      </c>
      <c r="G19" s="311">
        <f>SUM(Depreciation!$D$48:G48)</f>
        <v>13914.428431903731</v>
      </c>
      <c r="H19" s="311">
        <f>SUM(Depreciation!$D$48:H48)</f>
        <v>17709.272549695655</v>
      </c>
      <c r="I19" s="311">
        <f>SUM(Depreciation!$D$48:I48)</f>
        <v>21007.594000820915</v>
      </c>
      <c r="J19" s="311">
        <f>SUM(Depreciation!$D$48:J48)</f>
        <v>24057.654118612842</v>
      </c>
      <c r="K19" s="311">
        <f>SUM(Depreciation!$D$48:K48)</f>
        <v>27107.714236404769</v>
      </c>
      <c r="L19" s="311">
        <f>SUM(Depreciation!$D$48:L48)</f>
        <v>30157.774354196696</v>
      </c>
      <c r="M19" s="311">
        <f>SUM(Depreciation!$D$48:M48)</f>
        <v>33207.834471988623</v>
      </c>
      <c r="N19" s="311">
        <f>SUM(Depreciation!$D$48:N48)</f>
        <v>36257.894589780546</v>
      </c>
      <c r="O19" s="311">
        <f>SUM(Depreciation!$D$48:O48)</f>
        <v>39307.954707572469</v>
      </c>
      <c r="P19" s="311">
        <f>SUM(Depreciation!$D$48:P48)</f>
        <v>42358.014825364393</v>
      </c>
      <c r="Q19" s="311">
        <f>SUM(Depreciation!$D$48:Q48)</f>
        <v>45408.074943156316</v>
      </c>
      <c r="R19" s="311">
        <f>SUM(Depreciation!$D$48:R48)</f>
        <v>48458.13506094824</v>
      </c>
      <c r="S19" s="311">
        <f>SUM(Depreciation!$D$48:S48)</f>
        <v>51508.195178740163</v>
      </c>
      <c r="T19" s="311">
        <f>SUM(Depreciation!$D$48:T48)</f>
        <v>54558.255296532087</v>
      </c>
      <c r="U19" s="311">
        <f>SUM(Depreciation!$D$48:U48)</f>
        <v>57608.31541432401</v>
      </c>
      <c r="V19" s="311">
        <f>SUM(Depreciation!$D$48:V48)</f>
        <v>60658.375532115933</v>
      </c>
      <c r="W19" s="311">
        <f>SUM(Depreciation!$D$48:W48)</f>
        <v>63708.435649907857</v>
      </c>
      <c r="X19" s="311">
        <f>SUM(Depreciation!$D$48:X48)</f>
        <v>66725.162434366444</v>
      </c>
      <c r="Y19" s="311">
        <f>SUM(Depreciation!$D$48:Y48)</f>
        <v>69725.222552158375</v>
      </c>
      <c r="Z19" s="311">
        <f>SUM(Depreciation!$D$48:Z48)</f>
        <v>72725.282669950306</v>
      </c>
      <c r="AA19" s="311">
        <f>SUM(Depreciation!$D$48:AA48)</f>
        <v>75725.342787742236</v>
      </c>
      <c r="AB19" s="311">
        <f>SUM(Depreciation!$D$48:AB48)</f>
        <v>78725.402905534167</v>
      </c>
      <c r="AC19" s="311">
        <f>SUM(Depreciation!$D$48:AC48)</f>
        <v>81725.463023326098</v>
      </c>
      <c r="AD19" s="311">
        <f>SUM(Depreciation!$D$48:AD48)</f>
        <v>84725.523141118028</v>
      </c>
      <c r="AE19" s="311">
        <f>SUM(Depreciation!$D$48:AE48)</f>
        <v>87725.583258909959</v>
      </c>
      <c r="AF19" s="311">
        <f>SUM(Depreciation!$D$48:AF48)</f>
        <v>90725.64337670189</v>
      </c>
      <c r="AG19" s="311">
        <f>SUM(Depreciation!$D$48:AG48)</f>
        <v>93725.70349449382</v>
      </c>
      <c r="AH19" s="311">
        <f>SUM(Depreciation!$D$48:AH48)</f>
        <v>94725.723533757802</v>
      </c>
      <c r="AI19" s="310"/>
      <c r="AJ19" s="310"/>
      <c r="AK19" s="310"/>
      <c r="AL19" s="310"/>
      <c r="AM19" s="310"/>
      <c r="AN19" s="310"/>
      <c r="AO19" s="310"/>
      <c r="AP19" s="310"/>
      <c r="AQ19" s="310"/>
      <c r="AR19" s="310"/>
      <c r="AS19" s="310"/>
      <c r="AT19" s="310"/>
      <c r="AU19" s="310"/>
      <c r="AV19" s="310"/>
      <c r="AW19" s="310"/>
      <c r="AX19" s="310"/>
      <c r="AY19" s="310"/>
      <c r="AZ19" s="310"/>
      <c r="BA19" s="310"/>
      <c r="BB19" s="310"/>
      <c r="BC19" s="310"/>
      <c r="BD19" s="310"/>
      <c r="BE19" s="310"/>
      <c r="BF19" s="310"/>
      <c r="BG19" s="310"/>
      <c r="BH19" s="310"/>
    </row>
    <row r="20" spans="1:60">
      <c r="A20" s="23" t="s">
        <v>147</v>
      </c>
      <c r="B20" s="13"/>
      <c r="C20" s="324">
        <f>C18-C19</f>
        <v>104725.92392639755</v>
      </c>
      <c r="D20" s="23">
        <f>D18-D19</f>
        <v>102196.0278478696</v>
      </c>
      <c r="E20" s="23">
        <f t="shared" ref="E20:AH20" si="2">E18-E19</f>
        <v>98401.183730077668</v>
      </c>
      <c r="F20" s="23">
        <f t="shared" si="2"/>
        <v>94606.339612285738</v>
      </c>
      <c r="G20" s="23">
        <f t="shared" si="2"/>
        <v>90811.495494493822</v>
      </c>
      <c r="H20" s="23">
        <f t="shared" si="2"/>
        <v>87016.651376701891</v>
      </c>
      <c r="I20" s="23">
        <f t="shared" si="2"/>
        <v>83718.329925576632</v>
      </c>
      <c r="J20" s="23">
        <f t="shared" si="2"/>
        <v>80668.269807784702</v>
      </c>
      <c r="K20" s="23">
        <f t="shared" si="2"/>
        <v>77618.209689992771</v>
      </c>
      <c r="L20" s="23">
        <f t="shared" si="2"/>
        <v>74568.149572200855</v>
      </c>
      <c r="M20" s="23">
        <f t="shared" si="2"/>
        <v>71518.089454408924</v>
      </c>
      <c r="N20" s="23">
        <f t="shared" si="2"/>
        <v>68468.029336617008</v>
      </c>
      <c r="O20" s="23">
        <f t="shared" si="2"/>
        <v>65417.969218825077</v>
      </c>
      <c r="P20" s="23">
        <f t="shared" si="2"/>
        <v>62367.909101033154</v>
      </c>
      <c r="Q20" s="23">
        <f t="shared" si="2"/>
        <v>59317.848983241231</v>
      </c>
      <c r="R20" s="23">
        <f t="shared" si="2"/>
        <v>56267.788865449307</v>
      </c>
      <c r="S20" s="23">
        <f t="shared" si="2"/>
        <v>53217.728747657384</v>
      </c>
      <c r="T20" s="23">
        <f t="shared" si="2"/>
        <v>50167.66862986546</v>
      </c>
      <c r="U20" s="23">
        <f t="shared" si="2"/>
        <v>47117.608512073537</v>
      </c>
      <c r="V20" s="23">
        <f t="shared" si="2"/>
        <v>44067.548394281614</v>
      </c>
      <c r="W20" s="23">
        <f t="shared" si="2"/>
        <v>41017.48827648969</v>
      </c>
      <c r="X20" s="23">
        <f t="shared" si="2"/>
        <v>38000.761492031103</v>
      </c>
      <c r="Y20" s="23">
        <f t="shared" si="2"/>
        <v>35000.701374239172</v>
      </c>
      <c r="Z20" s="23">
        <f t="shared" si="2"/>
        <v>32000.641256447241</v>
      </c>
      <c r="AA20" s="23">
        <f t="shared" si="2"/>
        <v>29000.58113865531</v>
      </c>
      <c r="AB20" s="23">
        <f t="shared" si="2"/>
        <v>26000.52102086338</v>
      </c>
      <c r="AC20" s="23">
        <f t="shared" si="2"/>
        <v>23000.460903071449</v>
      </c>
      <c r="AD20" s="23">
        <f t="shared" si="2"/>
        <v>20000.400785279518</v>
      </c>
      <c r="AE20" s="23">
        <f t="shared" si="2"/>
        <v>17000.340667487588</v>
      </c>
      <c r="AF20" s="23">
        <f t="shared" si="2"/>
        <v>14000.280549695657</v>
      </c>
      <c r="AG20" s="23">
        <f t="shared" si="2"/>
        <v>11000.220431903726</v>
      </c>
      <c r="AH20" s="23">
        <f t="shared" si="2"/>
        <v>10000.200392639745</v>
      </c>
      <c r="AI20" s="310"/>
      <c r="AJ20" s="310"/>
      <c r="AK20" s="310"/>
      <c r="AL20" s="310"/>
      <c r="AM20" s="310"/>
      <c r="AN20" s="310"/>
      <c r="AO20" s="310"/>
      <c r="AP20" s="310"/>
      <c r="AQ20" s="310"/>
      <c r="AR20" s="310"/>
      <c r="AS20" s="310"/>
      <c r="AT20" s="310"/>
      <c r="AU20" s="310"/>
      <c r="AV20" s="310"/>
      <c r="AW20" s="310"/>
      <c r="AX20" s="310"/>
      <c r="AY20" s="310"/>
      <c r="AZ20" s="310"/>
      <c r="BA20" s="310"/>
      <c r="BB20" s="310"/>
      <c r="BC20" s="310"/>
      <c r="BD20" s="310"/>
      <c r="BE20" s="310"/>
      <c r="BF20" s="310"/>
      <c r="BG20" s="310"/>
      <c r="BH20" s="310"/>
    </row>
    <row r="21" spans="1:60">
      <c r="A21" s="23"/>
      <c r="B21" s="13"/>
      <c r="C21" s="324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310"/>
      <c r="AJ21" s="310"/>
      <c r="AK21" s="310"/>
      <c r="AL21" s="310"/>
      <c r="AM21" s="310"/>
      <c r="AN21" s="310"/>
      <c r="AO21" s="310"/>
      <c r="AP21" s="310"/>
      <c r="AQ21" s="310"/>
      <c r="AR21" s="310"/>
      <c r="AS21" s="310"/>
      <c r="AT21" s="310"/>
      <c r="AU21" s="310"/>
      <c r="AV21" s="310"/>
      <c r="AW21" s="310"/>
      <c r="AX21" s="310"/>
      <c r="AY21" s="310"/>
      <c r="AZ21" s="310"/>
      <c r="BA21" s="310"/>
      <c r="BB21" s="310"/>
      <c r="BC21" s="310"/>
      <c r="BD21" s="310"/>
      <c r="BE21" s="310"/>
      <c r="BF21" s="310"/>
      <c r="BG21" s="310"/>
      <c r="BH21" s="310"/>
    </row>
    <row r="22" spans="1:60">
      <c r="A22" s="23" t="s">
        <v>148</v>
      </c>
      <c r="B22" s="13"/>
      <c r="C22" s="321">
        <f>Assumptions!$C$47</f>
        <v>0</v>
      </c>
      <c r="D22" s="18">
        <f>Assumptions!$C$47</f>
        <v>0</v>
      </c>
      <c r="E22" s="18">
        <f>Assumptions!$C$47</f>
        <v>0</v>
      </c>
      <c r="F22" s="18">
        <f>Assumptions!$C$47</f>
        <v>0</v>
      </c>
      <c r="G22" s="18">
        <f>Assumptions!$C$47</f>
        <v>0</v>
      </c>
      <c r="H22" s="18">
        <f>Assumptions!$C$47</f>
        <v>0</v>
      </c>
      <c r="I22" s="18">
        <f>Assumptions!$C$47</f>
        <v>0</v>
      </c>
      <c r="J22" s="18">
        <f>Assumptions!$C$47</f>
        <v>0</v>
      </c>
      <c r="K22" s="18">
        <f>Assumptions!$C$47</f>
        <v>0</v>
      </c>
      <c r="L22" s="18">
        <f>Assumptions!$C$47</f>
        <v>0</v>
      </c>
      <c r="M22" s="18">
        <f>Assumptions!$C$47</f>
        <v>0</v>
      </c>
      <c r="N22" s="18">
        <f>Assumptions!$C$47</f>
        <v>0</v>
      </c>
      <c r="O22" s="18">
        <f>Assumptions!$C$47</f>
        <v>0</v>
      </c>
      <c r="P22" s="18">
        <f>Assumptions!$C$47</f>
        <v>0</v>
      </c>
      <c r="Q22" s="18">
        <f>Assumptions!$C$47</f>
        <v>0</v>
      </c>
      <c r="R22" s="18">
        <f>Assumptions!$C$47</f>
        <v>0</v>
      </c>
      <c r="S22" s="18">
        <f>Assumptions!$C$47</f>
        <v>0</v>
      </c>
      <c r="T22" s="18">
        <f>Assumptions!$C$47</f>
        <v>0</v>
      </c>
      <c r="U22" s="18">
        <f>Assumptions!$C$47</f>
        <v>0</v>
      </c>
      <c r="V22" s="18">
        <f>Assumptions!$C$47</f>
        <v>0</v>
      </c>
      <c r="W22" s="18">
        <f>Assumptions!$C$47</f>
        <v>0</v>
      </c>
      <c r="X22" s="18">
        <f>Assumptions!$C$47</f>
        <v>0</v>
      </c>
      <c r="Y22" s="18">
        <f>Assumptions!$C$47</f>
        <v>0</v>
      </c>
      <c r="Z22" s="18">
        <f>Assumptions!$C$47</f>
        <v>0</v>
      </c>
      <c r="AA22" s="18">
        <f>Assumptions!$C$47</f>
        <v>0</v>
      </c>
      <c r="AB22" s="18">
        <f>Assumptions!$C$47</f>
        <v>0</v>
      </c>
      <c r="AC22" s="18">
        <f>Assumptions!$C$47</f>
        <v>0</v>
      </c>
      <c r="AD22" s="18">
        <f>Assumptions!$C$47</f>
        <v>0</v>
      </c>
      <c r="AE22" s="18">
        <f>Assumptions!$C$47</f>
        <v>0</v>
      </c>
      <c r="AF22" s="18">
        <f>Assumptions!$C$47</f>
        <v>0</v>
      </c>
      <c r="AG22" s="18">
        <f>Assumptions!$C$47</f>
        <v>0</v>
      </c>
      <c r="AH22" s="18">
        <f>Assumptions!$C$47</f>
        <v>0</v>
      </c>
      <c r="AI22" s="310"/>
      <c r="AJ22" s="310"/>
      <c r="AK22" s="310"/>
      <c r="AL22" s="310"/>
      <c r="AM22" s="310"/>
      <c r="AN22" s="310"/>
      <c r="AO22" s="310"/>
      <c r="AP22" s="310"/>
      <c r="AQ22" s="310"/>
      <c r="AR22" s="310"/>
      <c r="AS22" s="310"/>
      <c r="AT22" s="310"/>
      <c r="AU22" s="310"/>
      <c r="AV22" s="310"/>
      <c r="AW22" s="310"/>
      <c r="AX22" s="310"/>
      <c r="AY22" s="310"/>
      <c r="AZ22" s="310"/>
      <c r="BA22" s="310"/>
      <c r="BB22" s="310"/>
      <c r="BC22" s="310"/>
      <c r="BD22" s="310"/>
      <c r="BE22" s="310"/>
      <c r="BF22" s="310"/>
      <c r="BG22" s="310"/>
      <c r="BH22" s="310"/>
    </row>
    <row r="23" spans="1:60">
      <c r="A23" s="23" t="s">
        <v>149</v>
      </c>
      <c r="B23" s="13"/>
      <c r="C23" s="325">
        <v>0</v>
      </c>
      <c r="D23" s="312">
        <v>0</v>
      </c>
      <c r="E23" s="312">
        <v>0</v>
      </c>
      <c r="F23" s="312">
        <v>0</v>
      </c>
      <c r="G23" s="312">
        <v>0</v>
      </c>
      <c r="H23" s="312">
        <v>0</v>
      </c>
      <c r="I23" s="312">
        <v>0</v>
      </c>
      <c r="J23" s="312">
        <v>0</v>
      </c>
      <c r="K23" s="312">
        <v>0</v>
      </c>
      <c r="L23" s="312">
        <v>0</v>
      </c>
      <c r="M23" s="312">
        <v>0</v>
      </c>
      <c r="N23" s="312">
        <v>0</v>
      </c>
      <c r="O23" s="312">
        <v>0</v>
      </c>
      <c r="P23" s="312">
        <v>0</v>
      </c>
      <c r="Q23" s="312">
        <v>0</v>
      </c>
      <c r="R23" s="312">
        <v>0</v>
      </c>
      <c r="S23" s="312">
        <v>0</v>
      </c>
      <c r="T23" s="312">
        <v>0</v>
      </c>
      <c r="U23" s="312">
        <v>0</v>
      </c>
      <c r="V23" s="312">
        <v>0</v>
      </c>
      <c r="W23" s="312">
        <v>0</v>
      </c>
      <c r="X23" s="312">
        <v>0</v>
      </c>
      <c r="Y23" s="312">
        <v>0</v>
      </c>
      <c r="Z23" s="312">
        <v>0</v>
      </c>
      <c r="AA23" s="312">
        <v>0</v>
      </c>
      <c r="AB23" s="312">
        <v>0</v>
      </c>
      <c r="AC23" s="312">
        <v>0</v>
      </c>
      <c r="AD23" s="312">
        <v>0</v>
      </c>
      <c r="AE23" s="312">
        <v>0</v>
      </c>
      <c r="AF23" s="312">
        <v>0</v>
      </c>
      <c r="AG23" s="312">
        <v>0</v>
      </c>
      <c r="AH23" s="312">
        <v>0</v>
      </c>
      <c r="AI23" s="310"/>
      <c r="AJ23" s="310"/>
      <c r="AK23" s="310"/>
      <c r="AL23" s="310"/>
      <c r="AM23" s="310"/>
      <c r="AN23" s="310"/>
      <c r="AO23" s="310"/>
      <c r="AP23" s="310"/>
      <c r="AQ23" s="310"/>
      <c r="AR23" s="310"/>
      <c r="AS23" s="310"/>
      <c r="AT23" s="310"/>
      <c r="AU23" s="310"/>
      <c r="AV23" s="310"/>
      <c r="AW23" s="310"/>
      <c r="AX23" s="310"/>
      <c r="AY23" s="310"/>
      <c r="AZ23" s="310"/>
      <c r="BA23" s="310"/>
      <c r="BB23" s="310"/>
      <c r="BC23" s="310"/>
      <c r="BD23" s="310"/>
      <c r="BE23" s="310"/>
      <c r="BF23" s="310"/>
      <c r="BG23" s="310"/>
      <c r="BH23" s="310"/>
    </row>
    <row r="24" spans="1:60">
      <c r="A24" s="13"/>
      <c r="B24" s="13"/>
      <c r="C24" s="324"/>
      <c r="D24" s="23"/>
      <c r="E24" s="23"/>
      <c r="F24" s="313"/>
      <c r="G24" s="310"/>
      <c r="H24" s="310"/>
      <c r="I24" s="310"/>
      <c r="J24" s="310"/>
      <c r="K24" s="310"/>
      <c r="L24" s="310"/>
      <c r="M24" s="310"/>
      <c r="N24" s="310"/>
      <c r="O24" s="310"/>
      <c r="P24" s="310"/>
      <c r="Q24" s="310"/>
      <c r="R24" s="310"/>
      <c r="S24" s="310"/>
      <c r="T24" s="310"/>
      <c r="U24" s="310"/>
      <c r="V24" s="310"/>
      <c r="W24" s="310"/>
      <c r="X24" s="310"/>
      <c r="Y24" s="310"/>
      <c r="Z24" s="151"/>
      <c r="AA24" s="151"/>
      <c r="AB24" s="310"/>
      <c r="AC24" s="310"/>
      <c r="AD24" s="310"/>
      <c r="AE24" s="310"/>
      <c r="AF24" s="310"/>
      <c r="AG24" s="310"/>
      <c r="AH24" s="310"/>
      <c r="AI24" s="310"/>
      <c r="AJ24" s="310"/>
      <c r="AK24" s="310"/>
      <c r="AL24" s="310"/>
      <c r="AM24" s="310"/>
      <c r="AN24" s="310"/>
      <c r="AO24" s="310"/>
      <c r="AP24" s="310"/>
      <c r="AQ24" s="310"/>
      <c r="AR24" s="310"/>
      <c r="AS24" s="310"/>
      <c r="AT24" s="310"/>
      <c r="AU24" s="310"/>
      <c r="AV24" s="310"/>
      <c r="AW24" s="310"/>
      <c r="AX24" s="310"/>
      <c r="AY24" s="310"/>
      <c r="AZ24" s="310"/>
      <c r="BA24" s="310"/>
      <c r="BB24" s="310"/>
      <c r="BC24" s="310"/>
      <c r="BD24" s="310"/>
      <c r="BE24" s="310"/>
      <c r="BF24" s="310"/>
      <c r="BG24" s="310"/>
      <c r="BH24" s="310"/>
    </row>
    <row r="25" spans="1:60">
      <c r="A25" s="134" t="s">
        <v>150</v>
      </c>
      <c r="B25" s="13"/>
      <c r="C25" s="324">
        <f>SUM(C16,C20,C22,C23)</f>
        <v>104725.92392639755</v>
      </c>
      <c r="D25" s="23">
        <f>SUM(D16,D20,D22,D23)</f>
        <v>102196.0278478696</v>
      </c>
      <c r="E25" s="23">
        <f t="shared" ref="E25:AH25" si="3">SUM(E16,E20,E22,E23)</f>
        <v>98401.183730077668</v>
      </c>
      <c r="F25" s="23">
        <f t="shared" si="3"/>
        <v>94606.339612285738</v>
      </c>
      <c r="G25" s="23">
        <f t="shared" si="3"/>
        <v>90811.495494493822</v>
      </c>
      <c r="H25" s="23">
        <f t="shared" si="3"/>
        <v>87016.651376701891</v>
      </c>
      <c r="I25" s="23">
        <f t="shared" si="3"/>
        <v>83718.329925576632</v>
      </c>
      <c r="J25" s="23">
        <f t="shared" si="3"/>
        <v>80668.269807784702</v>
      </c>
      <c r="K25" s="23">
        <f t="shared" si="3"/>
        <v>77618.209689992771</v>
      </c>
      <c r="L25" s="23">
        <f t="shared" si="3"/>
        <v>74568.149572200855</v>
      </c>
      <c r="M25" s="23">
        <f t="shared" si="3"/>
        <v>71518.089454408924</v>
      </c>
      <c r="N25" s="23">
        <f t="shared" si="3"/>
        <v>68468.029336617008</v>
      </c>
      <c r="O25" s="23">
        <f t="shared" si="3"/>
        <v>65417.969218825077</v>
      </c>
      <c r="P25" s="23">
        <f t="shared" si="3"/>
        <v>62367.909101033154</v>
      </c>
      <c r="Q25" s="23">
        <f t="shared" si="3"/>
        <v>59317.848983241231</v>
      </c>
      <c r="R25" s="23">
        <f t="shared" si="3"/>
        <v>56267.788865449307</v>
      </c>
      <c r="S25" s="23">
        <f t="shared" si="3"/>
        <v>53217.728747657384</v>
      </c>
      <c r="T25" s="23">
        <f t="shared" si="3"/>
        <v>50167.66862986546</v>
      </c>
      <c r="U25" s="23">
        <f t="shared" si="3"/>
        <v>47117.608512073537</v>
      </c>
      <c r="V25" s="23">
        <f t="shared" si="3"/>
        <v>44067.548394281614</v>
      </c>
      <c r="W25" s="23">
        <f t="shared" si="3"/>
        <v>41017.48827648969</v>
      </c>
      <c r="X25" s="23">
        <f t="shared" si="3"/>
        <v>38000.761492031103</v>
      </c>
      <c r="Y25" s="23">
        <f t="shared" si="3"/>
        <v>35000.701374239172</v>
      </c>
      <c r="Z25" s="23">
        <f t="shared" si="3"/>
        <v>32000.641256447241</v>
      </c>
      <c r="AA25" s="23">
        <f t="shared" si="3"/>
        <v>29000.58113865531</v>
      </c>
      <c r="AB25" s="23">
        <f t="shared" si="3"/>
        <v>26000.52102086338</v>
      </c>
      <c r="AC25" s="23">
        <f t="shared" si="3"/>
        <v>23000.460903071449</v>
      </c>
      <c r="AD25" s="23">
        <f t="shared" si="3"/>
        <v>20000.400785279518</v>
      </c>
      <c r="AE25" s="23">
        <f t="shared" si="3"/>
        <v>17000.340667487588</v>
      </c>
      <c r="AF25" s="23">
        <f t="shared" si="3"/>
        <v>14000.280549695657</v>
      </c>
      <c r="AG25" s="23">
        <f t="shared" si="3"/>
        <v>11000.220431903726</v>
      </c>
      <c r="AH25" s="23">
        <f t="shared" si="3"/>
        <v>10000.200392639745</v>
      </c>
      <c r="AI25" s="310"/>
      <c r="AJ25" s="310"/>
      <c r="AK25" s="310"/>
      <c r="AL25" s="310"/>
      <c r="AM25" s="310"/>
      <c r="AN25" s="310"/>
      <c r="AO25" s="310"/>
      <c r="AP25" s="310"/>
      <c r="AQ25" s="310"/>
      <c r="AR25" s="310"/>
      <c r="AS25" s="310"/>
      <c r="AT25" s="310"/>
      <c r="AU25" s="310"/>
      <c r="AV25" s="310"/>
      <c r="AW25" s="310"/>
      <c r="AX25" s="310"/>
      <c r="AY25" s="310"/>
      <c r="AZ25" s="310"/>
      <c r="BA25" s="310"/>
      <c r="BB25" s="310"/>
      <c r="BC25" s="310"/>
      <c r="BD25" s="310"/>
      <c r="BE25" s="310"/>
      <c r="BF25" s="310"/>
      <c r="BG25" s="310"/>
      <c r="BH25" s="310"/>
    </row>
    <row r="26" spans="1:60">
      <c r="A26" s="13"/>
      <c r="B26" s="13"/>
      <c r="C26" s="324"/>
      <c r="D26" s="23"/>
      <c r="E26" s="23"/>
      <c r="F26" s="313"/>
      <c r="G26" s="310"/>
      <c r="H26" s="310"/>
      <c r="I26" s="310"/>
      <c r="J26" s="310"/>
      <c r="K26" s="310"/>
      <c r="L26" s="310"/>
      <c r="M26" s="310"/>
      <c r="N26" s="310"/>
      <c r="O26" s="310"/>
      <c r="P26" s="310"/>
      <c r="Q26" s="310"/>
      <c r="R26" s="310"/>
      <c r="S26" s="310"/>
      <c r="T26" s="310"/>
      <c r="U26" s="310"/>
      <c r="V26" s="310"/>
      <c r="W26" s="310"/>
      <c r="X26" s="310"/>
      <c r="Y26" s="310"/>
      <c r="Z26" s="151"/>
      <c r="AA26" s="151"/>
      <c r="AB26" s="310"/>
      <c r="AC26" s="310"/>
      <c r="AD26" s="310"/>
      <c r="AE26" s="310"/>
      <c r="AF26" s="310"/>
      <c r="AG26" s="310"/>
      <c r="AH26" s="310"/>
      <c r="AI26" s="310"/>
      <c r="AJ26" s="310"/>
      <c r="AK26" s="310"/>
      <c r="AL26" s="310"/>
      <c r="AM26" s="310"/>
      <c r="AN26" s="310"/>
      <c r="AO26" s="310"/>
      <c r="AP26" s="310"/>
      <c r="AQ26" s="310"/>
      <c r="AR26" s="310"/>
      <c r="AS26" s="310"/>
      <c r="AT26" s="310"/>
      <c r="AU26" s="310"/>
      <c r="AV26" s="310"/>
      <c r="AW26" s="310"/>
      <c r="AX26" s="310"/>
      <c r="AY26" s="310"/>
      <c r="AZ26" s="310"/>
      <c r="BA26" s="310"/>
      <c r="BB26" s="310"/>
      <c r="BC26" s="310"/>
      <c r="BD26" s="310"/>
      <c r="BE26" s="310"/>
      <c r="BF26" s="310"/>
      <c r="BG26" s="310"/>
      <c r="BH26" s="310"/>
    </row>
    <row r="27" spans="1:60">
      <c r="A27" s="13"/>
      <c r="B27" s="13"/>
      <c r="C27" s="324"/>
      <c r="D27" s="23"/>
      <c r="E27" s="23"/>
      <c r="F27" s="313"/>
      <c r="G27" s="310"/>
      <c r="H27" s="310"/>
      <c r="I27" s="310"/>
      <c r="J27" s="310"/>
      <c r="K27" s="310"/>
      <c r="L27" s="310"/>
      <c r="M27" s="310"/>
      <c r="N27" s="310"/>
      <c r="O27" s="310"/>
      <c r="P27" s="310"/>
      <c r="Q27" s="310"/>
      <c r="R27" s="310"/>
      <c r="S27" s="310"/>
      <c r="T27" s="310"/>
      <c r="U27" s="310"/>
      <c r="V27" s="310"/>
      <c r="W27" s="310"/>
      <c r="X27" s="310"/>
      <c r="Y27" s="310"/>
      <c r="Z27" s="151"/>
      <c r="AA27" s="151"/>
      <c r="AB27" s="310"/>
      <c r="AC27" s="310"/>
      <c r="AD27" s="310"/>
      <c r="AE27" s="310"/>
      <c r="AF27" s="310"/>
      <c r="AG27" s="310"/>
      <c r="AH27" s="310"/>
      <c r="AI27" s="310"/>
      <c r="AJ27" s="310"/>
      <c r="AK27" s="310"/>
      <c r="AL27" s="310"/>
      <c r="AM27" s="310"/>
      <c r="AN27" s="310"/>
      <c r="AO27" s="310"/>
      <c r="AP27" s="310"/>
      <c r="AQ27" s="310"/>
      <c r="AR27" s="310"/>
      <c r="AS27" s="310"/>
      <c r="AT27" s="310"/>
      <c r="AU27" s="310"/>
      <c r="AV27" s="310"/>
      <c r="AW27" s="310"/>
      <c r="AX27" s="310"/>
      <c r="AY27" s="310"/>
      <c r="AZ27" s="310"/>
      <c r="BA27" s="310"/>
      <c r="BB27" s="310"/>
      <c r="BC27" s="310"/>
      <c r="BD27" s="310"/>
      <c r="BE27" s="310"/>
      <c r="BF27" s="310"/>
      <c r="BG27" s="310"/>
      <c r="BH27" s="310"/>
    </row>
    <row r="28" spans="1:60">
      <c r="A28" s="134" t="s">
        <v>151</v>
      </c>
      <c r="B28" s="13"/>
      <c r="C28" s="324"/>
      <c r="D28" s="23"/>
      <c r="E28" s="23"/>
      <c r="F28" s="313"/>
      <c r="G28" s="310"/>
      <c r="H28" s="310"/>
      <c r="I28" s="310"/>
      <c r="J28" s="310"/>
      <c r="K28" s="310"/>
      <c r="L28" s="310"/>
      <c r="M28" s="310"/>
      <c r="N28" s="310"/>
      <c r="O28" s="310"/>
      <c r="P28" s="310"/>
      <c r="Q28" s="310"/>
      <c r="R28" s="310"/>
      <c r="S28" s="310"/>
      <c r="T28" s="310"/>
      <c r="U28" s="310"/>
      <c r="V28" s="310"/>
      <c r="W28" s="310"/>
      <c r="X28" s="310"/>
      <c r="Y28" s="310"/>
      <c r="Z28" s="151"/>
      <c r="AA28" s="151"/>
      <c r="AB28" s="310"/>
      <c r="AC28" s="310"/>
      <c r="AD28" s="310"/>
      <c r="AE28" s="310"/>
      <c r="AF28" s="310"/>
      <c r="AG28" s="310"/>
      <c r="AH28" s="310"/>
      <c r="AI28" s="310"/>
      <c r="AJ28" s="310"/>
      <c r="AK28" s="310"/>
      <c r="AL28" s="310"/>
      <c r="AM28" s="310"/>
      <c r="AN28" s="310"/>
      <c r="AO28" s="310"/>
      <c r="AP28" s="310"/>
      <c r="AQ28" s="310"/>
      <c r="AR28" s="310"/>
      <c r="AS28" s="310"/>
      <c r="AT28" s="310"/>
      <c r="AU28" s="310"/>
      <c r="AV28" s="310"/>
      <c r="AW28" s="310"/>
      <c r="AX28" s="310"/>
      <c r="AY28" s="310"/>
      <c r="AZ28" s="310"/>
      <c r="BA28" s="310"/>
      <c r="BB28" s="310"/>
      <c r="BC28" s="310"/>
      <c r="BD28" s="310"/>
      <c r="BE28" s="310"/>
      <c r="BF28" s="310"/>
      <c r="BG28" s="310"/>
      <c r="BH28" s="310"/>
    </row>
    <row r="29" spans="1:60">
      <c r="A29" s="134"/>
      <c r="B29" s="13"/>
      <c r="C29" s="324"/>
      <c r="D29" s="23"/>
      <c r="E29" s="23"/>
      <c r="F29" s="313"/>
      <c r="G29" s="310"/>
      <c r="H29" s="310"/>
      <c r="I29" s="310"/>
      <c r="J29" s="310"/>
      <c r="K29" s="310"/>
      <c r="L29" s="310"/>
      <c r="M29" s="310"/>
      <c r="N29" s="310"/>
      <c r="O29" s="310"/>
      <c r="P29" s="310"/>
      <c r="Q29" s="310"/>
      <c r="R29" s="310"/>
      <c r="S29" s="310"/>
      <c r="T29" s="310"/>
      <c r="U29" s="310"/>
      <c r="V29" s="310"/>
      <c r="W29" s="310"/>
      <c r="X29" s="310"/>
      <c r="Y29" s="310"/>
      <c r="Z29" s="151"/>
      <c r="AA29" s="151"/>
      <c r="AB29" s="310"/>
      <c r="AC29" s="310"/>
      <c r="AD29" s="310"/>
      <c r="AE29" s="310"/>
      <c r="AF29" s="310"/>
      <c r="AG29" s="310"/>
      <c r="AH29" s="310"/>
      <c r="AI29" s="310"/>
      <c r="AJ29" s="310"/>
      <c r="AK29" s="310"/>
      <c r="AL29" s="310"/>
      <c r="AM29" s="310"/>
      <c r="AN29" s="310"/>
      <c r="AO29" s="310"/>
      <c r="AP29" s="310"/>
      <c r="AQ29" s="310"/>
      <c r="AR29" s="310"/>
      <c r="AS29" s="310"/>
      <c r="AT29" s="310"/>
      <c r="AU29" s="310"/>
      <c r="AV29" s="310"/>
      <c r="AW29" s="310"/>
      <c r="AX29" s="310"/>
      <c r="AY29" s="310"/>
      <c r="AZ29" s="310"/>
      <c r="BA29" s="310"/>
      <c r="BB29" s="310"/>
      <c r="BC29" s="310"/>
      <c r="BD29" s="310"/>
      <c r="BE29" s="310"/>
      <c r="BF29" s="310"/>
      <c r="BG29" s="310"/>
      <c r="BH29" s="310"/>
    </row>
    <row r="30" spans="1:60">
      <c r="A30" s="23" t="s">
        <v>152</v>
      </c>
      <c r="C30" s="321">
        <v>0</v>
      </c>
      <c r="D30" s="18">
        <v>0</v>
      </c>
      <c r="E30" s="18">
        <v>0</v>
      </c>
      <c r="F30" s="18">
        <v>0</v>
      </c>
      <c r="G30" s="18">
        <v>0</v>
      </c>
      <c r="H30" s="18">
        <v>0</v>
      </c>
      <c r="I30" s="18">
        <v>0</v>
      </c>
      <c r="J30" s="18">
        <v>0</v>
      </c>
      <c r="K30" s="18">
        <v>0</v>
      </c>
      <c r="L30" s="18">
        <v>0</v>
      </c>
      <c r="M30" s="18">
        <v>0</v>
      </c>
      <c r="N30" s="18">
        <v>0</v>
      </c>
      <c r="O30" s="18">
        <v>0</v>
      </c>
      <c r="P30" s="18">
        <v>0</v>
      </c>
      <c r="Q30" s="18">
        <v>0</v>
      </c>
      <c r="R30" s="18">
        <v>0</v>
      </c>
      <c r="S30" s="18">
        <v>0</v>
      </c>
      <c r="T30" s="18">
        <v>0</v>
      </c>
      <c r="U30" s="18">
        <v>0</v>
      </c>
      <c r="V30" s="18">
        <v>0</v>
      </c>
      <c r="W30" s="18">
        <v>0</v>
      </c>
      <c r="X30" s="18">
        <v>0</v>
      </c>
      <c r="Y30" s="18">
        <v>0</v>
      </c>
      <c r="Z30" s="18">
        <v>0</v>
      </c>
      <c r="AA30" s="18">
        <v>0</v>
      </c>
      <c r="AB30" s="18">
        <v>0</v>
      </c>
      <c r="AC30" s="18">
        <v>0</v>
      </c>
      <c r="AD30" s="18">
        <v>0</v>
      </c>
      <c r="AE30" s="18">
        <v>0</v>
      </c>
      <c r="AF30" s="18">
        <v>0</v>
      </c>
      <c r="AG30" s="18">
        <v>0</v>
      </c>
      <c r="AH30" s="18">
        <v>0</v>
      </c>
      <c r="AI30" s="310"/>
      <c r="AJ30" s="310"/>
      <c r="AK30" s="310"/>
      <c r="AL30" s="310"/>
      <c r="AM30" s="310"/>
      <c r="AN30" s="310"/>
      <c r="AO30" s="310"/>
      <c r="AP30" s="310"/>
      <c r="AQ30" s="310"/>
      <c r="AR30" s="310"/>
      <c r="AS30" s="310"/>
      <c r="AT30" s="310"/>
      <c r="AU30" s="310"/>
      <c r="AV30" s="310"/>
      <c r="AW30" s="310"/>
      <c r="AX30" s="310"/>
      <c r="AY30" s="310"/>
      <c r="AZ30" s="310"/>
      <c r="BA30" s="310"/>
      <c r="BB30" s="310"/>
      <c r="BC30" s="310"/>
      <c r="BD30" s="310"/>
      <c r="BE30" s="310"/>
      <c r="BF30" s="310"/>
      <c r="BG30" s="310"/>
      <c r="BH30" s="310"/>
    </row>
    <row r="31" spans="1:60">
      <c r="A31" s="23" t="s">
        <v>153</v>
      </c>
      <c r="C31" s="321">
        <v>0</v>
      </c>
      <c r="D31" s="18">
        <v>0</v>
      </c>
      <c r="E31" s="18">
        <v>0</v>
      </c>
      <c r="F31" s="18">
        <v>0</v>
      </c>
      <c r="G31" s="18">
        <v>0</v>
      </c>
      <c r="H31" s="18">
        <v>0</v>
      </c>
      <c r="I31" s="18">
        <v>0</v>
      </c>
      <c r="J31" s="18">
        <v>0</v>
      </c>
      <c r="K31" s="18">
        <v>0</v>
      </c>
      <c r="L31" s="18">
        <v>0</v>
      </c>
      <c r="M31" s="18">
        <v>0</v>
      </c>
      <c r="N31" s="18">
        <v>0</v>
      </c>
      <c r="O31" s="18">
        <v>0</v>
      </c>
      <c r="P31" s="18">
        <v>0</v>
      </c>
      <c r="Q31" s="18">
        <v>0</v>
      </c>
      <c r="R31" s="18">
        <v>0</v>
      </c>
      <c r="S31" s="18">
        <v>0</v>
      </c>
      <c r="T31" s="18">
        <v>0</v>
      </c>
      <c r="U31" s="18">
        <v>0</v>
      </c>
      <c r="V31" s="18">
        <v>0</v>
      </c>
      <c r="W31" s="18">
        <v>0</v>
      </c>
      <c r="X31" s="18">
        <v>0</v>
      </c>
      <c r="Y31" s="18">
        <v>0</v>
      </c>
      <c r="Z31" s="18">
        <v>0</v>
      </c>
      <c r="AA31" s="18">
        <v>0</v>
      </c>
      <c r="AB31" s="18">
        <v>0</v>
      </c>
      <c r="AC31" s="18">
        <v>0</v>
      </c>
      <c r="AD31" s="18">
        <v>0</v>
      </c>
      <c r="AE31" s="18">
        <v>0</v>
      </c>
      <c r="AF31" s="18">
        <v>0</v>
      </c>
      <c r="AG31" s="18">
        <v>0</v>
      </c>
      <c r="AH31" s="18">
        <v>0</v>
      </c>
      <c r="AI31" s="310"/>
      <c r="AJ31" s="310"/>
      <c r="AK31" s="310"/>
      <c r="AL31" s="310"/>
      <c r="AM31" s="310"/>
      <c r="AN31" s="310"/>
      <c r="AO31" s="310"/>
      <c r="AP31" s="310"/>
      <c r="AQ31" s="310"/>
      <c r="AR31" s="310"/>
      <c r="AS31" s="310"/>
      <c r="AT31" s="310"/>
      <c r="AU31" s="310"/>
      <c r="AV31" s="310"/>
      <c r="AW31" s="310"/>
      <c r="AX31" s="310"/>
      <c r="AY31" s="310"/>
      <c r="AZ31" s="310"/>
      <c r="BA31" s="310"/>
      <c r="BB31" s="310"/>
      <c r="BC31" s="310"/>
      <c r="BD31" s="310"/>
      <c r="BE31" s="310"/>
      <c r="BF31" s="310"/>
      <c r="BG31" s="310"/>
      <c r="BH31" s="310"/>
    </row>
    <row r="32" spans="1:60">
      <c r="A32" s="23" t="s">
        <v>154</v>
      </c>
      <c r="C32" s="324">
        <v>0</v>
      </c>
      <c r="D32" s="23" t="e">
        <f>C32+('Returns Analysis'!C15+'Returns Analysis'!#REF!)+(IS!C44+IS!C45)</f>
        <v>#REF!</v>
      </c>
      <c r="E32" s="23" t="e">
        <f>D32+('Returns Analysis'!D15+'Returns Analysis'!#REF!)+(IS!D44+IS!D45)</f>
        <v>#REF!</v>
      </c>
      <c r="F32" s="23" t="e">
        <f>E32+('Returns Analysis'!E15+'Returns Analysis'!#REF!)+(IS!E44+IS!E45)</f>
        <v>#REF!</v>
      </c>
      <c r="G32" s="23" t="e">
        <f>F32+('Returns Analysis'!F15+'Returns Analysis'!#REF!)+(IS!F44+IS!F45)</f>
        <v>#REF!</v>
      </c>
      <c r="H32" s="23" t="e">
        <f>G32+('Returns Analysis'!G15+'Returns Analysis'!#REF!)+(IS!G44+IS!G45)</f>
        <v>#REF!</v>
      </c>
      <c r="I32" s="23" t="e">
        <f>H32+('Returns Analysis'!H15+'Returns Analysis'!#REF!)+(IS!H44+IS!H45)</f>
        <v>#REF!</v>
      </c>
      <c r="J32" s="23" t="e">
        <f>I32+('Returns Analysis'!I15+'Returns Analysis'!#REF!)+(IS!I44+IS!I45)</f>
        <v>#REF!</v>
      </c>
      <c r="K32" s="23" t="e">
        <f>J32+('Returns Analysis'!J15+'Returns Analysis'!#REF!)+(IS!J44+IS!J45)</f>
        <v>#REF!</v>
      </c>
      <c r="L32" s="23" t="e">
        <f>K32+('Returns Analysis'!K15+'Returns Analysis'!#REF!)+(IS!K44+IS!K45)</f>
        <v>#REF!</v>
      </c>
      <c r="M32" s="23" t="e">
        <f>L32+('Returns Analysis'!L15+'Returns Analysis'!#REF!)+(IS!L44+IS!L45)</f>
        <v>#REF!</v>
      </c>
      <c r="N32" s="23" t="e">
        <f>M32+('Returns Analysis'!M15+'Returns Analysis'!#REF!)+(IS!M44+IS!M45)</f>
        <v>#REF!</v>
      </c>
      <c r="O32" s="23" t="e">
        <f>N32+('Returns Analysis'!N15+'Returns Analysis'!#REF!)+(IS!N44+IS!N45)</f>
        <v>#REF!</v>
      </c>
      <c r="P32" s="23" t="e">
        <f>O32+('Returns Analysis'!O15+'Returns Analysis'!#REF!)+(IS!O44+IS!O45)</f>
        <v>#REF!</v>
      </c>
      <c r="Q32" s="23" t="e">
        <f>P32+('Returns Analysis'!P15+'Returns Analysis'!#REF!)+(IS!P44+IS!P45)</f>
        <v>#REF!</v>
      </c>
      <c r="R32" s="23" t="e">
        <f>Q32+('Returns Analysis'!Q15+'Returns Analysis'!#REF!)+(IS!Q44+IS!Q45)</f>
        <v>#REF!</v>
      </c>
      <c r="S32" s="23" t="e">
        <f>R32+('Returns Analysis'!R15+'Returns Analysis'!#REF!)+(IS!R44+IS!R45)</f>
        <v>#REF!</v>
      </c>
      <c r="T32" s="23" t="e">
        <f>S32+('Returns Analysis'!S15+'Returns Analysis'!#REF!)+(IS!S44+IS!S45)</f>
        <v>#REF!</v>
      </c>
      <c r="U32" s="23" t="e">
        <f>T32+('Returns Analysis'!T15+'Returns Analysis'!#REF!)+(IS!T44+IS!T45)</f>
        <v>#REF!</v>
      </c>
      <c r="V32" s="23" t="e">
        <f>U32+('Returns Analysis'!U15+'Returns Analysis'!#REF!)+(IS!U44+IS!U45)</f>
        <v>#REF!</v>
      </c>
      <c r="W32" s="23" t="e">
        <f>V32+('Returns Analysis'!V15+'Returns Analysis'!#REF!)+(IS!V44+IS!V45)</f>
        <v>#REF!</v>
      </c>
      <c r="X32" s="23" t="e">
        <f>W32+('Returns Analysis'!W15+'Returns Analysis'!#REF!)+(IS!W44+IS!W45)</f>
        <v>#REF!</v>
      </c>
      <c r="Y32" s="23" t="e">
        <f>X32+('Returns Analysis'!X15+'Returns Analysis'!#REF!)+(IS!X44+IS!X45)</f>
        <v>#REF!</v>
      </c>
      <c r="Z32" s="23" t="e">
        <f>Y32+('Returns Analysis'!Y15+'Returns Analysis'!#REF!)+(IS!Y44+IS!Y45)</f>
        <v>#REF!</v>
      </c>
      <c r="AA32" s="23" t="e">
        <f>Z32+('Returns Analysis'!Z15+'Returns Analysis'!#REF!)+(IS!Z44+IS!Z45)</f>
        <v>#REF!</v>
      </c>
      <c r="AB32" s="23" t="e">
        <f>AA32+('Returns Analysis'!AA15+'Returns Analysis'!#REF!)+(IS!AA44+IS!AA45)</f>
        <v>#REF!</v>
      </c>
      <c r="AC32" s="23" t="e">
        <f>AB32+('Returns Analysis'!AB15+'Returns Analysis'!#REF!)+(IS!AB44+IS!AB45)</f>
        <v>#REF!</v>
      </c>
      <c r="AD32" s="23" t="e">
        <f>AC32+('Returns Analysis'!AC15+'Returns Analysis'!#REF!)+(IS!AC44+IS!AC45)</f>
        <v>#REF!</v>
      </c>
      <c r="AE32" s="23" t="e">
        <f>AD32+('Returns Analysis'!AD15+'Returns Analysis'!#REF!)+(IS!AD44+IS!AD45)</f>
        <v>#REF!</v>
      </c>
      <c r="AF32" s="23" t="e">
        <f>AE32+('Returns Analysis'!AE15+'Returns Analysis'!#REF!)+(IS!AE44+IS!AE45)</f>
        <v>#REF!</v>
      </c>
      <c r="AG32" s="23" t="e">
        <f>AF32+('Returns Analysis'!AF15+'Returns Analysis'!#REF!)+(IS!AF44+IS!AF45)</f>
        <v>#REF!</v>
      </c>
      <c r="AH32" s="23" t="e">
        <f>AG32+('Returns Analysis'!AG15+'Returns Analysis'!#REF!)+(IS!AG44+IS!AG45)</f>
        <v>#REF!</v>
      </c>
      <c r="AI32" s="310"/>
      <c r="AJ32" s="310"/>
      <c r="AK32" s="310"/>
      <c r="AL32" s="310"/>
      <c r="AM32" s="310"/>
      <c r="AN32" s="310"/>
      <c r="AO32" s="310"/>
      <c r="AP32" s="310"/>
      <c r="AQ32" s="310"/>
      <c r="AR32" s="310"/>
      <c r="AS32" s="310"/>
      <c r="AT32" s="310"/>
      <c r="AU32" s="310"/>
      <c r="AV32" s="310"/>
      <c r="AW32" s="310"/>
      <c r="AX32" s="310"/>
      <c r="AY32" s="310"/>
      <c r="AZ32" s="310"/>
      <c r="BA32" s="310"/>
      <c r="BB32" s="310"/>
      <c r="BC32" s="310"/>
      <c r="BD32" s="310"/>
      <c r="BE32" s="310"/>
      <c r="BF32" s="310"/>
      <c r="BG32" s="310"/>
      <c r="BH32" s="310"/>
    </row>
    <row r="33" spans="1:60">
      <c r="A33" s="23" t="s">
        <v>155</v>
      </c>
      <c r="C33" s="321">
        <v>0</v>
      </c>
      <c r="D33" s="18">
        <f>Assumptions!$C$47</f>
        <v>0</v>
      </c>
      <c r="E33" s="18">
        <f>Assumptions!$C$47</f>
        <v>0</v>
      </c>
      <c r="F33" s="18">
        <f>Assumptions!$C$47</f>
        <v>0</v>
      </c>
      <c r="G33" s="18">
        <f>Assumptions!$C$47</f>
        <v>0</v>
      </c>
      <c r="H33" s="18">
        <f>Assumptions!$C$47</f>
        <v>0</v>
      </c>
      <c r="I33" s="18">
        <f>Assumptions!$C$47</f>
        <v>0</v>
      </c>
      <c r="J33" s="18">
        <f>Assumptions!$C$47</f>
        <v>0</v>
      </c>
      <c r="K33" s="18">
        <f>Assumptions!$C$47</f>
        <v>0</v>
      </c>
      <c r="L33" s="18">
        <f>Assumptions!$C$47</f>
        <v>0</v>
      </c>
      <c r="M33" s="18">
        <f>Assumptions!$C$47</f>
        <v>0</v>
      </c>
      <c r="N33" s="18">
        <f>Assumptions!$C$47</f>
        <v>0</v>
      </c>
      <c r="O33" s="18">
        <f>Assumptions!$C$47</f>
        <v>0</v>
      </c>
      <c r="P33" s="18">
        <f>Assumptions!$C$47</f>
        <v>0</v>
      </c>
      <c r="Q33" s="18">
        <f>Assumptions!$C$47</f>
        <v>0</v>
      </c>
      <c r="R33" s="18">
        <f>Assumptions!$C$47</f>
        <v>0</v>
      </c>
      <c r="S33" s="18">
        <f>Assumptions!$C$47</f>
        <v>0</v>
      </c>
      <c r="T33" s="18">
        <f>Assumptions!$C$47</f>
        <v>0</v>
      </c>
      <c r="U33" s="18">
        <f>Assumptions!$C$47</f>
        <v>0</v>
      </c>
      <c r="V33" s="18">
        <f>Assumptions!$C$47</f>
        <v>0</v>
      </c>
      <c r="W33" s="18">
        <f>Assumptions!$C$47</f>
        <v>0</v>
      </c>
      <c r="X33" s="18">
        <f>Assumptions!$C$47</f>
        <v>0</v>
      </c>
      <c r="Y33" s="18">
        <f>Assumptions!$C$47</f>
        <v>0</v>
      </c>
      <c r="Z33" s="18">
        <f>Assumptions!$C$47</f>
        <v>0</v>
      </c>
      <c r="AA33" s="18">
        <f>Assumptions!$C$47</f>
        <v>0</v>
      </c>
      <c r="AB33" s="18">
        <f>Assumptions!$C$47</f>
        <v>0</v>
      </c>
      <c r="AC33" s="18">
        <f>Assumptions!$C$47</f>
        <v>0</v>
      </c>
      <c r="AD33" s="18">
        <f>Assumptions!$C$47</f>
        <v>0</v>
      </c>
      <c r="AE33" s="18">
        <f>Assumptions!$C$47</f>
        <v>0</v>
      </c>
      <c r="AF33" s="18">
        <f>Assumptions!$C$47</f>
        <v>0</v>
      </c>
      <c r="AG33" s="18">
        <f>Assumptions!$C$47</f>
        <v>0</v>
      </c>
      <c r="AH33" s="18">
        <f>Assumptions!$C$47</f>
        <v>0</v>
      </c>
      <c r="AI33" s="310"/>
      <c r="AJ33" s="310"/>
      <c r="AK33" s="310"/>
      <c r="AL33" s="310"/>
      <c r="AM33" s="310"/>
      <c r="AN33" s="310"/>
      <c r="AO33" s="310"/>
      <c r="AP33" s="310"/>
      <c r="AQ33" s="310"/>
      <c r="AR33" s="310"/>
      <c r="AS33" s="310"/>
      <c r="AT33" s="310"/>
      <c r="AU33" s="310"/>
      <c r="AV33" s="310"/>
      <c r="AW33" s="310"/>
      <c r="AX33" s="310"/>
      <c r="AY33" s="310"/>
      <c r="AZ33" s="310"/>
      <c r="BA33" s="310"/>
      <c r="BB33" s="310"/>
      <c r="BC33" s="310"/>
      <c r="BD33" s="310"/>
      <c r="BE33" s="310"/>
      <c r="BF33" s="310"/>
      <c r="BG33" s="310"/>
      <c r="BH33" s="310"/>
    </row>
    <row r="34" spans="1:60">
      <c r="A34" s="23" t="s">
        <v>156</v>
      </c>
      <c r="C34" s="324">
        <f>Assumptions!C12</f>
        <v>74290.854647447763</v>
      </c>
      <c r="D34" s="23" t="e">
        <f>Debt!#REF!+Debt!#REF!+Debt!#REF!</f>
        <v>#REF!</v>
      </c>
      <c r="E34" s="23" t="e">
        <f>Debt!#REF!+Debt!#REF!+Debt!#REF!</f>
        <v>#REF!</v>
      </c>
      <c r="F34" s="23" t="e">
        <f>Debt!#REF!+Debt!#REF!+Debt!#REF!</f>
        <v>#REF!</v>
      </c>
      <c r="G34" s="23" t="e">
        <f>Debt!#REF!+Debt!#REF!+Debt!#REF!</f>
        <v>#REF!</v>
      </c>
      <c r="H34" s="23" t="e">
        <f>Debt!#REF!+Debt!#REF!+Debt!#REF!</f>
        <v>#REF!</v>
      </c>
      <c r="I34" s="23" t="e">
        <f>Debt!#REF!+Debt!#REF!+Debt!#REF!</f>
        <v>#REF!</v>
      </c>
      <c r="J34" s="23" t="e">
        <f>Debt!#REF!+Debt!#REF!+Debt!#REF!</f>
        <v>#REF!</v>
      </c>
      <c r="K34" s="23" t="e">
        <f>Debt!#REF!+Debt!#REF!+Debt!#REF!</f>
        <v>#REF!</v>
      </c>
      <c r="L34" s="23" t="e">
        <f>Debt!#REF!+Debt!#REF!+Debt!#REF!</f>
        <v>#REF!</v>
      </c>
      <c r="M34" s="23" t="e">
        <f>Debt!#REF!+Debt!#REF!+Debt!#REF!</f>
        <v>#REF!</v>
      </c>
      <c r="N34" s="23" t="e">
        <f>Debt!#REF!+Debt!#REF!+Debt!#REF!</f>
        <v>#REF!</v>
      </c>
      <c r="O34" s="23" t="e">
        <f>Debt!#REF!+Debt!#REF!+Debt!#REF!</f>
        <v>#REF!</v>
      </c>
      <c r="P34" s="23" t="e">
        <f>Debt!#REF!+Debt!#REF!+Debt!#REF!</f>
        <v>#REF!</v>
      </c>
      <c r="Q34" s="23" t="e">
        <f>Debt!#REF!+Debt!#REF!+Debt!#REF!</f>
        <v>#REF!</v>
      </c>
      <c r="R34" s="23" t="e">
        <f>Debt!#REF!+Debt!#REF!+Debt!#REF!</f>
        <v>#REF!</v>
      </c>
      <c r="S34" s="23" t="e">
        <f>Debt!#REF!+Debt!#REF!+Debt!#REF!</f>
        <v>#REF!</v>
      </c>
      <c r="T34" s="23" t="e">
        <f>Debt!#REF!+Debt!#REF!+Debt!#REF!</f>
        <v>#REF!</v>
      </c>
      <c r="U34" s="23" t="e">
        <f>Debt!#REF!+Debt!#REF!+Debt!#REF!</f>
        <v>#REF!</v>
      </c>
      <c r="V34" s="23" t="e">
        <f>Debt!#REF!+Debt!#REF!+Debt!#REF!</f>
        <v>#REF!</v>
      </c>
      <c r="W34" s="23" t="e">
        <f>Debt!#REF!+Debt!#REF!+Debt!#REF!</f>
        <v>#REF!</v>
      </c>
      <c r="X34" s="23" t="e">
        <f>Debt!#REF!+Debt!#REF!+Debt!#REF!</f>
        <v>#REF!</v>
      </c>
      <c r="Y34" s="23" t="e">
        <f>Debt!#REF!+Debt!#REF!+Debt!#REF!</f>
        <v>#REF!</v>
      </c>
      <c r="Z34" s="23" t="e">
        <f>Debt!#REF!+Debt!#REF!+Debt!#REF!</f>
        <v>#REF!</v>
      </c>
      <c r="AA34" s="23" t="e">
        <f>Debt!#REF!+Debt!#REF!+Debt!#REF!</f>
        <v>#REF!</v>
      </c>
      <c r="AB34" s="23" t="e">
        <f>Debt!#REF!+Debt!#REF!+Debt!#REF!</f>
        <v>#REF!</v>
      </c>
      <c r="AC34" s="23" t="e">
        <f>Debt!#REF!+Debt!#REF!+Debt!#REF!</f>
        <v>#REF!</v>
      </c>
      <c r="AD34" s="23" t="e">
        <f>Debt!#REF!+Debt!#REF!+Debt!#REF!</f>
        <v>#REF!</v>
      </c>
      <c r="AE34" s="23" t="e">
        <f>Debt!#REF!+Debt!#REF!+Debt!#REF!</f>
        <v>#REF!</v>
      </c>
      <c r="AF34" s="23" t="e">
        <f>Debt!#REF!+Debt!#REF!+Debt!#REF!</f>
        <v>#REF!</v>
      </c>
      <c r="AG34" s="23" t="e">
        <f>Debt!#REF!+Debt!#REF!+Debt!#REF!</f>
        <v>#REF!</v>
      </c>
      <c r="AH34" s="23" t="e">
        <f>Debt!#REF!+Debt!#REF!+Debt!#REF!</f>
        <v>#REF!</v>
      </c>
      <c r="AI34" s="310"/>
      <c r="AJ34" s="310"/>
      <c r="AK34" s="310"/>
      <c r="AL34" s="310"/>
      <c r="AM34" s="310"/>
      <c r="AN34" s="310"/>
      <c r="AO34" s="310"/>
      <c r="AP34" s="310"/>
      <c r="AQ34" s="310"/>
      <c r="AR34" s="310"/>
      <c r="AS34" s="310"/>
      <c r="AT34" s="310"/>
      <c r="AU34" s="310"/>
      <c r="AV34" s="310"/>
      <c r="AW34" s="310"/>
      <c r="AX34" s="310"/>
      <c r="AY34" s="310"/>
      <c r="AZ34" s="310"/>
      <c r="BA34" s="310"/>
      <c r="BB34" s="310"/>
      <c r="BC34" s="310"/>
      <c r="BD34" s="310"/>
      <c r="BE34" s="310"/>
      <c r="BF34" s="310"/>
      <c r="BG34" s="310"/>
      <c r="BH34" s="310"/>
    </row>
    <row r="35" spans="1:60">
      <c r="A35" s="23" t="s">
        <v>157</v>
      </c>
      <c r="C35" s="323">
        <v>0</v>
      </c>
      <c r="D35" s="311">
        <v>0</v>
      </c>
      <c r="E35" s="311">
        <v>0</v>
      </c>
      <c r="F35" s="314">
        <v>0</v>
      </c>
      <c r="G35" s="315">
        <v>0</v>
      </c>
      <c r="H35" s="315">
        <v>0</v>
      </c>
      <c r="I35" s="315">
        <v>0</v>
      </c>
      <c r="J35" s="315">
        <v>0</v>
      </c>
      <c r="K35" s="315">
        <v>0</v>
      </c>
      <c r="L35" s="315">
        <v>0</v>
      </c>
      <c r="M35" s="315">
        <v>0</v>
      </c>
      <c r="N35" s="315">
        <v>0</v>
      </c>
      <c r="O35" s="315">
        <v>0</v>
      </c>
      <c r="P35" s="315">
        <v>0</v>
      </c>
      <c r="Q35" s="315">
        <v>0</v>
      </c>
      <c r="R35" s="315">
        <v>0</v>
      </c>
      <c r="S35" s="315">
        <v>0</v>
      </c>
      <c r="T35" s="315">
        <v>0</v>
      </c>
      <c r="U35" s="315">
        <v>0</v>
      </c>
      <c r="V35" s="315">
        <v>0</v>
      </c>
      <c r="W35" s="315">
        <v>0</v>
      </c>
      <c r="X35" s="315">
        <v>0</v>
      </c>
      <c r="Y35" s="315">
        <v>0</v>
      </c>
      <c r="Z35" s="316">
        <v>0</v>
      </c>
      <c r="AA35" s="316">
        <v>0</v>
      </c>
      <c r="AB35" s="315">
        <v>0</v>
      </c>
      <c r="AC35" s="315">
        <v>0</v>
      </c>
      <c r="AD35" s="315">
        <v>0</v>
      </c>
      <c r="AE35" s="315">
        <v>0</v>
      </c>
      <c r="AF35" s="315">
        <v>0</v>
      </c>
      <c r="AG35" s="315">
        <v>0</v>
      </c>
      <c r="AH35" s="315">
        <v>0</v>
      </c>
      <c r="AI35" s="310"/>
      <c r="AJ35" s="310"/>
      <c r="AK35" s="310"/>
      <c r="AL35" s="310"/>
      <c r="AM35" s="310"/>
      <c r="AN35" s="310"/>
      <c r="AO35" s="310"/>
      <c r="AP35" s="310"/>
      <c r="AQ35" s="310"/>
      <c r="AR35" s="310"/>
      <c r="AS35" s="310"/>
      <c r="AT35" s="310"/>
      <c r="AU35" s="310"/>
      <c r="AV35" s="310"/>
      <c r="AW35" s="310"/>
      <c r="AX35" s="310"/>
      <c r="AY35" s="310"/>
      <c r="AZ35" s="310"/>
      <c r="BA35" s="310"/>
      <c r="BB35" s="310"/>
      <c r="BC35" s="310"/>
      <c r="BD35" s="310"/>
      <c r="BE35" s="310"/>
      <c r="BF35" s="310"/>
      <c r="BG35" s="310"/>
      <c r="BH35" s="310"/>
    </row>
    <row r="36" spans="1:60">
      <c r="A36" s="23"/>
      <c r="C36" s="324"/>
      <c r="D36" s="23"/>
      <c r="E36" s="23"/>
      <c r="F36" s="313"/>
      <c r="G36" s="310"/>
      <c r="H36" s="310"/>
      <c r="I36" s="310"/>
      <c r="J36" s="310"/>
      <c r="K36" s="310"/>
      <c r="L36" s="310"/>
      <c r="M36" s="310"/>
      <c r="N36" s="310"/>
      <c r="O36" s="310"/>
      <c r="P36" s="310"/>
      <c r="Q36" s="310"/>
      <c r="R36" s="310"/>
      <c r="S36" s="310"/>
      <c r="T36" s="310"/>
      <c r="U36" s="310"/>
      <c r="V36" s="310"/>
      <c r="W36" s="310"/>
      <c r="X36" s="310"/>
      <c r="Y36" s="310"/>
      <c r="Z36" s="151"/>
      <c r="AA36" s="151"/>
      <c r="AB36" s="310"/>
      <c r="AC36" s="310"/>
      <c r="AD36" s="310"/>
      <c r="AE36" s="310"/>
      <c r="AF36" s="310"/>
      <c r="AG36" s="310"/>
      <c r="AH36" s="310"/>
      <c r="AI36" s="310"/>
      <c r="AJ36" s="310"/>
      <c r="AK36" s="310"/>
      <c r="AL36" s="310"/>
      <c r="AM36" s="310"/>
      <c r="AN36" s="310"/>
      <c r="AO36" s="310"/>
      <c r="AP36" s="310"/>
      <c r="AQ36" s="310"/>
      <c r="AR36" s="310"/>
      <c r="AS36" s="310"/>
      <c r="AT36" s="310"/>
      <c r="AU36" s="310"/>
      <c r="AV36" s="310"/>
      <c r="AW36" s="310"/>
      <c r="AX36" s="310"/>
      <c r="AY36" s="310"/>
      <c r="AZ36" s="310"/>
      <c r="BA36" s="310"/>
      <c r="BB36" s="310"/>
      <c r="BC36" s="310"/>
      <c r="BD36" s="310"/>
      <c r="BE36" s="310"/>
      <c r="BF36" s="310"/>
      <c r="BG36" s="310"/>
      <c r="BH36" s="310"/>
    </row>
    <row r="37" spans="1:60">
      <c r="A37" s="134" t="s">
        <v>158</v>
      </c>
      <c r="B37" s="13"/>
      <c r="C37" s="324">
        <f>SUM(C30:C35)</f>
        <v>74290.854647447763</v>
      </c>
      <c r="D37" s="23" t="e">
        <f>SUM(D30:D35)</f>
        <v>#REF!</v>
      </c>
      <c r="E37" s="23" t="e">
        <f t="shared" ref="E37:AH37" si="4">SUM(E30:E35)</f>
        <v>#REF!</v>
      </c>
      <c r="F37" s="23" t="e">
        <f t="shared" si="4"/>
        <v>#REF!</v>
      </c>
      <c r="G37" s="23" t="e">
        <f t="shared" si="4"/>
        <v>#REF!</v>
      </c>
      <c r="H37" s="23" t="e">
        <f t="shared" si="4"/>
        <v>#REF!</v>
      </c>
      <c r="I37" s="23" t="e">
        <f t="shared" si="4"/>
        <v>#REF!</v>
      </c>
      <c r="J37" s="23" t="e">
        <f t="shared" si="4"/>
        <v>#REF!</v>
      </c>
      <c r="K37" s="23" t="e">
        <f t="shared" si="4"/>
        <v>#REF!</v>
      </c>
      <c r="L37" s="23" t="e">
        <f t="shared" si="4"/>
        <v>#REF!</v>
      </c>
      <c r="M37" s="23" t="e">
        <f t="shared" si="4"/>
        <v>#REF!</v>
      </c>
      <c r="N37" s="23" t="e">
        <f t="shared" si="4"/>
        <v>#REF!</v>
      </c>
      <c r="O37" s="23" t="e">
        <f t="shared" si="4"/>
        <v>#REF!</v>
      </c>
      <c r="P37" s="23" t="e">
        <f t="shared" si="4"/>
        <v>#REF!</v>
      </c>
      <c r="Q37" s="23" t="e">
        <f t="shared" si="4"/>
        <v>#REF!</v>
      </c>
      <c r="R37" s="23" t="e">
        <f t="shared" si="4"/>
        <v>#REF!</v>
      </c>
      <c r="S37" s="23" t="e">
        <f t="shared" si="4"/>
        <v>#REF!</v>
      </c>
      <c r="T37" s="23" t="e">
        <f t="shared" si="4"/>
        <v>#REF!</v>
      </c>
      <c r="U37" s="23" t="e">
        <f t="shared" si="4"/>
        <v>#REF!</v>
      </c>
      <c r="V37" s="23" t="e">
        <f t="shared" si="4"/>
        <v>#REF!</v>
      </c>
      <c r="W37" s="23" t="e">
        <f t="shared" si="4"/>
        <v>#REF!</v>
      </c>
      <c r="X37" s="23" t="e">
        <f t="shared" si="4"/>
        <v>#REF!</v>
      </c>
      <c r="Y37" s="23" t="e">
        <f t="shared" si="4"/>
        <v>#REF!</v>
      </c>
      <c r="Z37" s="23" t="e">
        <f t="shared" si="4"/>
        <v>#REF!</v>
      </c>
      <c r="AA37" s="23" t="e">
        <f t="shared" si="4"/>
        <v>#REF!</v>
      </c>
      <c r="AB37" s="23" t="e">
        <f t="shared" si="4"/>
        <v>#REF!</v>
      </c>
      <c r="AC37" s="23" t="e">
        <f t="shared" si="4"/>
        <v>#REF!</v>
      </c>
      <c r="AD37" s="23" t="e">
        <f t="shared" si="4"/>
        <v>#REF!</v>
      </c>
      <c r="AE37" s="23" t="e">
        <f t="shared" si="4"/>
        <v>#REF!</v>
      </c>
      <c r="AF37" s="23" t="e">
        <f t="shared" si="4"/>
        <v>#REF!</v>
      </c>
      <c r="AG37" s="23" t="e">
        <f t="shared" si="4"/>
        <v>#REF!</v>
      </c>
      <c r="AH37" s="23" t="e">
        <f t="shared" si="4"/>
        <v>#REF!</v>
      </c>
      <c r="AI37" s="310"/>
      <c r="AJ37" s="310"/>
      <c r="AK37" s="310"/>
      <c r="AL37" s="310"/>
      <c r="AM37" s="310"/>
      <c r="AN37" s="310"/>
      <c r="AO37" s="310"/>
      <c r="AP37" s="310"/>
      <c r="AQ37" s="310"/>
      <c r="AR37" s="310"/>
      <c r="AS37" s="310"/>
      <c r="AT37" s="310"/>
      <c r="AU37" s="310"/>
      <c r="AV37" s="310"/>
      <c r="AW37" s="310"/>
      <c r="AX37" s="310"/>
      <c r="AY37" s="310"/>
      <c r="AZ37" s="310"/>
      <c r="BA37" s="310"/>
      <c r="BB37" s="310"/>
      <c r="BC37" s="310"/>
      <c r="BD37" s="310"/>
      <c r="BE37" s="310"/>
      <c r="BF37" s="310"/>
      <c r="BG37" s="310"/>
      <c r="BH37" s="310"/>
    </row>
    <row r="38" spans="1:60">
      <c r="A38" s="23"/>
      <c r="B38" s="13"/>
      <c r="C38" s="324"/>
      <c r="D38" s="23"/>
      <c r="E38" s="23"/>
      <c r="F38" s="313"/>
      <c r="G38" s="310"/>
      <c r="H38" s="310"/>
      <c r="I38" s="310"/>
      <c r="J38" s="310"/>
      <c r="K38" s="310"/>
      <c r="L38" s="310"/>
      <c r="M38" s="310"/>
      <c r="N38" s="310"/>
      <c r="O38" s="310"/>
      <c r="P38" s="310"/>
      <c r="Q38" s="310"/>
      <c r="R38" s="310"/>
      <c r="S38" s="310"/>
      <c r="T38" s="310"/>
      <c r="U38" s="310"/>
      <c r="V38" s="310"/>
      <c r="W38" s="310"/>
      <c r="X38" s="310"/>
      <c r="Y38" s="310"/>
      <c r="Z38" s="151"/>
      <c r="AA38" s="151"/>
      <c r="AB38" s="310"/>
      <c r="AC38" s="310"/>
      <c r="AD38" s="310"/>
      <c r="AE38" s="310"/>
      <c r="AF38" s="310"/>
      <c r="AG38" s="310"/>
      <c r="AH38" s="310"/>
      <c r="AI38" s="310"/>
      <c r="AJ38" s="310"/>
      <c r="AK38" s="310"/>
      <c r="AL38" s="310"/>
      <c r="AM38" s="310"/>
      <c r="AN38" s="310"/>
      <c r="AO38" s="310"/>
      <c r="AP38" s="310"/>
      <c r="AQ38" s="310"/>
      <c r="AR38" s="310"/>
      <c r="AS38" s="310"/>
      <c r="AT38" s="310"/>
      <c r="AU38" s="310"/>
      <c r="AV38" s="310"/>
      <c r="AW38" s="310"/>
      <c r="AX38" s="310"/>
      <c r="AY38" s="310"/>
      <c r="AZ38" s="310"/>
      <c r="BA38" s="310"/>
      <c r="BB38" s="310"/>
      <c r="BC38" s="310"/>
      <c r="BD38" s="310"/>
      <c r="BE38" s="310"/>
      <c r="BF38" s="310"/>
      <c r="BG38" s="310"/>
      <c r="BH38" s="310"/>
    </row>
    <row r="39" spans="1:60">
      <c r="A39" s="134" t="s">
        <v>159</v>
      </c>
      <c r="B39" s="13"/>
      <c r="C39" s="324"/>
      <c r="D39" s="23"/>
      <c r="E39" s="23"/>
      <c r="F39" s="313"/>
      <c r="G39" s="310"/>
      <c r="H39" s="310"/>
      <c r="I39" s="310"/>
      <c r="J39" s="310"/>
      <c r="K39" s="310"/>
      <c r="L39" s="310"/>
      <c r="M39" s="310"/>
      <c r="N39" s="310"/>
      <c r="O39" s="310"/>
      <c r="P39" s="310"/>
      <c r="Q39" s="310"/>
      <c r="R39" s="310"/>
      <c r="S39" s="310"/>
      <c r="T39" s="310"/>
      <c r="U39" s="310"/>
      <c r="V39" s="310"/>
      <c r="W39" s="310"/>
      <c r="X39" s="310"/>
      <c r="Y39" s="310"/>
      <c r="Z39" s="151"/>
      <c r="AA39" s="151"/>
      <c r="AB39" s="310"/>
      <c r="AC39" s="310"/>
      <c r="AD39" s="310"/>
      <c r="AE39" s="310"/>
      <c r="AF39" s="310"/>
      <c r="AG39" s="310"/>
      <c r="AH39" s="310"/>
      <c r="AI39" s="310"/>
      <c r="AJ39" s="310"/>
      <c r="AK39" s="310"/>
      <c r="AL39" s="310"/>
      <c r="AM39" s="310"/>
      <c r="AN39" s="310"/>
      <c r="AO39" s="310"/>
      <c r="AP39" s="310"/>
      <c r="AQ39" s="310"/>
      <c r="AR39" s="310"/>
      <c r="AS39" s="310"/>
      <c r="AT39" s="310"/>
      <c r="AU39" s="310"/>
      <c r="AV39" s="310"/>
      <c r="AW39" s="310"/>
      <c r="AX39" s="310"/>
      <c r="AY39" s="310"/>
      <c r="AZ39" s="310"/>
      <c r="BA39" s="310"/>
      <c r="BB39" s="310"/>
      <c r="BC39" s="310"/>
      <c r="BD39" s="310"/>
      <c r="BE39" s="310"/>
      <c r="BF39" s="310"/>
      <c r="BG39" s="310"/>
      <c r="BH39" s="310"/>
    </row>
    <row r="40" spans="1:60">
      <c r="A40" s="134"/>
      <c r="B40" s="13"/>
      <c r="C40" s="324"/>
      <c r="D40" s="23"/>
      <c r="E40" s="23"/>
      <c r="F40" s="313"/>
      <c r="G40" s="310"/>
      <c r="H40" s="310"/>
      <c r="I40" s="310"/>
      <c r="J40" s="310"/>
      <c r="K40" s="310"/>
      <c r="L40" s="310"/>
      <c r="M40" s="310"/>
      <c r="N40" s="310"/>
      <c r="O40" s="310"/>
      <c r="P40" s="310"/>
      <c r="Q40" s="310"/>
      <c r="R40" s="310"/>
      <c r="S40" s="310"/>
      <c r="T40" s="310"/>
      <c r="U40" s="310"/>
      <c r="V40" s="310"/>
      <c r="W40" s="310"/>
      <c r="X40" s="310"/>
      <c r="Y40" s="310"/>
      <c r="Z40" s="151"/>
      <c r="AA40" s="151"/>
      <c r="AB40" s="310"/>
      <c r="AC40" s="310"/>
      <c r="AD40" s="310"/>
      <c r="AE40" s="310"/>
      <c r="AF40" s="310"/>
      <c r="AG40" s="310"/>
      <c r="AH40" s="310"/>
      <c r="AI40" s="310"/>
      <c r="AJ40" s="310"/>
      <c r="AK40" s="310"/>
      <c r="AL40" s="310"/>
      <c r="AM40" s="310"/>
      <c r="AN40" s="310"/>
      <c r="AO40" s="310"/>
      <c r="AP40" s="310"/>
      <c r="AQ40" s="310"/>
      <c r="AR40" s="310"/>
      <c r="AS40" s="310"/>
      <c r="AT40" s="310"/>
      <c r="AU40" s="310"/>
      <c r="AV40" s="310"/>
      <c r="AW40" s="310"/>
      <c r="AX40" s="310"/>
      <c r="AY40" s="310"/>
      <c r="AZ40" s="310"/>
      <c r="BA40" s="310"/>
      <c r="BB40" s="310"/>
      <c r="BC40" s="310"/>
      <c r="BD40" s="310"/>
      <c r="BE40" s="310"/>
      <c r="BF40" s="310"/>
      <c r="BG40" s="310"/>
      <c r="BH40" s="310"/>
    </row>
    <row r="41" spans="1:60">
      <c r="A41" s="23" t="s">
        <v>160</v>
      </c>
      <c r="C41" s="324">
        <f>Assumptions!$C$11</f>
        <v>30435.069278949784</v>
      </c>
      <c r="D41" s="23">
        <f>Assumptions!$C$11</f>
        <v>30435.069278949784</v>
      </c>
      <c r="E41" s="23">
        <f>Assumptions!$C$11</f>
        <v>30435.069278949784</v>
      </c>
      <c r="F41" s="23">
        <f>Assumptions!$C$11</f>
        <v>30435.069278949784</v>
      </c>
      <c r="G41" s="23">
        <f>Assumptions!$C$11</f>
        <v>30435.069278949784</v>
      </c>
      <c r="H41" s="23">
        <f>Assumptions!$C$11</f>
        <v>30435.069278949784</v>
      </c>
      <c r="I41" s="23">
        <f>Assumptions!$C$11</f>
        <v>30435.069278949784</v>
      </c>
      <c r="J41" s="23">
        <f>Assumptions!$C$11</f>
        <v>30435.069278949784</v>
      </c>
      <c r="K41" s="23">
        <f>Assumptions!$C$11</f>
        <v>30435.069278949784</v>
      </c>
      <c r="L41" s="23">
        <f>Assumptions!$C$11</f>
        <v>30435.069278949784</v>
      </c>
      <c r="M41" s="23">
        <f>Assumptions!$C$11</f>
        <v>30435.069278949784</v>
      </c>
      <c r="N41" s="23">
        <f>Assumptions!$C$11</f>
        <v>30435.069278949784</v>
      </c>
      <c r="O41" s="23">
        <f>Assumptions!$C$11</f>
        <v>30435.069278949784</v>
      </c>
      <c r="P41" s="23">
        <f>Assumptions!$C$11</f>
        <v>30435.069278949784</v>
      </c>
      <c r="Q41" s="23">
        <f>Assumptions!$C$11</f>
        <v>30435.069278949784</v>
      </c>
      <c r="R41" s="23">
        <f>Assumptions!$C$11</f>
        <v>30435.069278949784</v>
      </c>
      <c r="S41" s="23">
        <f>Assumptions!$C$11</f>
        <v>30435.069278949784</v>
      </c>
      <c r="T41" s="23">
        <f>Assumptions!$C$11</f>
        <v>30435.069278949784</v>
      </c>
      <c r="U41" s="23">
        <f>Assumptions!$C$11</f>
        <v>30435.069278949784</v>
      </c>
      <c r="V41" s="23">
        <f>Assumptions!$C$11</f>
        <v>30435.069278949784</v>
      </c>
      <c r="W41" s="23">
        <f>Assumptions!$C$11</f>
        <v>30435.069278949784</v>
      </c>
      <c r="X41" s="23">
        <f>Assumptions!$C$11</f>
        <v>30435.069278949784</v>
      </c>
      <c r="Y41" s="23">
        <f>Assumptions!$C$11</f>
        <v>30435.069278949784</v>
      </c>
      <c r="Z41" s="23">
        <f>Assumptions!$C$11</f>
        <v>30435.069278949784</v>
      </c>
      <c r="AA41" s="23">
        <f>Assumptions!$C$11</f>
        <v>30435.069278949784</v>
      </c>
      <c r="AB41" s="23">
        <f>Assumptions!$C$11</f>
        <v>30435.069278949784</v>
      </c>
      <c r="AC41" s="23">
        <f>Assumptions!$C$11</f>
        <v>30435.069278949784</v>
      </c>
      <c r="AD41" s="23">
        <f>Assumptions!$C$11</f>
        <v>30435.069278949784</v>
      </c>
      <c r="AE41" s="23">
        <f>Assumptions!$C$11</f>
        <v>30435.069278949784</v>
      </c>
      <c r="AF41" s="23">
        <f>Assumptions!$C$11</f>
        <v>30435.069278949784</v>
      </c>
      <c r="AG41" s="23">
        <f>Assumptions!$C$11</f>
        <v>30435.069278949784</v>
      </c>
      <c r="AH41" s="23">
        <f>Assumptions!$C$11</f>
        <v>30435.069278949784</v>
      </c>
      <c r="AI41" s="310"/>
      <c r="AJ41" s="310"/>
      <c r="AK41" s="310"/>
      <c r="AL41" s="310"/>
      <c r="AM41" s="310"/>
      <c r="AN41" s="310"/>
      <c r="AO41" s="310"/>
      <c r="AP41" s="310"/>
      <c r="AQ41" s="310"/>
      <c r="AR41" s="310"/>
      <c r="AS41" s="310"/>
      <c r="AT41" s="310"/>
      <c r="AU41" s="310"/>
      <c r="AV41" s="310"/>
      <c r="AW41" s="310"/>
      <c r="AX41" s="310"/>
      <c r="AY41" s="310"/>
      <c r="AZ41" s="310"/>
      <c r="BA41" s="310"/>
      <c r="BB41" s="310"/>
      <c r="BC41" s="310"/>
      <c r="BD41" s="310"/>
      <c r="BE41" s="310"/>
      <c r="BF41" s="310"/>
      <c r="BG41" s="310"/>
      <c r="BH41" s="310"/>
    </row>
    <row r="42" spans="1:60">
      <c r="A42" s="23" t="s">
        <v>161</v>
      </c>
      <c r="C42" s="323" t="e">
        <f>IS!B47-'Returns Analysis'!#REF!</f>
        <v>#REF!</v>
      </c>
      <c r="D42" s="311" t="e">
        <f>IS!C47-'Returns Analysis'!#REF!</f>
        <v>#REF!</v>
      </c>
      <c r="E42" s="311" t="e">
        <f>IS!D47-'Returns Analysis'!#REF!</f>
        <v>#REF!</v>
      </c>
      <c r="F42" s="311" t="e">
        <f>IS!E47-'Returns Analysis'!#REF!</f>
        <v>#REF!</v>
      </c>
      <c r="G42" s="311" t="e">
        <f>IS!F47-'Returns Analysis'!#REF!</f>
        <v>#REF!</v>
      </c>
      <c r="H42" s="311" t="e">
        <f>IS!G47-'Returns Analysis'!#REF!</f>
        <v>#REF!</v>
      </c>
      <c r="I42" s="311" t="e">
        <f>IS!H47-'Returns Analysis'!#REF!</f>
        <v>#REF!</v>
      </c>
      <c r="J42" s="311" t="e">
        <f>IS!I47-'Returns Analysis'!#REF!</f>
        <v>#REF!</v>
      </c>
      <c r="K42" s="311" t="e">
        <f>IS!J47-'Returns Analysis'!#REF!</f>
        <v>#REF!</v>
      </c>
      <c r="L42" s="311" t="e">
        <f>IS!K47-'Returns Analysis'!#REF!</f>
        <v>#REF!</v>
      </c>
      <c r="M42" s="311" t="e">
        <f>IS!L47-'Returns Analysis'!#REF!</f>
        <v>#REF!</v>
      </c>
      <c r="N42" s="311" t="e">
        <f>IS!M47-'Returns Analysis'!#REF!</f>
        <v>#REF!</v>
      </c>
      <c r="O42" s="311" t="e">
        <f>IS!N47-'Returns Analysis'!#REF!</f>
        <v>#REF!</v>
      </c>
      <c r="P42" s="311" t="e">
        <f>IS!O47-'Returns Analysis'!#REF!</f>
        <v>#REF!</v>
      </c>
      <c r="Q42" s="311" t="e">
        <f>IS!P47-'Returns Analysis'!#REF!</f>
        <v>#REF!</v>
      </c>
      <c r="R42" s="311" t="e">
        <f>IS!Q47-'Returns Analysis'!#REF!</f>
        <v>#REF!</v>
      </c>
      <c r="S42" s="311" t="e">
        <f>IS!R47-'Returns Analysis'!#REF!</f>
        <v>#REF!</v>
      </c>
      <c r="T42" s="311" t="e">
        <f>IS!S47-'Returns Analysis'!#REF!</f>
        <v>#REF!</v>
      </c>
      <c r="U42" s="311" t="e">
        <f>IS!T47-'Returns Analysis'!#REF!</f>
        <v>#REF!</v>
      </c>
      <c r="V42" s="311" t="e">
        <f>IS!U47-'Returns Analysis'!#REF!</f>
        <v>#REF!</v>
      </c>
      <c r="W42" s="311" t="e">
        <f>IS!V47-'Returns Analysis'!#REF!</f>
        <v>#REF!</v>
      </c>
      <c r="X42" s="311" t="e">
        <f>IS!W47-'Returns Analysis'!#REF!</f>
        <v>#REF!</v>
      </c>
      <c r="Y42" s="311" t="e">
        <f>IS!X47-'Returns Analysis'!#REF!</f>
        <v>#REF!</v>
      </c>
      <c r="Z42" s="311" t="e">
        <f>IS!Y47-'Returns Analysis'!#REF!</f>
        <v>#REF!</v>
      </c>
      <c r="AA42" s="311" t="e">
        <f>IS!Z47-'Returns Analysis'!#REF!</f>
        <v>#REF!</v>
      </c>
      <c r="AB42" s="311" t="e">
        <f>IS!AA47-'Returns Analysis'!#REF!</f>
        <v>#REF!</v>
      </c>
      <c r="AC42" s="311" t="e">
        <f>IS!AB47-'Returns Analysis'!#REF!</f>
        <v>#REF!</v>
      </c>
      <c r="AD42" s="311" t="e">
        <f>IS!AC47-'Returns Analysis'!#REF!</f>
        <v>#REF!</v>
      </c>
      <c r="AE42" s="311" t="e">
        <f>IS!AD47-'Returns Analysis'!#REF!</f>
        <v>#REF!</v>
      </c>
      <c r="AF42" s="311" t="e">
        <f>IS!AE47-'Returns Analysis'!#REF!</f>
        <v>#REF!</v>
      </c>
      <c r="AG42" s="311" t="e">
        <f>IS!AF47-'Returns Analysis'!#REF!</f>
        <v>#REF!</v>
      </c>
      <c r="AH42" s="311" t="e">
        <f>IS!AG47-'Returns Analysis'!#REF!</f>
        <v>#REF!</v>
      </c>
      <c r="AI42" s="310"/>
      <c r="AJ42" s="310"/>
      <c r="AK42" s="310"/>
      <c r="AL42" s="310"/>
      <c r="AM42" s="310"/>
      <c r="AN42" s="310"/>
      <c r="AO42" s="310"/>
      <c r="AP42" s="310"/>
      <c r="AQ42" s="310"/>
      <c r="AR42" s="310"/>
      <c r="AS42" s="310"/>
      <c r="AT42" s="310"/>
      <c r="AU42" s="310"/>
      <c r="AV42" s="310"/>
      <c r="AW42" s="310"/>
      <c r="AX42" s="310"/>
      <c r="AY42" s="310"/>
      <c r="AZ42" s="310"/>
      <c r="BA42" s="310"/>
      <c r="BB42" s="310"/>
      <c r="BC42" s="310"/>
      <c r="BD42" s="310"/>
      <c r="BE42" s="310"/>
      <c r="BF42" s="310"/>
      <c r="BG42" s="310"/>
      <c r="BH42" s="310"/>
    </row>
    <row r="43" spans="1:60">
      <c r="A43" s="23" t="s">
        <v>162</v>
      </c>
      <c r="C43" s="324" t="e">
        <f>SUM(C41:C42)</f>
        <v>#REF!</v>
      </c>
      <c r="D43" s="23" t="e">
        <f>SUM(D41:D42)</f>
        <v>#REF!</v>
      </c>
      <c r="E43" s="23" t="e">
        <f t="shared" ref="E43:AH43" si="5">SUM(E41:E42)</f>
        <v>#REF!</v>
      </c>
      <c r="F43" s="23" t="e">
        <f t="shared" si="5"/>
        <v>#REF!</v>
      </c>
      <c r="G43" s="23" t="e">
        <f t="shared" si="5"/>
        <v>#REF!</v>
      </c>
      <c r="H43" s="23" t="e">
        <f t="shared" si="5"/>
        <v>#REF!</v>
      </c>
      <c r="I43" s="23" t="e">
        <f t="shared" si="5"/>
        <v>#REF!</v>
      </c>
      <c r="J43" s="23" t="e">
        <f t="shared" si="5"/>
        <v>#REF!</v>
      </c>
      <c r="K43" s="23" t="e">
        <f t="shared" si="5"/>
        <v>#REF!</v>
      </c>
      <c r="L43" s="23" t="e">
        <f t="shared" si="5"/>
        <v>#REF!</v>
      </c>
      <c r="M43" s="23" t="e">
        <f t="shared" si="5"/>
        <v>#REF!</v>
      </c>
      <c r="N43" s="23" t="e">
        <f t="shared" si="5"/>
        <v>#REF!</v>
      </c>
      <c r="O43" s="23" t="e">
        <f t="shared" si="5"/>
        <v>#REF!</v>
      </c>
      <c r="P43" s="23" t="e">
        <f t="shared" si="5"/>
        <v>#REF!</v>
      </c>
      <c r="Q43" s="23" t="e">
        <f t="shared" si="5"/>
        <v>#REF!</v>
      </c>
      <c r="R43" s="23" t="e">
        <f t="shared" si="5"/>
        <v>#REF!</v>
      </c>
      <c r="S43" s="23" t="e">
        <f t="shared" si="5"/>
        <v>#REF!</v>
      </c>
      <c r="T43" s="23" t="e">
        <f t="shared" si="5"/>
        <v>#REF!</v>
      </c>
      <c r="U43" s="23" t="e">
        <f t="shared" si="5"/>
        <v>#REF!</v>
      </c>
      <c r="V43" s="23" t="e">
        <f t="shared" si="5"/>
        <v>#REF!</v>
      </c>
      <c r="W43" s="23" t="e">
        <f t="shared" si="5"/>
        <v>#REF!</v>
      </c>
      <c r="X43" s="23" t="e">
        <f t="shared" si="5"/>
        <v>#REF!</v>
      </c>
      <c r="Y43" s="23" t="e">
        <f t="shared" si="5"/>
        <v>#REF!</v>
      </c>
      <c r="Z43" s="23" t="e">
        <f t="shared" si="5"/>
        <v>#REF!</v>
      </c>
      <c r="AA43" s="23" t="e">
        <f t="shared" si="5"/>
        <v>#REF!</v>
      </c>
      <c r="AB43" s="23" t="e">
        <f t="shared" si="5"/>
        <v>#REF!</v>
      </c>
      <c r="AC43" s="23" t="e">
        <f t="shared" si="5"/>
        <v>#REF!</v>
      </c>
      <c r="AD43" s="23" t="e">
        <f t="shared" si="5"/>
        <v>#REF!</v>
      </c>
      <c r="AE43" s="23" t="e">
        <f t="shared" si="5"/>
        <v>#REF!</v>
      </c>
      <c r="AF43" s="23" t="e">
        <f t="shared" si="5"/>
        <v>#REF!</v>
      </c>
      <c r="AG43" s="23" t="e">
        <f t="shared" si="5"/>
        <v>#REF!</v>
      </c>
      <c r="AH43" s="23" t="e">
        <f t="shared" si="5"/>
        <v>#REF!</v>
      </c>
      <c r="AI43" s="310"/>
      <c r="AJ43" s="310"/>
      <c r="AK43" s="310"/>
      <c r="AL43" s="310"/>
      <c r="AM43" s="310"/>
      <c r="AN43" s="310"/>
      <c r="AO43" s="310"/>
      <c r="AP43" s="310"/>
      <c r="AQ43" s="310"/>
      <c r="AR43" s="310"/>
      <c r="AS43" s="310"/>
      <c r="AT43" s="310"/>
      <c r="AU43" s="310"/>
      <c r="AV43" s="310"/>
      <c r="AW43" s="310"/>
      <c r="AX43" s="310"/>
      <c r="AY43" s="310"/>
      <c r="AZ43" s="310"/>
      <c r="BA43" s="310"/>
      <c r="BB43" s="310"/>
      <c r="BC43" s="310"/>
      <c r="BD43" s="310"/>
      <c r="BE43" s="310"/>
      <c r="BF43" s="310"/>
      <c r="BG43" s="310"/>
      <c r="BH43" s="310"/>
    </row>
    <row r="44" spans="1:60">
      <c r="A44" s="13"/>
      <c r="B44" s="13"/>
      <c r="C44" s="324"/>
      <c r="D44" s="23"/>
      <c r="E44" s="23"/>
      <c r="F44" s="313"/>
      <c r="G44" s="310"/>
      <c r="H44" s="310"/>
      <c r="I44" s="310"/>
      <c r="J44" s="310"/>
      <c r="K44" s="310"/>
      <c r="L44" s="310"/>
      <c r="M44" s="310"/>
      <c r="N44" s="310"/>
      <c r="O44" s="310"/>
      <c r="P44" s="310"/>
      <c r="Q44" s="310"/>
      <c r="R44" s="310"/>
      <c r="S44" s="310"/>
      <c r="T44" s="310"/>
      <c r="U44" s="310"/>
      <c r="V44" s="310"/>
      <c r="W44" s="310"/>
      <c r="X44" s="310"/>
      <c r="Y44" s="310"/>
      <c r="Z44" s="151"/>
      <c r="AA44" s="151"/>
      <c r="AB44" s="310"/>
      <c r="AC44" s="310"/>
      <c r="AD44" s="310"/>
      <c r="AE44" s="310"/>
      <c r="AF44" s="310"/>
      <c r="AG44" s="310"/>
      <c r="AH44" s="310"/>
      <c r="AI44" s="310"/>
      <c r="AJ44" s="310"/>
      <c r="AK44" s="310"/>
      <c r="AL44" s="310"/>
      <c r="AM44" s="310"/>
      <c r="AN44" s="310"/>
      <c r="AO44" s="310"/>
      <c r="AP44" s="310"/>
      <c r="AQ44" s="310"/>
      <c r="AR44" s="310"/>
      <c r="AS44" s="310"/>
      <c r="AT44" s="310"/>
      <c r="AU44" s="310"/>
      <c r="AV44" s="310"/>
      <c r="AW44" s="310"/>
      <c r="AX44" s="310"/>
      <c r="AY44" s="310"/>
      <c r="AZ44" s="310"/>
      <c r="BA44" s="310"/>
      <c r="BB44" s="310"/>
      <c r="BC44" s="310"/>
      <c r="BD44" s="310"/>
      <c r="BE44" s="310"/>
      <c r="BF44" s="310"/>
      <c r="BG44" s="310"/>
      <c r="BH44" s="310"/>
    </row>
    <row r="45" spans="1:60">
      <c r="A45" s="134" t="s">
        <v>163</v>
      </c>
      <c r="B45" s="13"/>
      <c r="C45" s="324" t="e">
        <f>C43+C37</f>
        <v>#REF!</v>
      </c>
      <c r="D45" s="23" t="e">
        <f>D43+D37</f>
        <v>#REF!</v>
      </c>
      <c r="E45" s="23" t="e">
        <f t="shared" ref="E45:AH45" si="6">E43+E37</f>
        <v>#REF!</v>
      </c>
      <c r="F45" s="23" t="e">
        <f t="shared" si="6"/>
        <v>#REF!</v>
      </c>
      <c r="G45" s="23" t="e">
        <f t="shared" si="6"/>
        <v>#REF!</v>
      </c>
      <c r="H45" s="23" t="e">
        <f t="shared" si="6"/>
        <v>#REF!</v>
      </c>
      <c r="I45" s="23" t="e">
        <f t="shared" si="6"/>
        <v>#REF!</v>
      </c>
      <c r="J45" s="23" t="e">
        <f t="shared" si="6"/>
        <v>#REF!</v>
      </c>
      <c r="K45" s="23" t="e">
        <f t="shared" si="6"/>
        <v>#REF!</v>
      </c>
      <c r="L45" s="23" t="e">
        <f t="shared" si="6"/>
        <v>#REF!</v>
      </c>
      <c r="M45" s="23" t="e">
        <f t="shared" si="6"/>
        <v>#REF!</v>
      </c>
      <c r="N45" s="23" t="e">
        <f t="shared" si="6"/>
        <v>#REF!</v>
      </c>
      <c r="O45" s="23" t="e">
        <f t="shared" si="6"/>
        <v>#REF!</v>
      </c>
      <c r="P45" s="23" t="e">
        <f t="shared" si="6"/>
        <v>#REF!</v>
      </c>
      <c r="Q45" s="23" t="e">
        <f t="shared" si="6"/>
        <v>#REF!</v>
      </c>
      <c r="R45" s="23" t="e">
        <f t="shared" si="6"/>
        <v>#REF!</v>
      </c>
      <c r="S45" s="23" t="e">
        <f t="shared" si="6"/>
        <v>#REF!</v>
      </c>
      <c r="T45" s="23" t="e">
        <f t="shared" si="6"/>
        <v>#REF!</v>
      </c>
      <c r="U45" s="23" t="e">
        <f t="shared" si="6"/>
        <v>#REF!</v>
      </c>
      <c r="V45" s="23" t="e">
        <f t="shared" si="6"/>
        <v>#REF!</v>
      </c>
      <c r="W45" s="23" t="e">
        <f t="shared" si="6"/>
        <v>#REF!</v>
      </c>
      <c r="X45" s="23" t="e">
        <f t="shared" si="6"/>
        <v>#REF!</v>
      </c>
      <c r="Y45" s="23" t="e">
        <f t="shared" si="6"/>
        <v>#REF!</v>
      </c>
      <c r="Z45" s="23" t="e">
        <f t="shared" si="6"/>
        <v>#REF!</v>
      </c>
      <c r="AA45" s="23" t="e">
        <f t="shared" si="6"/>
        <v>#REF!</v>
      </c>
      <c r="AB45" s="23" t="e">
        <f t="shared" si="6"/>
        <v>#REF!</v>
      </c>
      <c r="AC45" s="23" t="e">
        <f t="shared" si="6"/>
        <v>#REF!</v>
      </c>
      <c r="AD45" s="23" t="e">
        <f t="shared" si="6"/>
        <v>#REF!</v>
      </c>
      <c r="AE45" s="23" t="e">
        <f t="shared" si="6"/>
        <v>#REF!</v>
      </c>
      <c r="AF45" s="23" t="e">
        <f t="shared" si="6"/>
        <v>#REF!</v>
      </c>
      <c r="AG45" s="23" t="e">
        <f t="shared" si="6"/>
        <v>#REF!</v>
      </c>
      <c r="AH45" s="23" t="e">
        <f t="shared" si="6"/>
        <v>#REF!</v>
      </c>
      <c r="AI45" s="310"/>
      <c r="AJ45" s="310"/>
      <c r="AK45" s="310"/>
      <c r="AL45" s="310"/>
      <c r="AM45" s="310"/>
      <c r="AN45" s="310"/>
      <c r="AO45" s="310"/>
      <c r="AP45" s="310"/>
      <c r="AQ45" s="310"/>
      <c r="AR45" s="310"/>
      <c r="AS45" s="310"/>
      <c r="AT45" s="310"/>
      <c r="AU45" s="310"/>
      <c r="AV45" s="310"/>
      <c r="AW45" s="310"/>
      <c r="AX45" s="310"/>
      <c r="AY45" s="310"/>
      <c r="AZ45" s="310"/>
      <c r="BA45" s="310"/>
      <c r="BB45" s="310"/>
      <c r="BC45" s="310"/>
      <c r="BD45" s="310"/>
      <c r="BE45" s="310"/>
      <c r="BF45" s="310"/>
      <c r="BG45" s="310"/>
      <c r="BH45" s="310"/>
    </row>
    <row r="46" spans="1:60">
      <c r="A46" s="23"/>
      <c r="B46" s="13"/>
      <c r="C46" s="324"/>
      <c r="D46" s="23"/>
      <c r="E46" s="23"/>
      <c r="F46" s="313"/>
      <c r="G46" s="310"/>
      <c r="H46" s="310"/>
      <c r="I46" s="310"/>
      <c r="J46" s="310"/>
      <c r="K46" s="310"/>
      <c r="L46" s="310"/>
      <c r="M46" s="310"/>
      <c r="N46" s="310"/>
      <c r="O46" s="310"/>
      <c r="P46" s="310"/>
      <c r="Q46" s="310"/>
      <c r="R46" s="310"/>
      <c r="S46" s="310"/>
      <c r="T46" s="310"/>
      <c r="U46" s="310"/>
      <c r="V46" s="310"/>
      <c r="W46" s="310"/>
      <c r="X46" s="310"/>
      <c r="Y46" s="310"/>
      <c r="Z46" s="151"/>
      <c r="AA46" s="151"/>
      <c r="AB46" s="310"/>
      <c r="AC46" s="310"/>
      <c r="AD46" s="310"/>
      <c r="AE46" s="310"/>
      <c r="AF46" s="310"/>
      <c r="AG46" s="310"/>
      <c r="AH46" s="310"/>
      <c r="AI46" s="310"/>
      <c r="AJ46" s="310"/>
      <c r="AK46" s="310"/>
      <c r="AL46" s="310"/>
      <c r="AM46" s="310"/>
      <c r="AN46" s="310"/>
      <c r="AO46" s="310"/>
      <c r="AP46" s="310"/>
      <c r="AQ46" s="310"/>
      <c r="AR46" s="310"/>
      <c r="AS46" s="310"/>
      <c r="AT46" s="310"/>
      <c r="AU46" s="310"/>
      <c r="AV46" s="310"/>
      <c r="AW46" s="310"/>
      <c r="AX46" s="310"/>
      <c r="AY46" s="310"/>
      <c r="AZ46" s="310"/>
      <c r="BA46" s="310"/>
      <c r="BB46" s="310"/>
      <c r="BC46" s="310"/>
      <c r="BD46" s="310"/>
      <c r="BE46" s="310"/>
      <c r="BF46" s="310"/>
      <c r="BG46" s="310"/>
      <c r="BH46" s="310"/>
    </row>
    <row r="47" spans="1:60">
      <c r="A47" s="134" t="s">
        <v>164</v>
      </c>
      <c r="B47" s="13"/>
      <c r="C47" s="324" t="e">
        <f>C25-C45</f>
        <v>#REF!</v>
      </c>
      <c r="D47" s="23" t="e">
        <f>D25-D45</f>
        <v>#REF!</v>
      </c>
      <c r="E47" s="23" t="e">
        <f t="shared" ref="E47:AH47" si="7">E25-E45</f>
        <v>#REF!</v>
      </c>
      <c r="F47" s="23" t="e">
        <f t="shared" si="7"/>
        <v>#REF!</v>
      </c>
      <c r="G47" s="23" t="e">
        <f t="shared" si="7"/>
        <v>#REF!</v>
      </c>
      <c r="H47" s="23" t="e">
        <f t="shared" si="7"/>
        <v>#REF!</v>
      </c>
      <c r="I47" s="23" t="e">
        <f t="shared" si="7"/>
        <v>#REF!</v>
      </c>
      <c r="J47" s="23" t="e">
        <f t="shared" si="7"/>
        <v>#REF!</v>
      </c>
      <c r="K47" s="23" t="e">
        <f t="shared" si="7"/>
        <v>#REF!</v>
      </c>
      <c r="L47" s="23" t="e">
        <f t="shared" si="7"/>
        <v>#REF!</v>
      </c>
      <c r="M47" s="23" t="e">
        <f t="shared" si="7"/>
        <v>#REF!</v>
      </c>
      <c r="N47" s="23" t="e">
        <f t="shared" si="7"/>
        <v>#REF!</v>
      </c>
      <c r="O47" s="23" t="e">
        <f t="shared" si="7"/>
        <v>#REF!</v>
      </c>
      <c r="P47" s="23" t="e">
        <f t="shared" si="7"/>
        <v>#REF!</v>
      </c>
      <c r="Q47" s="23" t="e">
        <f t="shared" si="7"/>
        <v>#REF!</v>
      </c>
      <c r="R47" s="23" t="e">
        <f t="shared" si="7"/>
        <v>#REF!</v>
      </c>
      <c r="S47" s="23" t="e">
        <f t="shared" si="7"/>
        <v>#REF!</v>
      </c>
      <c r="T47" s="23" t="e">
        <f t="shared" si="7"/>
        <v>#REF!</v>
      </c>
      <c r="U47" s="23" t="e">
        <f t="shared" si="7"/>
        <v>#REF!</v>
      </c>
      <c r="V47" s="23" t="e">
        <f t="shared" si="7"/>
        <v>#REF!</v>
      </c>
      <c r="W47" s="23" t="e">
        <f t="shared" si="7"/>
        <v>#REF!</v>
      </c>
      <c r="X47" s="23" t="e">
        <f t="shared" si="7"/>
        <v>#REF!</v>
      </c>
      <c r="Y47" s="23" t="e">
        <f t="shared" si="7"/>
        <v>#REF!</v>
      </c>
      <c r="Z47" s="23" t="e">
        <f t="shared" si="7"/>
        <v>#REF!</v>
      </c>
      <c r="AA47" s="23" t="e">
        <f t="shared" si="7"/>
        <v>#REF!</v>
      </c>
      <c r="AB47" s="23" t="e">
        <f t="shared" si="7"/>
        <v>#REF!</v>
      </c>
      <c r="AC47" s="23" t="e">
        <f t="shared" si="7"/>
        <v>#REF!</v>
      </c>
      <c r="AD47" s="23" t="e">
        <f t="shared" si="7"/>
        <v>#REF!</v>
      </c>
      <c r="AE47" s="23" t="e">
        <f t="shared" si="7"/>
        <v>#REF!</v>
      </c>
      <c r="AF47" s="23" t="e">
        <f t="shared" si="7"/>
        <v>#REF!</v>
      </c>
      <c r="AG47" s="23" t="e">
        <f t="shared" si="7"/>
        <v>#REF!</v>
      </c>
      <c r="AH47" s="23" t="e">
        <f t="shared" si="7"/>
        <v>#REF!</v>
      </c>
      <c r="AI47" s="310"/>
      <c r="AJ47" s="310"/>
      <c r="AK47" s="310"/>
      <c r="AL47" s="310"/>
      <c r="AM47" s="310"/>
      <c r="AN47" s="310"/>
      <c r="AO47" s="310"/>
      <c r="AP47" s="310"/>
      <c r="AQ47" s="310"/>
      <c r="AR47" s="310"/>
      <c r="AS47" s="310"/>
      <c r="AT47" s="310"/>
      <c r="AU47" s="310"/>
      <c r="AV47" s="310"/>
      <c r="AW47" s="310"/>
      <c r="AX47" s="310"/>
      <c r="AY47" s="310"/>
      <c r="AZ47" s="310"/>
      <c r="BA47" s="310"/>
      <c r="BB47" s="310"/>
      <c r="BC47" s="310"/>
      <c r="BD47" s="310"/>
      <c r="BE47" s="310"/>
      <c r="BF47" s="310"/>
      <c r="BG47" s="310"/>
      <c r="BH47" s="310"/>
    </row>
    <row r="48" spans="1:60">
      <c r="A48" s="13"/>
      <c r="B48" s="13"/>
      <c r="C48" s="23"/>
      <c r="D48" s="23"/>
      <c r="E48" s="23"/>
      <c r="F48" s="313"/>
      <c r="G48" s="310"/>
      <c r="H48" s="310"/>
      <c r="I48" s="310"/>
      <c r="J48" s="310"/>
      <c r="K48" s="310"/>
      <c r="L48" s="310"/>
      <c r="M48" s="310"/>
      <c r="N48" s="310"/>
      <c r="O48" s="310"/>
      <c r="P48" s="310"/>
      <c r="Q48" s="310"/>
      <c r="R48" s="310"/>
      <c r="S48" s="310"/>
      <c r="T48" s="310"/>
      <c r="U48" s="310"/>
      <c r="V48" s="310"/>
      <c r="W48" s="310"/>
      <c r="X48" s="310"/>
      <c r="Y48" s="310"/>
      <c r="Z48" s="151"/>
      <c r="AA48" s="151"/>
      <c r="AB48" s="310"/>
      <c r="AC48" s="310"/>
      <c r="AD48" s="310"/>
      <c r="AE48" s="310"/>
      <c r="AF48" s="310"/>
      <c r="AG48" s="310"/>
      <c r="AH48" s="310"/>
      <c r="AI48" s="310"/>
      <c r="AJ48" s="310"/>
      <c r="AK48" s="310"/>
      <c r="AL48" s="310"/>
      <c r="AM48" s="310"/>
      <c r="AN48" s="310"/>
      <c r="AO48" s="310"/>
      <c r="AP48" s="310"/>
      <c r="AQ48" s="310"/>
      <c r="AR48" s="310"/>
      <c r="AS48" s="310"/>
      <c r="AT48" s="310"/>
      <c r="AU48" s="310"/>
      <c r="AV48" s="310"/>
      <c r="AW48" s="310"/>
      <c r="AX48" s="310"/>
      <c r="AY48" s="310"/>
      <c r="AZ48" s="310"/>
      <c r="BA48" s="310"/>
      <c r="BB48" s="310"/>
      <c r="BC48" s="310"/>
      <c r="BD48" s="310"/>
      <c r="BE48" s="310"/>
      <c r="BF48" s="310"/>
      <c r="BG48" s="310"/>
      <c r="BH48" s="310"/>
    </row>
    <row r="49" spans="1:60">
      <c r="A49" s="13"/>
      <c r="B49" s="13"/>
      <c r="C49" s="23"/>
      <c r="D49" s="23"/>
      <c r="E49" s="23"/>
      <c r="F49" s="313"/>
      <c r="G49" s="310"/>
      <c r="H49" s="310"/>
      <c r="I49" s="310"/>
      <c r="J49" s="310"/>
      <c r="K49" s="310"/>
      <c r="L49" s="310"/>
      <c r="M49" s="310"/>
      <c r="N49" s="310"/>
      <c r="O49" s="310"/>
      <c r="P49" s="310"/>
      <c r="Q49" s="310"/>
      <c r="R49" s="310"/>
      <c r="S49" s="310"/>
      <c r="T49" s="310"/>
      <c r="U49" s="310"/>
      <c r="V49" s="310"/>
      <c r="W49" s="310"/>
      <c r="X49" s="310"/>
      <c r="Y49" s="310"/>
      <c r="Z49" s="151"/>
      <c r="AA49" s="151"/>
      <c r="AB49" s="310"/>
      <c r="AC49" s="310"/>
      <c r="AD49" s="310"/>
      <c r="AE49" s="310"/>
      <c r="AF49" s="310"/>
      <c r="AG49" s="310"/>
      <c r="AH49" s="310"/>
      <c r="AI49" s="310"/>
      <c r="AJ49" s="310"/>
      <c r="AK49" s="310"/>
      <c r="AL49" s="310"/>
      <c r="AM49" s="310"/>
      <c r="AN49" s="310"/>
      <c r="AO49" s="310"/>
      <c r="AP49" s="310"/>
      <c r="AQ49" s="310"/>
      <c r="AR49" s="310"/>
      <c r="AS49" s="310"/>
      <c r="AT49" s="310"/>
      <c r="AU49" s="310"/>
      <c r="AV49" s="310"/>
      <c r="AW49" s="310"/>
      <c r="AX49" s="310"/>
      <c r="AY49" s="310"/>
      <c r="AZ49" s="310"/>
      <c r="BA49" s="310"/>
      <c r="BB49" s="310"/>
      <c r="BC49" s="310"/>
      <c r="BD49" s="310"/>
      <c r="BE49" s="310"/>
      <c r="BF49" s="310"/>
      <c r="BG49" s="310"/>
      <c r="BH49" s="310"/>
    </row>
    <row r="50" spans="1:60">
      <c r="A50" s="13"/>
      <c r="B50" s="13"/>
      <c r="C50" s="23"/>
      <c r="D50" s="23"/>
      <c r="E50" s="23"/>
      <c r="F50" s="313"/>
      <c r="G50" s="310"/>
      <c r="H50" s="310"/>
      <c r="I50" s="310"/>
      <c r="J50" s="310"/>
      <c r="K50" s="310"/>
      <c r="L50" s="310"/>
      <c r="M50" s="310"/>
      <c r="N50" s="310"/>
      <c r="O50" s="310"/>
      <c r="P50" s="310"/>
      <c r="Q50" s="310"/>
      <c r="R50" s="310"/>
      <c r="S50" s="310"/>
      <c r="T50" s="310"/>
      <c r="U50" s="310"/>
      <c r="V50" s="310"/>
      <c r="W50" s="310"/>
      <c r="X50" s="310"/>
      <c r="Y50" s="310"/>
      <c r="Z50" s="151"/>
      <c r="AA50" s="151"/>
      <c r="AB50" s="310"/>
      <c r="AC50" s="310"/>
      <c r="AD50" s="310"/>
      <c r="AE50" s="310"/>
      <c r="AF50" s="310"/>
      <c r="AG50" s="310"/>
      <c r="AH50" s="310"/>
      <c r="AI50" s="310"/>
      <c r="AJ50" s="310"/>
      <c r="AK50" s="310"/>
      <c r="AL50" s="310"/>
      <c r="AM50" s="310"/>
      <c r="AN50" s="310"/>
      <c r="AO50" s="310"/>
      <c r="AP50" s="310"/>
      <c r="AQ50" s="310"/>
      <c r="AR50" s="310"/>
      <c r="AS50" s="310"/>
      <c r="AT50" s="310"/>
      <c r="AU50" s="310"/>
      <c r="AV50" s="310"/>
      <c r="AW50" s="310"/>
      <c r="AX50" s="310"/>
      <c r="AY50" s="310"/>
      <c r="AZ50" s="310"/>
      <c r="BA50" s="310"/>
      <c r="BB50" s="310"/>
      <c r="BC50" s="310"/>
      <c r="BD50" s="310"/>
      <c r="BE50" s="310"/>
      <c r="BF50" s="310"/>
      <c r="BG50" s="310"/>
      <c r="BH50" s="310"/>
    </row>
    <row r="51" spans="1:60">
      <c r="A51" s="13"/>
      <c r="B51" s="13"/>
      <c r="C51" s="23"/>
      <c r="D51" s="23"/>
      <c r="E51" s="23"/>
      <c r="F51" s="313"/>
      <c r="G51" s="310"/>
      <c r="H51" s="310"/>
      <c r="I51" s="310"/>
      <c r="J51" s="310"/>
      <c r="K51" s="310"/>
      <c r="L51" s="310"/>
      <c r="M51" s="310"/>
      <c r="N51" s="310"/>
      <c r="O51" s="310"/>
      <c r="P51" s="310"/>
      <c r="Q51" s="310"/>
      <c r="R51" s="310"/>
      <c r="S51" s="310"/>
      <c r="T51" s="310"/>
      <c r="U51" s="310"/>
      <c r="V51" s="310"/>
      <c r="W51" s="310"/>
      <c r="X51" s="310"/>
      <c r="Y51" s="310"/>
      <c r="Z51" s="151"/>
      <c r="AA51" s="151"/>
      <c r="AB51" s="310"/>
      <c r="AC51" s="310"/>
      <c r="AD51" s="310"/>
      <c r="AE51" s="310"/>
      <c r="AF51" s="310"/>
      <c r="AG51" s="310"/>
      <c r="AH51" s="310"/>
      <c r="AI51" s="310"/>
      <c r="AJ51" s="310"/>
      <c r="AK51" s="310"/>
      <c r="AL51" s="310"/>
      <c r="AM51" s="310"/>
      <c r="AN51" s="310"/>
      <c r="AO51" s="310"/>
      <c r="AP51" s="310"/>
      <c r="AQ51" s="310"/>
      <c r="AR51" s="310"/>
      <c r="AS51" s="310"/>
      <c r="AT51" s="310"/>
      <c r="AU51" s="310"/>
      <c r="AV51" s="310"/>
      <c r="AW51" s="310"/>
      <c r="AX51" s="310"/>
      <c r="AY51" s="310"/>
      <c r="AZ51" s="310"/>
      <c r="BA51" s="310"/>
      <c r="BB51" s="310"/>
      <c r="BC51" s="310"/>
      <c r="BD51" s="310"/>
      <c r="BE51" s="310"/>
      <c r="BF51" s="310"/>
      <c r="BG51" s="310"/>
      <c r="BH51" s="310"/>
    </row>
    <row r="52" spans="1:60">
      <c r="A52" s="13"/>
      <c r="B52" s="13"/>
      <c r="C52" s="23"/>
      <c r="D52" s="23"/>
      <c r="E52" s="23"/>
      <c r="F52" s="313"/>
      <c r="G52" s="310"/>
      <c r="H52" s="310"/>
      <c r="I52" s="310"/>
      <c r="J52" s="310"/>
      <c r="K52" s="310"/>
      <c r="L52" s="310"/>
      <c r="M52" s="310"/>
      <c r="N52" s="310"/>
      <c r="O52" s="310"/>
      <c r="P52" s="310"/>
      <c r="Q52" s="310"/>
      <c r="R52" s="310"/>
      <c r="S52" s="310"/>
      <c r="T52" s="310"/>
      <c r="U52" s="310"/>
      <c r="V52" s="310"/>
      <c r="W52" s="310"/>
      <c r="X52" s="310"/>
      <c r="Y52" s="310"/>
      <c r="Z52" s="151"/>
      <c r="AA52" s="151"/>
      <c r="AB52" s="310"/>
      <c r="AC52" s="310"/>
      <c r="AD52" s="310"/>
      <c r="AE52" s="310"/>
      <c r="AF52" s="310"/>
      <c r="AG52" s="310"/>
      <c r="AH52" s="310"/>
      <c r="AI52" s="310"/>
      <c r="AJ52" s="310"/>
      <c r="AK52" s="310"/>
      <c r="AL52" s="310"/>
      <c r="AM52" s="310"/>
      <c r="AN52" s="310"/>
      <c r="AO52" s="310"/>
      <c r="AP52" s="310"/>
      <c r="AQ52" s="310"/>
      <c r="AR52" s="310"/>
      <c r="AS52" s="310"/>
      <c r="AT52" s="310"/>
      <c r="AU52" s="310"/>
      <c r="AV52" s="310"/>
      <c r="AW52" s="310"/>
      <c r="AX52" s="310"/>
      <c r="AY52" s="310"/>
      <c r="AZ52" s="310"/>
      <c r="BA52" s="310"/>
      <c r="BB52" s="310"/>
      <c r="BC52" s="310"/>
      <c r="BD52" s="310"/>
      <c r="BE52" s="310"/>
      <c r="BF52" s="310"/>
      <c r="BG52" s="310"/>
      <c r="BH52" s="310"/>
    </row>
    <row r="53" spans="1:60">
      <c r="A53" s="13"/>
      <c r="B53" s="13"/>
      <c r="C53" s="23"/>
      <c r="D53" s="23"/>
      <c r="E53" s="23"/>
      <c r="F53" s="313"/>
      <c r="G53" s="310"/>
      <c r="H53" s="310"/>
      <c r="I53" s="310"/>
      <c r="J53" s="310"/>
      <c r="K53" s="310"/>
      <c r="L53" s="310"/>
      <c r="M53" s="310"/>
      <c r="N53" s="310"/>
      <c r="O53" s="310"/>
      <c r="P53" s="310"/>
      <c r="Q53" s="310"/>
      <c r="R53" s="310"/>
      <c r="S53" s="310"/>
      <c r="T53" s="310"/>
      <c r="U53" s="310"/>
      <c r="V53" s="310"/>
      <c r="W53" s="310"/>
      <c r="X53" s="310"/>
      <c r="Y53" s="310"/>
      <c r="Z53" s="151"/>
      <c r="AA53" s="151"/>
      <c r="AB53" s="310"/>
      <c r="AC53" s="310"/>
      <c r="AD53" s="310"/>
      <c r="AE53" s="310"/>
      <c r="AF53" s="310"/>
      <c r="AG53" s="310"/>
      <c r="AH53" s="310"/>
      <c r="AI53" s="310"/>
      <c r="AJ53" s="310"/>
      <c r="AK53" s="310"/>
      <c r="AL53" s="310"/>
      <c r="AM53" s="310"/>
      <c r="AN53" s="310"/>
      <c r="AO53" s="310"/>
      <c r="AP53" s="310"/>
      <c r="AQ53" s="310"/>
      <c r="AR53" s="310"/>
      <c r="AS53" s="310"/>
      <c r="AT53" s="310"/>
      <c r="AU53" s="310"/>
      <c r="AV53" s="310"/>
      <c r="AW53" s="310"/>
      <c r="AX53" s="310"/>
      <c r="AY53" s="310"/>
      <c r="AZ53" s="310"/>
      <c r="BA53" s="310"/>
      <c r="BB53" s="310"/>
      <c r="BC53" s="310"/>
      <c r="BD53" s="310"/>
      <c r="BE53" s="310"/>
      <c r="BF53" s="310"/>
      <c r="BG53" s="310"/>
      <c r="BH53" s="310"/>
    </row>
    <row r="54" spans="1:60">
      <c r="A54" s="13"/>
      <c r="B54" s="13"/>
      <c r="C54" s="23"/>
      <c r="D54" s="23"/>
      <c r="E54" s="23"/>
      <c r="F54" s="313"/>
      <c r="G54" s="310"/>
      <c r="H54" s="310"/>
      <c r="I54" s="310"/>
      <c r="J54" s="310"/>
      <c r="K54" s="310"/>
      <c r="L54" s="310"/>
      <c r="M54" s="310"/>
      <c r="N54" s="310"/>
      <c r="O54" s="310"/>
      <c r="P54" s="310"/>
      <c r="Q54" s="310"/>
      <c r="R54" s="310"/>
      <c r="S54" s="310"/>
      <c r="T54" s="310"/>
      <c r="U54" s="310"/>
      <c r="V54" s="310"/>
      <c r="W54" s="310"/>
      <c r="X54" s="310"/>
      <c r="Y54" s="310"/>
      <c r="Z54" s="151"/>
      <c r="AA54" s="151"/>
      <c r="AB54" s="310"/>
      <c r="AC54" s="310"/>
      <c r="AD54" s="310"/>
      <c r="AE54" s="310"/>
      <c r="AF54" s="310"/>
      <c r="AG54" s="310"/>
      <c r="AH54" s="310"/>
      <c r="AI54" s="310"/>
      <c r="AJ54" s="310"/>
      <c r="AK54" s="310"/>
      <c r="AL54" s="310"/>
      <c r="AM54" s="310"/>
      <c r="AN54" s="310"/>
      <c r="AO54" s="310"/>
      <c r="AP54" s="310"/>
      <c r="AQ54" s="310"/>
      <c r="AR54" s="310"/>
      <c r="AS54" s="310"/>
      <c r="AT54" s="310"/>
      <c r="AU54" s="310"/>
      <c r="AV54" s="310"/>
      <c r="AW54" s="310"/>
      <c r="AX54" s="310"/>
      <c r="AY54" s="310"/>
      <c r="AZ54" s="310"/>
      <c r="BA54" s="310"/>
      <c r="BB54" s="310"/>
      <c r="BC54" s="310"/>
      <c r="BD54" s="310"/>
      <c r="BE54" s="310"/>
      <c r="BF54" s="310"/>
      <c r="BG54" s="310"/>
      <c r="BH54" s="310"/>
    </row>
    <row r="55" spans="1:60">
      <c r="A55" s="13"/>
      <c r="B55" s="180"/>
      <c r="C55" s="313"/>
      <c r="D55" s="313"/>
      <c r="E55" s="313"/>
      <c r="F55" s="313"/>
      <c r="G55" s="310"/>
      <c r="H55" s="310"/>
      <c r="I55" s="310"/>
      <c r="J55" s="310"/>
      <c r="K55" s="310"/>
      <c r="L55" s="310"/>
      <c r="M55" s="310"/>
      <c r="N55" s="310"/>
      <c r="O55" s="310"/>
      <c r="P55" s="310"/>
      <c r="Q55" s="310"/>
      <c r="R55" s="310"/>
      <c r="S55" s="310"/>
      <c r="T55" s="310"/>
      <c r="U55" s="310"/>
      <c r="V55" s="310"/>
      <c r="W55" s="310"/>
      <c r="X55" s="310"/>
      <c r="Y55" s="310"/>
      <c r="Z55" s="151"/>
      <c r="AA55" s="151"/>
      <c r="AB55" s="310"/>
      <c r="AC55" s="310"/>
      <c r="AD55" s="310"/>
      <c r="AE55" s="310"/>
      <c r="AF55" s="310"/>
      <c r="AG55" s="310"/>
      <c r="AH55" s="310"/>
      <c r="AI55" s="310"/>
      <c r="AJ55" s="310"/>
      <c r="AK55" s="310"/>
      <c r="AL55" s="310"/>
      <c r="AM55" s="310"/>
      <c r="AN55" s="310"/>
      <c r="AO55" s="310"/>
      <c r="AP55" s="310"/>
      <c r="AQ55" s="310"/>
      <c r="AR55" s="310"/>
      <c r="AS55" s="310"/>
      <c r="AT55" s="310"/>
      <c r="AU55" s="310"/>
      <c r="AV55" s="310"/>
      <c r="AW55" s="310"/>
      <c r="AX55" s="310"/>
      <c r="AY55" s="310"/>
      <c r="AZ55" s="310"/>
      <c r="BA55" s="310"/>
      <c r="BB55" s="310"/>
      <c r="BC55" s="310"/>
      <c r="BD55" s="310"/>
      <c r="BE55" s="310"/>
      <c r="BF55" s="310"/>
      <c r="BG55" s="310"/>
      <c r="BH55" s="310"/>
    </row>
    <row r="56" spans="1:60">
      <c r="A56" s="13"/>
      <c r="B56" s="180"/>
      <c r="C56" s="313"/>
      <c r="D56" s="313"/>
      <c r="E56" s="313"/>
      <c r="F56" s="313"/>
      <c r="G56" s="310"/>
      <c r="H56" s="310"/>
      <c r="I56" s="310"/>
      <c r="J56" s="310"/>
      <c r="K56" s="310"/>
      <c r="L56" s="310"/>
      <c r="M56" s="310"/>
      <c r="N56" s="310"/>
      <c r="O56" s="310"/>
      <c r="P56" s="310"/>
      <c r="Q56" s="310"/>
      <c r="R56" s="310"/>
      <c r="S56" s="310"/>
      <c r="T56" s="310"/>
      <c r="U56" s="310"/>
      <c r="V56" s="310"/>
      <c r="W56" s="310"/>
      <c r="X56" s="310"/>
      <c r="Y56" s="310"/>
      <c r="Z56" s="151"/>
      <c r="AA56" s="151"/>
      <c r="AB56" s="310"/>
      <c r="AC56" s="310"/>
      <c r="AD56" s="310"/>
      <c r="AE56" s="310"/>
      <c r="AF56" s="310"/>
      <c r="AG56" s="310"/>
      <c r="AH56" s="310"/>
      <c r="AI56" s="310"/>
      <c r="AJ56" s="310"/>
      <c r="AK56" s="310"/>
      <c r="AL56" s="310"/>
      <c r="AM56" s="310"/>
      <c r="AN56" s="310"/>
      <c r="AO56" s="310"/>
      <c r="AP56" s="310"/>
      <c r="AQ56" s="310"/>
      <c r="AR56" s="310"/>
      <c r="AS56" s="310"/>
      <c r="AT56" s="310"/>
      <c r="AU56" s="310"/>
      <c r="AV56" s="310"/>
      <c r="AW56" s="310"/>
      <c r="AX56" s="310"/>
      <c r="AY56" s="310"/>
      <c r="AZ56" s="310"/>
      <c r="BA56" s="310"/>
      <c r="BB56" s="310"/>
      <c r="BC56" s="310"/>
      <c r="BD56" s="310"/>
      <c r="BE56" s="310"/>
      <c r="BF56" s="310"/>
      <c r="BG56" s="310"/>
      <c r="BH56" s="310"/>
    </row>
    <row r="57" spans="1:60">
      <c r="A57" s="13"/>
      <c r="B57" s="180"/>
      <c r="C57" s="313"/>
      <c r="D57" s="313"/>
      <c r="E57" s="313"/>
      <c r="F57" s="313"/>
      <c r="G57" s="310"/>
      <c r="H57" s="310"/>
      <c r="I57" s="310"/>
      <c r="J57" s="310"/>
      <c r="K57" s="310"/>
      <c r="L57" s="310"/>
      <c r="M57" s="310"/>
      <c r="N57" s="310"/>
      <c r="O57" s="310"/>
      <c r="P57" s="310"/>
      <c r="Q57" s="310"/>
      <c r="R57" s="310"/>
      <c r="S57" s="310"/>
      <c r="T57" s="310"/>
      <c r="U57" s="310"/>
      <c r="V57" s="310"/>
      <c r="W57" s="310"/>
      <c r="X57" s="310"/>
      <c r="Y57" s="310"/>
      <c r="Z57" s="151"/>
      <c r="AA57" s="151"/>
      <c r="AB57" s="310"/>
      <c r="AC57" s="310"/>
      <c r="AD57" s="310"/>
      <c r="AE57" s="310"/>
      <c r="AF57" s="310"/>
      <c r="AG57" s="310"/>
      <c r="AH57" s="310"/>
      <c r="AI57" s="310"/>
      <c r="AJ57" s="310"/>
      <c r="AK57" s="310"/>
      <c r="AL57" s="310"/>
      <c r="AM57" s="310"/>
      <c r="AN57" s="310"/>
      <c r="AO57" s="310"/>
      <c r="AP57" s="310"/>
      <c r="AQ57" s="310"/>
      <c r="AR57" s="310"/>
      <c r="AS57" s="310"/>
      <c r="AT57" s="310"/>
      <c r="AU57" s="310"/>
      <c r="AV57" s="310"/>
      <c r="AW57" s="310"/>
      <c r="AX57" s="310"/>
      <c r="AY57" s="310"/>
      <c r="AZ57" s="310"/>
      <c r="BA57" s="310"/>
      <c r="BB57" s="310"/>
      <c r="BC57" s="310"/>
      <c r="BD57" s="310"/>
      <c r="BE57" s="310"/>
      <c r="BF57" s="310"/>
      <c r="BG57" s="310"/>
      <c r="BH57" s="310"/>
    </row>
    <row r="58" spans="1:60">
      <c r="A58" s="13"/>
      <c r="B58" s="180"/>
      <c r="C58" s="313"/>
      <c r="D58" s="313"/>
      <c r="E58" s="313"/>
      <c r="F58" s="313"/>
      <c r="G58" s="310"/>
      <c r="H58" s="310"/>
      <c r="I58" s="310"/>
      <c r="J58" s="310"/>
      <c r="K58" s="310"/>
      <c r="L58" s="310"/>
      <c r="M58" s="310"/>
      <c r="N58" s="310"/>
      <c r="O58" s="310"/>
      <c r="P58" s="310"/>
      <c r="Q58" s="310"/>
      <c r="R58" s="310"/>
      <c r="S58" s="310"/>
      <c r="T58" s="310"/>
      <c r="U58" s="310"/>
      <c r="V58" s="310"/>
      <c r="W58" s="310"/>
      <c r="X58" s="310"/>
      <c r="Y58" s="310"/>
      <c r="Z58" s="151"/>
      <c r="AA58" s="151"/>
      <c r="AB58" s="310"/>
      <c r="AC58" s="310"/>
      <c r="AD58" s="310"/>
      <c r="AE58" s="310"/>
      <c r="AF58" s="310"/>
      <c r="AG58" s="310"/>
      <c r="AH58" s="310"/>
      <c r="AI58" s="310"/>
      <c r="AJ58" s="310"/>
      <c r="AK58" s="310"/>
      <c r="AL58" s="310"/>
      <c r="AM58" s="310"/>
      <c r="AN58" s="310"/>
      <c r="AO58" s="310"/>
      <c r="AP58" s="310"/>
      <c r="AQ58" s="310"/>
      <c r="AR58" s="310"/>
      <c r="AS58" s="310"/>
      <c r="AT58" s="310"/>
      <c r="AU58" s="310"/>
      <c r="AV58" s="310"/>
      <c r="AW58" s="310"/>
      <c r="AX58" s="310"/>
      <c r="AY58" s="310"/>
      <c r="AZ58" s="310"/>
      <c r="BA58" s="310"/>
      <c r="BB58" s="310"/>
      <c r="BC58" s="310"/>
      <c r="BD58" s="310"/>
      <c r="BE58" s="310"/>
      <c r="BF58" s="310"/>
      <c r="BG58" s="310"/>
      <c r="BH58" s="310"/>
    </row>
    <row r="59" spans="1:60">
      <c r="A59" s="13"/>
      <c r="B59" s="180"/>
      <c r="C59" s="313"/>
      <c r="D59" s="313"/>
      <c r="E59" s="313"/>
      <c r="F59" s="313"/>
      <c r="G59" s="310"/>
      <c r="H59" s="310"/>
      <c r="I59" s="310"/>
      <c r="J59" s="310"/>
      <c r="K59" s="310"/>
      <c r="L59" s="310"/>
      <c r="M59" s="310"/>
      <c r="N59" s="310"/>
      <c r="O59" s="310"/>
      <c r="P59" s="310"/>
      <c r="Q59" s="310"/>
      <c r="R59" s="310"/>
      <c r="S59" s="310"/>
      <c r="T59" s="310"/>
      <c r="U59" s="310"/>
      <c r="V59" s="310"/>
      <c r="W59" s="310"/>
      <c r="X59" s="310"/>
      <c r="Y59" s="310"/>
      <c r="Z59" s="151"/>
      <c r="AA59" s="151"/>
      <c r="AB59" s="310"/>
      <c r="AC59" s="310"/>
      <c r="AD59" s="310"/>
      <c r="AE59" s="310"/>
      <c r="AF59" s="310"/>
      <c r="AG59" s="310"/>
      <c r="AH59" s="310"/>
      <c r="AI59" s="310"/>
      <c r="AJ59" s="310"/>
      <c r="AK59" s="310"/>
      <c r="AL59" s="310"/>
      <c r="AM59" s="310"/>
      <c r="AN59" s="310"/>
      <c r="AO59" s="310"/>
      <c r="AP59" s="310"/>
      <c r="AQ59" s="310"/>
      <c r="AR59" s="310"/>
      <c r="AS59" s="310"/>
      <c r="AT59" s="310"/>
      <c r="AU59" s="310"/>
      <c r="AV59" s="310"/>
      <c r="AW59" s="310"/>
      <c r="AX59" s="310"/>
      <c r="AY59" s="310"/>
      <c r="AZ59" s="310"/>
      <c r="BA59" s="310"/>
      <c r="BB59" s="310"/>
      <c r="BC59" s="310"/>
      <c r="BD59" s="310"/>
      <c r="BE59" s="310"/>
      <c r="BF59" s="310"/>
      <c r="BG59" s="310"/>
      <c r="BH59" s="310"/>
    </row>
    <row r="60" spans="1:60">
      <c r="A60" s="13"/>
      <c r="B60" s="180"/>
      <c r="C60" s="313"/>
      <c r="D60" s="313"/>
      <c r="E60" s="313"/>
      <c r="F60" s="313"/>
      <c r="G60" s="310"/>
      <c r="H60" s="310"/>
      <c r="I60" s="310"/>
      <c r="J60" s="310"/>
      <c r="K60" s="310"/>
      <c r="L60" s="310"/>
      <c r="M60" s="310"/>
      <c r="N60" s="310"/>
      <c r="O60" s="310"/>
      <c r="P60" s="310"/>
      <c r="Q60" s="310"/>
      <c r="R60" s="310"/>
      <c r="S60" s="310"/>
      <c r="T60" s="310"/>
      <c r="U60" s="310"/>
      <c r="V60" s="310"/>
      <c r="W60" s="310"/>
      <c r="X60" s="310"/>
      <c r="Y60" s="310"/>
      <c r="Z60" s="151"/>
      <c r="AA60" s="151"/>
      <c r="AB60" s="310"/>
      <c r="AC60" s="310"/>
      <c r="AD60" s="310"/>
      <c r="AE60" s="310"/>
      <c r="AF60" s="310"/>
      <c r="AG60" s="310"/>
      <c r="AH60" s="310"/>
      <c r="AI60" s="310"/>
      <c r="AJ60" s="310"/>
      <c r="AK60" s="310"/>
      <c r="AL60" s="310"/>
      <c r="AM60" s="310"/>
      <c r="AN60" s="310"/>
      <c r="AO60" s="310"/>
      <c r="AP60" s="310"/>
      <c r="AQ60" s="310"/>
      <c r="AR60" s="310"/>
      <c r="AS60" s="310"/>
      <c r="AT60" s="310"/>
      <c r="AU60" s="310"/>
      <c r="AV60" s="310"/>
      <c r="AW60" s="310"/>
      <c r="AX60" s="310"/>
      <c r="AY60" s="310"/>
    </row>
    <row r="61" spans="1:60">
      <c r="A61" s="180"/>
      <c r="B61" s="180"/>
      <c r="C61" s="313"/>
      <c r="D61" s="313"/>
      <c r="E61" s="313"/>
      <c r="F61" s="313"/>
      <c r="G61" s="310"/>
      <c r="H61" s="310"/>
      <c r="I61" s="310"/>
      <c r="J61" s="310"/>
      <c r="K61" s="310"/>
      <c r="L61" s="310"/>
      <c r="M61" s="310"/>
      <c r="N61" s="310"/>
      <c r="O61" s="310"/>
      <c r="P61" s="310"/>
      <c r="Q61" s="310"/>
      <c r="R61" s="310"/>
      <c r="S61" s="310"/>
      <c r="T61" s="310"/>
      <c r="U61" s="310"/>
      <c r="V61" s="310"/>
      <c r="W61" s="310"/>
      <c r="X61" s="310"/>
      <c r="Y61" s="310"/>
      <c r="Z61" s="151"/>
      <c r="AA61" s="151"/>
      <c r="AB61" s="310"/>
      <c r="AC61" s="310"/>
      <c r="AD61" s="310"/>
      <c r="AE61" s="310"/>
      <c r="AF61" s="310"/>
      <c r="AG61" s="310"/>
      <c r="AH61" s="310"/>
      <c r="AI61" s="310"/>
      <c r="AJ61" s="310"/>
      <c r="AK61" s="310"/>
      <c r="AL61" s="310"/>
      <c r="AM61" s="310"/>
      <c r="AN61" s="310"/>
      <c r="AO61" s="310"/>
      <c r="AP61" s="310"/>
      <c r="AQ61" s="310"/>
      <c r="AR61" s="310"/>
      <c r="AS61" s="310"/>
      <c r="AT61" s="310"/>
      <c r="AU61" s="310"/>
      <c r="AV61" s="310"/>
      <c r="AW61" s="310"/>
      <c r="AX61" s="310"/>
      <c r="AY61" s="310"/>
    </row>
    <row r="62" spans="1:60">
      <c r="C62" s="310"/>
      <c r="D62" s="310"/>
      <c r="E62" s="310"/>
      <c r="F62" s="310"/>
      <c r="G62" s="310"/>
      <c r="H62" s="310"/>
      <c r="I62" s="310"/>
      <c r="J62" s="310"/>
      <c r="K62" s="310"/>
      <c r="L62" s="310"/>
      <c r="M62" s="310"/>
      <c r="N62" s="310"/>
      <c r="O62" s="310"/>
      <c r="P62" s="310"/>
      <c r="Q62" s="310"/>
      <c r="R62" s="310"/>
      <c r="S62" s="310"/>
      <c r="T62" s="310"/>
      <c r="U62" s="310"/>
      <c r="V62" s="310"/>
      <c r="W62" s="310"/>
      <c r="X62" s="310"/>
      <c r="Y62" s="310"/>
      <c r="Z62" s="151"/>
      <c r="AA62" s="151"/>
      <c r="AB62" s="310"/>
      <c r="AC62" s="310"/>
      <c r="AD62" s="310"/>
      <c r="AE62" s="310"/>
      <c r="AF62" s="310"/>
      <c r="AG62" s="310"/>
      <c r="AH62" s="310"/>
      <c r="AI62" s="310"/>
      <c r="AJ62" s="310"/>
      <c r="AK62" s="310"/>
      <c r="AL62" s="310"/>
      <c r="AM62" s="310"/>
      <c r="AN62" s="310"/>
      <c r="AO62" s="310"/>
      <c r="AP62" s="310"/>
      <c r="AQ62" s="310"/>
      <c r="AR62" s="310"/>
      <c r="AS62" s="310"/>
      <c r="AT62" s="310"/>
      <c r="AU62" s="310"/>
      <c r="AV62" s="310"/>
      <c r="AW62" s="310"/>
      <c r="AX62" s="310"/>
      <c r="AY62" s="310"/>
    </row>
    <row r="63" spans="1:60">
      <c r="C63" s="310"/>
      <c r="D63" s="310"/>
      <c r="E63" s="310"/>
      <c r="F63" s="310"/>
      <c r="G63" s="310"/>
      <c r="H63" s="310"/>
      <c r="I63" s="310"/>
      <c r="J63" s="310"/>
      <c r="K63" s="310"/>
      <c r="L63" s="310"/>
      <c r="M63" s="310"/>
      <c r="N63" s="310"/>
      <c r="O63" s="310"/>
      <c r="P63" s="310"/>
      <c r="Q63" s="310"/>
      <c r="R63" s="310"/>
      <c r="S63" s="310"/>
      <c r="T63" s="310"/>
      <c r="U63" s="310"/>
      <c r="V63" s="310"/>
      <c r="W63" s="310"/>
      <c r="X63" s="310"/>
      <c r="Y63" s="310"/>
      <c r="Z63" s="151"/>
      <c r="AA63" s="151"/>
      <c r="AB63" s="310"/>
      <c r="AC63" s="310"/>
      <c r="AD63" s="310"/>
      <c r="AE63" s="310"/>
      <c r="AF63" s="310"/>
      <c r="AG63" s="310"/>
      <c r="AH63" s="310"/>
      <c r="AI63" s="310"/>
      <c r="AJ63" s="310"/>
      <c r="AK63" s="310"/>
      <c r="AL63" s="310"/>
      <c r="AM63" s="310"/>
      <c r="AN63" s="310"/>
      <c r="AO63" s="310"/>
      <c r="AP63" s="310"/>
      <c r="AQ63" s="310"/>
      <c r="AR63" s="310"/>
      <c r="AS63" s="310"/>
      <c r="AT63" s="310"/>
      <c r="AU63" s="310"/>
      <c r="AV63" s="310"/>
      <c r="AW63" s="310"/>
      <c r="AX63" s="310"/>
      <c r="AY63" s="310"/>
    </row>
    <row r="64" spans="1:60">
      <c r="C64" s="310"/>
      <c r="D64" s="310"/>
      <c r="E64" s="310"/>
      <c r="F64" s="310"/>
      <c r="G64" s="310"/>
      <c r="H64" s="310"/>
      <c r="I64" s="310"/>
      <c r="J64" s="310"/>
      <c r="K64" s="310"/>
      <c r="L64" s="310"/>
      <c r="M64" s="310"/>
      <c r="N64" s="310"/>
      <c r="O64" s="310"/>
      <c r="P64" s="310"/>
      <c r="Q64" s="310"/>
      <c r="R64" s="310"/>
      <c r="S64" s="310"/>
      <c r="T64" s="310"/>
      <c r="U64" s="310"/>
      <c r="V64" s="310"/>
      <c r="W64" s="310"/>
      <c r="X64" s="310"/>
      <c r="Y64" s="310"/>
      <c r="Z64" s="151"/>
      <c r="AA64" s="151"/>
      <c r="AB64" s="310"/>
      <c r="AC64" s="310"/>
      <c r="AD64" s="310"/>
      <c r="AE64" s="310"/>
      <c r="AF64" s="310"/>
      <c r="AG64" s="310"/>
      <c r="AH64" s="310"/>
      <c r="AI64" s="310"/>
      <c r="AJ64" s="310"/>
      <c r="AK64" s="310"/>
      <c r="AL64" s="310"/>
      <c r="AM64" s="310"/>
      <c r="AN64" s="310"/>
      <c r="AO64" s="310"/>
      <c r="AP64" s="310"/>
      <c r="AQ64" s="310"/>
      <c r="AR64" s="310"/>
      <c r="AS64" s="310"/>
      <c r="AT64" s="310"/>
      <c r="AU64" s="310"/>
      <c r="AV64" s="310"/>
      <c r="AW64" s="310"/>
      <c r="AX64" s="310"/>
      <c r="AY64" s="310"/>
    </row>
    <row r="65" spans="3:51">
      <c r="C65" s="310"/>
      <c r="D65" s="310"/>
      <c r="E65" s="310"/>
      <c r="F65" s="310"/>
      <c r="G65" s="310"/>
      <c r="H65" s="310"/>
      <c r="I65" s="310"/>
      <c r="J65" s="310"/>
      <c r="K65" s="310"/>
      <c r="L65" s="310"/>
      <c r="M65" s="310"/>
      <c r="N65" s="310"/>
      <c r="O65" s="310"/>
      <c r="P65" s="310"/>
      <c r="Q65" s="310"/>
      <c r="R65" s="310"/>
      <c r="S65" s="310"/>
      <c r="T65" s="310"/>
      <c r="U65" s="310"/>
      <c r="V65" s="310"/>
      <c r="W65" s="310"/>
      <c r="X65" s="310"/>
      <c r="Y65" s="310"/>
      <c r="Z65" s="151"/>
      <c r="AA65" s="151"/>
      <c r="AB65" s="310"/>
      <c r="AC65" s="310"/>
      <c r="AD65" s="310"/>
      <c r="AE65" s="310"/>
      <c r="AF65" s="310"/>
      <c r="AG65" s="310"/>
      <c r="AH65" s="310"/>
      <c r="AI65" s="310"/>
      <c r="AJ65" s="310"/>
      <c r="AK65" s="310"/>
      <c r="AL65" s="310"/>
      <c r="AM65" s="310"/>
      <c r="AN65" s="310"/>
      <c r="AO65" s="310"/>
      <c r="AP65" s="310"/>
      <c r="AQ65" s="310"/>
      <c r="AR65" s="310"/>
      <c r="AS65" s="310"/>
      <c r="AT65" s="310"/>
      <c r="AU65" s="310"/>
      <c r="AV65" s="310"/>
      <c r="AW65" s="310"/>
      <c r="AX65" s="310"/>
      <c r="AY65" s="310"/>
    </row>
    <row r="66" spans="3:51">
      <c r="C66" s="310"/>
      <c r="D66" s="310"/>
      <c r="E66" s="310"/>
      <c r="F66" s="310"/>
      <c r="G66" s="310"/>
      <c r="H66" s="310"/>
      <c r="I66" s="310"/>
      <c r="J66" s="310"/>
      <c r="K66" s="310"/>
      <c r="L66" s="310"/>
      <c r="M66" s="310"/>
      <c r="N66" s="310"/>
      <c r="O66" s="310"/>
      <c r="P66" s="310"/>
      <c r="Q66" s="310"/>
      <c r="R66" s="310"/>
      <c r="S66" s="310"/>
      <c r="T66" s="310"/>
      <c r="U66" s="310"/>
      <c r="V66" s="310"/>
      <c r="W66" s="310"/>
      <c r="X66" s="310"/>
      <c r="Y66" s="310"/>
      <c r="Z66" s="151"/>
      <c r="AA66" s="151"/>
      <c r="AB66" s="310"/>
      <c r="AC66" s="310"/>
      <c r="AD66" s="310"/>
      <c r="AE66" s="310"/>
      <c r="AF66" s="310"/>
      <c r="AG66" s="310"/>
      <c r="AH66" s="310"/>
      <c r="AI66" s="310"/>
      <c r="AJ66" s="310"/>
      <c r="AK66" s="310"/>
      <c r="AL66" s="310"/>
      <c r="AM66" s="310"/>
      <c r="AN66" s="310"/>
      <c r="AO66" s="310"/>
      <c r="AP66" s="310"/>
      <c r="AQ66" s="310"/>
      <c r="AR66" s="310"/>
      <c r="AS66" s="310"/>
      <c r="AT66" s="310"/>
      <c r="AU66" s="310"/>
      <c r="AV66" s="310"/>
      <c r="AW66" s="310"/>
      <c r="AX66" s="310"/>
      <c r="AY66" s="310"/>
    </row>
    <row r="67" spans="3:51">
      <c r="C67" s="310"/>
      <c r="D67" s="310"/>
      <c r="E67" s="310"/>
      <c r="F67" s="310"/>
      <c r="G67" s="310"/>
      <c r="H67" s="310"/>
      <c r="I67" s="310"/>
      <c r="J67" s="310"/>
      <c r="K67" s="310"/>
      <c r="L67" s="310"/>
      <c r="M67" s="310"/>
      <c r="N67" s="310"/>
      <c r="O67" s="310"/>
      <c r="P67" s="310"/>
      <c r="Q67" s="310"/>
      <c r="R67" s="310"/>
      <c r="S67" s="310"/>
      <c r="T67" s="310"/>
      <c r="U67" s="310"/>
      <c r="V67" s="310"/>
      <c r="W67" s="310"/>
      <c r="X67" s="310"/>
      <c r="Y67" s="310"/>
      <c r="Z67" s="151"/>
      <c r="AA67" s="151"/>
      <c r="AB67" s="310"/>
      <c r="AC67" s="310"/>
      <c r="AD67" s="310"/>
      <c r="AE67" s="310"/>
      <c r="AF67" s="310"/>
      <c r="AG67" s="310"/>
      <c r="AH67" s="310"/>
      <c r="AI67" s="310"/>
      <c r="AJ67" s="310"/>
      <c r="AK67" s="310"/>
      <c r="AL67" s="310"/>
      <c r="AM67" s="310"/>
      <c r="AN67" s="310"/>
      <c r="AO67" s="310"/>
      <c r="AP67" s="310"/>
      <c r="AQ67" s="310"/>
      <c r="AR67" s="310"/>
      <c r="AS67" s="310"/>
      <c r="AT67" s="310"/>
      <c r="AU67" s="310"/>
      <c r="AV67" s="310"/>
      <c r="AW67" s="310"/>
      <c r="AX67" s="310"/>
      <c r="AY67" s="310"/>
    </row>
    <row r="68" spans="3:51">
      <c r="C68" s="310"/>
      <c r="D68" s="310"/>
      <c r="E68" s="310"/>
      <c r="F68" s="310"/>
      <c r="G68" s="310"/>
      <c r="H68" s="310"/>
      <c r="I68" s="310"/>
      <c r="J68" s="310"/>
      <c r="K68" s="310"/>
      <c r="L68" s="310"/>
      <c r="M68" s="310"/>
      <c r="N68" s="310"/>
      <c r="O68" s="310"/>
      <c r="P68" s="310"/>
      <c r="Q68" s="310"/>
      <c r="R68" s="310"/>
      <c r="S68" s="310"/>
      <c r="T68" s="310"/>
      <c r="U68" s="310"/>
      <c r="V68" s="310"/>
      <c r="W68" s="310"/>
      <c r="X68" s="310"/>
      <c r="Y68" s="310"/>
      <c r="Z68" s="151"/>
      <c r="AA68" s="151"/>
      <c r="AB68" s="310"/>
      <c r="AC68" s="310"/>
      <c r="AD68" s="310"/>
      <c r="AE68" s="310"/>
      <c r="AF68" s="310"/>
      <c r="AG68" s="310"/>
      <c r="AH68" s="310"/>
      <c r="AI68" s="310"/>
      <c r="AJ68" s="310"/>
      <c r="AK68" s="310"/>
      <c r="AL68" s="310"/>
      <c r="AM68" s="310"/>
      <c r="AN68" s="310"/>
      <c r="AO68" s="310"/>
      <c r="AP68" s="310"/>
      <c r="AQ68" s="310"/>
      <c r="AR68" s="310"/>
      <c r="AS68" s="310"/>
      <c r="AT68" s="310"/>
      <c r="AU68" s="310"/>
      <c r="AV68" s="310"/>
      <c r="AW68" s="310"/>
      <c r="AX68" s="310"/>
      <c r="AY68" s="310"/>
    </row>
    <row r="69" spans="3:51">
      <c r="C69" s="310"/>
      <c r="D69" s="310"/>
      <c r="E69" s="310"/>
      <c r="F69" s="310"/>
      <c r="G69" s="310"/>
      <c r="H69" s="310"/>
      <c r="I69" s="310"/>
      <c r="J69" s="310"/>
      <c r="K69" s="310"/>
      <c r="L69" s="310"/>
      <c r="M69" s="310"/>
      <c r="N69" s="310"/>
      <c r="O69" s="310"/>
      <c r="P69" s="310"/>
      <c r="Q69" s="310"/>
      <c r="R69" s="310"/>
      <c r="S69" s="310"/>
      <c r="T69" s="310"/>
      <c r="U69" s="310"/>
      <c r="V69" s="310"/>
      <c r="W69" s="310"/>
      <c r="X69" s="310"/>
      <c r="Y69" s="310"/>
      <c r="Z69" s="151"/>
      <c r="AA69" s="151"/>
      <c r="AB69" s="310"/>
      <c r="AC69" s="310"/>
      <c r="AD69" s="310"/>
      <c r="AE69" s="310"/>
      <c r="AF69" s="310"/>
      <c r="AG69" s="310"/>
      <c r="AH69" s="310"/>
      <c r="AI69" s="310"/>
      <c r="AJ69" s="310"/>
      <c r="AK69" s="310"/>
      <c r="AL69" s="310"/>
      <c r="AM69" s="310"/>
      <c r="AN69" s="310"/>
      <c r="AO69" s="310"/>
      <c r="AP69" s="310"/>
      <c r="AQ69" s="310"/>
      <c r="AR69" s="310"/>
      <c r="AS69" s="310"/>
      <c r="AT69" s="310"/>
      <c r="AU69" s="310"/>
      <c r="AV69" s="310"/>
      <c r="AW69" s="310"/>
      <c r="AX69" s="310"/>
      <c r="AY69" s="310"/>
    </row>
    <row r="70" spans="3:51">
      <c r="C70" s="310"/>
      <c r="D70" s="310"/>
      <c r="E70" s="310"/>
      <c r="F70" s="310"/>
      <c r="G70" s="310"/>
      <c r="H70" s="310"/>
      <c r="I70" s="310"/>
      <c r="J70" s="310"/>
      <c r="K70" s="310"/>
      <c r="L70" s="310"/>
      <c r="M70" s="310"/>
      <c r="N70" s="310"/>
      <c r="O70" s="310"/>
      <c r="P70" s="310"/>
      <c r="Q70" s="310"/>
      <c r="R70" s="310"/>
      <c r="S70" s="310"/>
      <c r="T70" s="310"/>
      <c r="U70" s="310"/>
      <c r="V70" s="310"/>
      <c r="W70" s="310"/>
      <c r="X70" s="310"/>
      <c r="Y70" s="310"/>
      <c r="Z70" s="151"/>
      <c r="AA70" s="151"/>
      <c r="AB70" s="310"/>
      <c r="AC70" s="310"/>
      <c r="AD70" s="310"/>
      <c r="AE70" s="310"/>
      <c r="AF70" s="310"/>
      <c r="AG70" s="310"/>
      <c r="AH70" s="310"/>
      <c r="AI70" s="310"/>
      <c r="AJ70" s="310"/>
      <c r="AK70" s="310"/>
      <c r="AL70" s="310"/>
      <c r="AM70" s="310"/>
      <c r="AN70" s="310"/>
      <c r="AO70" s="310"/>
      <c r="AP70" s="310"/>
      <c r="AQ70" s="310"/>
      <c r="AR70" s="310"/>
      <c r="AS70" s="310"/>
      <c r="AT70" s="310"/>
      <c r="AU70" s="310"/>
      <c r="AV70" s="310"/>
      <c r="AW70" s="310"/>
      <c r="AX70" s="310"/>
      <c r="AY70" s="310"/>
    </row>
    <row r="71" spans="3:51">
      <c r="C71" s="310"/>
      <c r="D71" s="310"/>
      <c r="E71" s="310"/>
      <c r="F71" s="310"/>
      <c r="G71" s="310"/>
      <c r="H71" s="310"/>
      <c r="I71" s="310"/>
      <c r="J71" s="310"/>
      <c r="K71" s="310"/>
      <c r="L71" s="310"/>
      <c r="M71" s="310"/>
      <c r="N71" s="310"/>
      <c r="O71" s="310"/>
      <c r="P71" s="310"/>
      <c r="Q71" s="310"/>
      <c r="R71" s="310"/>
      <c r="S71" s="310"/>
      <c r="T71" s="310"/>
      <c r="U71" s="310"/>
      <c r="V71" s="310"/>
      <c r="W71" s="310"/>
      <c r="X71" s="310"/>
      <c r="Y71" s="310"/>
      <c r="Z71" s="151"/>
      <c r="AA71" s="151"/>
      <c r="AB71" s="310"/>
      <c r="AC71" s="310"/>
      <c r="AD71" s="310"/>
      <c r="AE71" s="310"/>
      <c r="AF71" s="310"/>
      <c r="AG71" s="310"/>
      <c r="AH71" s="310"/>
      <c r="AI71" s="310"/>
      <c r="AJ71" s="310"/>
      <c r="AK71" s="310"/>
      <c r="AL71" s="310"/>
      <c r="AM71" s="310"/>
      <c r="AN71" s="310"/>
      <c r="AO71" s="310"/>
      <c r="AP71" s="310"/>
      <c r="AQ71" s="310"/>
      <c r="AR71" s="310"/>
      <c r="AS71" s="310"/>
      <c r="AT71" s="310"/>
      <c r="AU71" s="310"/>
      <c r="AV71" s="310"/>
      <c r="AW71" s="310"/>
      <c r="AX71" s="310"/>
      <c r="AY71" s="310"/>
    </row>
    <row r="72" spans="3:51">
      <c r="C72" s="310"/>
      <c r="D72" s="310"/>
      <c r="E72" s="310"/>
      <c r="F72" s="310"/>
      <c r="G72" s="310"/>
      <c r="H72" s="310"/>
      <c r="I72" s="310"/>
      <c r="J72" s="310"/>
      <c r="K72" s="310"/>
      <c r="L72" s="310"/>
      <c r="M72" s="310"/>
      <c r="N72" s="310"/>
      <c r="O72" s="310"/>
      <c r="P72" s="310"/>
      <c r="Q72" s="310"/>
      <c r="R72" s="310"/>
      <c r="S72" s="310"/>
      <c r="T72" s="310"/>
      <c r="U72" s="310"/>
      <c r="V72" s="310"/>
      <c r="W72" s="310"/>
      <c r="X72" s="310"/>
      <c r="Y72" s="310"/>
      <c r="Z72" s="151"/>
      <c r="AA72" s="151"/>
      <c r="AB72" s="310"/>
      <c r="AC72" s="310"/>
      <c r="AD72" s="310"/>
      <c r="AE72" s="310"/>
      <c r="AF72" s="310"/>
      <c r="AG72" s="310"/>
      <c r="AH72" s="310"/>
      <c r="AI72" s="310"/>
      <c r="AJ72" s="310"/>
      <c r="AK72" s="310"/>
      <c r="AL72" s="310"/>
      <c r="AM72" s="310"/>
      <c r="AN72" s="310"/>
      <c r="AO72" s="310"/>
      <c r="AP72" s="310"/>
      <c r="AQ72" s="310"/>
      <c r="AR72" s="310"/>
      <c r="AS72" s="310"/>
      <c r="AT72" s="310"/>
      <c r="AU72" s="310"/>
      <c r="AV72" s="310"/>
      <c r="AW72" s="310"/>
      <c r="AX72" s="310"/>
      <c r="AY72" s="310"/>
    </row>
    <row r="73" spans="3:51">
      <c r="C73" s="310"/>
      <c r="D73" s="310"/>
      <c r="E73" s="310"/>
      <c r="F73" s="310"/>
      <c r="G73" s="310"/>
      <c r="H73" s="310"/>
      <c r="I73" s="310"/>
      <c r="J73" s="310"/>
      <c r="K73" s="310"/>
      <c r="L73" s="310"/>
      <c r="M73" s="310"/>
      <c r="N73" s="310"/>
      <c r="O73" s="310"/>
      <c r="P73" s="310"/>
      <c r="Q73" s="310"/>
      <c r="R73" s="310"/>
      <c r="S73" s="310"/>
      <c r="T73" s="310"/>
      <c r="U73" s="310"/>
      <c r="V73" s="310"/>
      <c r="W73" s="310"/>
      <c r="X73" s="310"/>
      <c r="Y73" s="310"/>
      <c r="Z73" s="151"/>
      <c r="AA73" s="151"/>
      <c r="AB73" s="310"/>
      <c r="AC73" s="310"/>
      <c r="AD73" s="310"/>
      <c r="AE73" s="310"/>
      <c r="AF73" s="310"/>
      <c r="AG73" s="310"/>
      <c r="AH73" s="310"/>
      <c r="AI73" s="310"/>
      <c r="AJ73" s="310"/>
      <c r="AK73" s="310"/>
      <c r="AL73" s="310"/>
      <c r="AM73" s="310"/>
      <c r="AN73" s="310"/>
      <c r="AO73" s="310"/>
      <c r="AP73" s="310"/>
      <c r="AQ73" s="310"/>
      <c r="AR73" s="310"/>
      <c r="AS73" s="310"/>
      <c r="AT73" s="310"/>
      <c r="AU73" s="310"/>
      <c r="AV73" s="310"/>
      <c r="AW73" s="310"/>
      <c r="AX73" s="310"/>
      <c r="AY73" s="310"/>
    </row>
    <row r="74" spans="3:51">
      <c r="C74" s="310"/>
      <c r="D74" s="310"/>
      <c r="E74" s="310"/>
      <c r="F74" s="310"/>
      <c r="G74" s="310"/>
      <c r="H74" s="310"/>
      <c r="I74" s="310"/>
      <c r="J74" s="310"/>
      <c r="K74" s="310"/>
      <c r="L74" s="310"/>
      <c r="M74" s="310"/>
      <c r="N74" s="310"/>
      <c r="O74" s="310"/>
      <c r="P74" s="310"/>
      <c r="Q74" s="310"/>
      <c r="R74" s="310"/>
      <c r="S74" s="310"/>
      <c r="T74" s="310"/>
      <c r="U74" s="310"/>
      <c r="V74" s="310"/>
      <c r="W74" s="310"/>
      <c r="X74" s="310"/>
      <c r="Y74" s="310"/>
      <c r="Z74" s="151"/>
      <c r="AA74" s="151"/>
      <c r="AB74" s="310"/>
      <c r="AC74" s="310"/>
      <c r="AD74" s="310"/>
      <c r="AE74" s="310"/>
      <c r="AF74" s="310"/>
      <c r="AG74" s="310"/>
      <c r="AH74" s="310"/>
      <c r="AI74" s="310"/>
      <c r="AJ74" s="310"/>
      <c r="AK74" s="310"/>
      <c r="AL74" s="310"/>
      <c r="AM74" s="310"/>
      <c r="AN74" s="310"/>
      <c r="AO74" s="310"/>
      <c r="AP74" s="310"/>
      <c r="AQ74" s="310"/>
      <c r="AR74" s="310"/>
      <c r="AS74" s="310"/>
      <c r="AT74" s="310"/>
      <c r="AU74" s="310"/>
      <c r="AV74" s="310"/>
      <c r="AW74" s="310"/>
      <c r="AX74" s="310"/>
      <c r="AY74" s="310"/>
    </row>
    <row r="75" spans="3:51">
      <c r="C75" s="310"/>
      <c r="D75" s="310"/>
      <c r="E75" s="310"/>
      <c r="F75" s="310"/>
      <c r="G75" s="310"/>
      <c r="H75" s="310"/>
      <c r="I75" s="310"/>
      <c r="J75" s="310"/>
      <c r="K75" s="310"/>
      <c r="L75" s="310"/>
      <c r="M75" s="310"/>
      <c r="N75" s="310"/>
      <c r="O75" s="310"/>
      <c r="P75" s="310"/>
      <c r="Q75" s="310"/>
      <c r="R75" s="310"/>
      <c r="S75" s="310"/>
      <c r="T75" s="310"/>
      <c r="U75" s="310"/>
      <c r="V75" s="310"/>
      <c r="W75" s="310"/>
      <c r="X75" s="310"/>
      <c r="Y75" s="310"/>
      <c r="Z75" s="151"/>
      <c r="AA75" s="151"/>
      <c r="AB75" s="310"/>
      <c r="AC75" s="310"/>
      <c r="AD75" s="310"/>
      <c r="AE75" s="310"/>
      <c r="AF75" s="310"/>
      <c r="AG75" s="310"/>
      <c r="AH75" s="310"/>
      <c r="AI75" s="310"/>
      <c r="AJ75" s="310"/>
      <c r="AK75" s="310"/>
      <c r="AL75" s="310"/>
      <c r="AM75" s="310"/>
      <c r="AN75" s="310"/>
      <c r="AO75" s="310"/>
      <c r="AP75" s="310"/>
      <c r="AQ75" s="310"/>
      <c r="AR75" s="310"/>
      <c r="AS75" s="310"/>
      <c r="AT75" s="310"/>
      <c r="AU75" s="310"/>
      <c r="AV75" s="310"/>
      <c r="AW75" s="310"/>
      <c r="AX75" s="310"/>
      <c r="AY75" s="310"/>
    </row>
    <row r="76" spans="3:51">
      <c r="C76" s="310"/>
      <c r="D76" s="310"/>
      <c r="E76" s="310"/>
      <c r="F76" s="310"/>
      <c r="G76" s="310"/>
      <c r="H76" s="310"/>
      <c r="I76" s="310"/>
      <c r="J76" s="310"/>
      <c r="K76" s="310"/>
      <c r="L76" s="310"/>
      <c r="M76" s="310"/>
      <c r="N76" s="310"/>
      <c r="O76" s="310"/>
      <c r="P76" s="310"/>
      <c r="Q76" s="310"/>
      <c r="R76" s="310"/>
      <c r="S76" s="310"/>
      <c r="T76" s="310"/>
      <c r="U76" s="310"/>
      <c r="V76" s="310"/>
      <c r="W76" s="310"/>
      <c r="X76" s="310"/>
      <c r="Y76" s="310"/>
      <c r="Z76" s="151"/>
      <c r="AA76" s="151"/>
      <c r="AB76" s="310"/>
      <c r="AC76" s="310"/>
      <c r="AD76" s="310"/>
      <c r="AE76" s="310"/>
      <c r="AF76" s="310"/>
      <c r="AG76" s="310"/>
      <c r="AH76" s="310"/>
      <c r="AI76" s="310"/>
      <c r="AJ76" s="310"/>
      <c r="AK76" s="310"/>
      <c r="AL76" s="310"/>
      <c r="AM76" s="310"/>
      <c r="AN76" s="310"/>
      <c r="AO76" s="310"/>
      <c r="AP76" s="310"/>
      <c r="AQ76" s="310"/>
      <c r="AR76" s="310"/>
      <c r="AS76" s="310"/>
      <c r="AT76" s="310"/>
      <c r="AU76" s="310"/>
      <c r="AV76" s="310"/>
      <c r="AW76" s="310"/>
      <c r="AX76" s="310"/>
      <c r="AY76" s="310"/>
    </row>
    <row r="77" spans="3:51">
      <c r="C77" s="310"/>
      <c r="D77" s="310"/>
      <c r="E77" s="310"/>
      <c r="F77" s="310"/>
      <c r="G77" s="310"/>
      <c r="H77" s="310"/>
      <c r="I77" s="310"/>
      <c r="J77" s="310"/>
      <c r="K77" s="310"/>
      <c r="L77" s="310"/>
      <c r="M77" s="310"/>
      <c r="N77" s="310"/>
      <c r="O77" s="310"/>
      <c r="P77" s="310"/>
      <c r="Q77" s="310"/>
      <c r="R77" s="310"/>
      <c r="S77" s="310"/>
      <c r="T77" s="310"/>
      <c r="U77" s="310"/>
      <c r="V77" s="310"/>
      <c r="W77" s="310"/>
      <c r="X77" s="310"/>
      <c r="Y77" s="310"/>
      <c r="Z77" s="151"/>
      <c r="AA77" s="151"/>
      <c r="AB77" s="310"/>
      <c r="AC77" s="310"/>
      <c r="AD77" s="310"/>
      <c r="AE77" s="310"/>
      <c r="AF77" s="310"/>
      <c r="AG77" s="310"/>
      <c r="AH77" s="310"/>
      <c r="AI77" s="310"/>
      <c r="AJ77" s="310"/>
      <c r="AK77" s="310"/>
      <c r="AL77" s="310"/>
      <c r="AM77" s="310"/>
      <c r="AN77" s="310"/>
      <c r="AO77" s="310"/>
      <c r="AP77" s="310"/>
      <c r="AQ77" s="310"/>
      <c r="AR77" s="310"/>
      <c r="AS77" s="310"/>
      <c r="AT77" s="310"/>
      <c r="AU77" s="310"/>
      <c r="AV77" s="310"/>
      <c r="AW77" s="310"/>
      <c r="AX77" s="310"/>
      <c r="AY77" s="310"/>
    </row>
    <row r="78" spans="3:51">
      <c r="C78" s="310"/>
      <c r="D78" s="310"/>
      <c r="E78" s="310"/>
      <c r="F78" s="310"/>
      <c r="G78" s="310"/>
      <c r="H78" s="310"/>
      <c r="I78" s="310"/>
      <c r="J78" s="310"/>
      <c r="K78" s="310"/>
      <c r="L78" s="310"/>
      <c r="M78" s="310"/>
      <c r="N78" s="310"/>
      <c r="O78" s="310"/>
      <c r="P78" s="310"/>
      <c r="Q78" s="310"/>
      <c r="R78" s="310"/>
      <c r="S78" s="310"/>
      <c r="T78" s="310"/>
      <c r="U78" s="310"/>
      <c r="V78" s="310"/>
      <c r="W78" s="310"/>
      <c r="X78" s="310"/>
      <c r="Y78" s="310"/>
      <c r="Z78" s="151"/>
      <c r="AA78" s="151"/>
      <c r="AB78" s="310"/>
      <c r="AC78" s="310"/>
      <c r="AD78" s="310"/>
      <c r="AE78" s="310"/>
      <c r="AF78" s="310"/>
      <c r="AG78" s="310"/>
      <c r="AH78" s="310"/>
      <c r="AI78" s="310"/>
      <c r="AJ78" s="310"/>
      <c r="AK78" s="310"/>
      <c r="AL78" s="310"/>
      <c r="AM78" s="310"/>
      <c r="AN78" s="310"/>
      <c r="AO78" s="310"/>
      <c r="AP78" s="310"/>
      <c r="AQ78" s="310"/>
      <c r="AR78" s="310"/>
      <c r="AS78" s="310"/>
      <c r="AT78" s="310"/>
      <c r="AU78" s="310"/>
      <c r="AV78" s="310"/>
      <c r="AW78" s="310"/>
      <c r="AX78" s="310"/>
      <c r="AY78" s="310"/>
    </row>
    <row r="79" spans="3:51">
      <c r="C79" s="310"/>
      <c r="D79" s="310"/>
      <c r="E79" s="310"/>
      <c r="F79" s="310"/>
      <c r="G79" s="310"/>
      <c r="H79" s="310"/>
      <c r="I79" s="310"/>
      <c r="J79" s="310"/>
      <c r="K79" s="310"/>
      <c r="L79" s="310"/>
      <c r="M79" s="310"/>
      <c r="N79" s="310"/>
      <c r="O79" s="310"/>
      <c r="P79" s="310"/>
      <c r="Q79" s="310"/>
      <c r="R79" s="310"/>
      <c r="S79" s="310"/>
      <c r="T79" s="310"/>
      <c r="U79" s="310"/>
      <c r="V79" s="310"/>
      <c r="W79" s="310"/>
      <c r="X79" s="310"/>
      <c r="Y79" s="310"/>
      <c r="Z79" s="151"/>
      <c r="AA79" s="151"/>
      <c r="AB79" s="310"/>
      <c r="AC79" s="310"/>
      <c r="AD79" s="310"/>
      <c r="AE79" s="310"/>
      <c r="AF79" s="310"/>
      <c r="AG79" s="310"/>
      <c r="AH79" s="310"/>
      <c r="AI79" s="310"/>
      <c r="AJ79" s="310"/>
      <c r="AK79" s="310"/>
      <c r="AL79" s="310"/>
      <c r="AM79" s="310"/>
      <c r="AN79" s="310"/>
      <c r="AO79" s="310"/>
      <c r="AP79" s="310"/>
      <c r="AQ79" s="310"/>
      <c r="AR79" s="310"/>
      <c r="AS79" s="310"/>
      <c r="AT79" s="310"/>
      <c r="AU79" s="310"/>
      <c r="AV79" s="310"/>
      <c r="AW79" s="310"/>
      <c r="AX79" s="310"/>
      <c r="AY79" s="310"/>
    </row>
    <row r="80" spans="3:51">
      <c r="C80" s="310"/>
      <c r="D80" s="310"/>
      <c r="E80" s="310"/>
      <c r="F80" s="310"/>
      <c r="G80" s="310"/>
      <c r="H80" s="310"/>
      <c r="I80" s="310"/>
      <c r="J80" s="310"/>
      <c r="K80" s="310"/>
      <c r="L80" s="310"/>
      <c r="M80" s="310"/>
      <c r="N80" s="310"/>
      <c r="O80" s="310"/>
      <c r="P80" s="310"/>
      <c r="Q80" s="310"/>
      <c r="R80" s="310"/>
      <c r="S80" s="310"/>
      <c r="T80" s="310"/>
      <c r="U80" s="310"/>
      <c r="V80" s="310"/>
      <c r="W80" s="310"/>
      <c r="X80" s="310"/>
      <c r="Y80" s="310"/>
      <c r="Z80" s="151"/>
      <c r="AA80" s="151"/>
      <c r="AB80" s="310"/>
      <c r="AC80" s="310"/>
      <c r="AD80" s="310"/>
      <c r="AE80" s="310"/>
      <c r="AF80" s="310"/>
      <c r="AG80" s="310"/>
      <c r="AH80" s="310"/>
      <c r="AI80" s="310"/>
      <c r="AJ80" s="310"/>
      <c r="AK80" s="310"/>
      <c r="AL80" s="310"/>
      <c r="AM80" s="310"/>
      <c r="AN80" s="310"/>
      <c r="AO80" s="310"/>
      <c r="AP80" s="310"/>
      <c r="AQ80" s="310"/>
      <c r="AR80" s="310"/>
      <c r="AS80" s="310"/>
      <c r="AT80" s="310"/>
      <c r="AU80" s="310"/>
      <c r="AV80" s="310"/>
      <c r="AW80" s="310"/>
      <c r="AX80" s="310"/>
      <c r="AY80" s="310"/>
    </row>
    <row r="81" spans="3:51">
      <c r="C81" s="310"/>
      <c r="D81" s="310"/>
      <c r="E81" s="310"/>
      <c r="F81" s="310"/>
      <c r="G81" s="310"/>
      <c r="H81" s="310"/>
      <c r="I81" s="310"/>
      <c r="J81" s="310"/>
      <c r="K81" s="310"/>
      <c r="L81" s="310"/>
      <c r="M81" s="310"/>
      <c r="N81" s="310"/>
      <c r="O81" s="310"/>
      <c r="P81" s="310"/>
      <c r="Q81" s="310"/>
      <c r="R81" s="310"/>
      <c r="S81" s="310"/>
      <c r="T81" s="310"/>
      <c r="U81" s="310"/>
      <c r="V81" s="310"/>
      <c r="W81" s="310"/>
      <c r="X81" s="310"/>
      <c r="Y81" s="310"/>
      <c r="Z81" s="151"/>
      <c r="AA81" s="151"/>
      <c r="AB81" s="310"/>
      <c r="AC81" s="310"/>
      <c r="AD81" s="310"/>
      <c r="AE81" s="310"/>
      <c r="AF81" s="310"/>
      <c r="AG81" s="310"/>
      <c r="AH81" s="310"/>
      <c r="AI81" s="310"/>
      <c r="AJ81" s="310"/>
      <c r="AK81" s="310"/>
      <c r="AL81" s="310"/>
      <c r="AM81" s="310"/>
      <c r="AN81" s="310"/>
      <c r="AO81" s="310"/>
      <c r="AP81" s="310"/>
      <c r="AQ81" s="310"/>
      <c r="AR81" s="310"/>
      <c r="AS81" s="310"/>
      <c r="AT81" s="310"/>
      <c r="AU81" s="310"/>
      <c r="AV81" s="310"/>
      <c r="AW81" s="310"/>
      <c r="AX81" s="310"/>
      <c r="AY81" s="310"/>
    </row>
    <row r="82" spans="3:51">
      <c r="C82" s="310"/>
      <c r="D82" s="310"/>
      <c r="E82" s="310"/>
      <c r="F82" s="310"/>
      <c r="G82" s="310"/>
      <c r="H82" s="310"/>
      <c r="I82" s="310"/>
      <c r="J82" s="310"/>
      <c r="K82" s="310"/>
      <c r="L82" s="310"/>
      <c r="M82" s="310"/>
      <c r="N82" s="310"/>
      <c r="O82" s="310"/>
      <c r="P82" s="310"/>
      <c r="Q82" s="310"/>
      <c r="R82" s="310"/>
      <c r="S82" s="310"/>
      <c r="T82" s="310"/>
      <c r="U82" s="310"/>
      <c r="V82" s="310"/>
      <c r="W82" s="310"/>
      <c r="X82" s="310"/>
      <c r="Y82" s="310"/>
      <c r="Z82" s="151"/>
      <c r="AA82" s="151"/>
      <c r="AB82" s="310"/>
      <c r="AC82" s="310"/>
      <c r="AD82" s="310"/>
      <c r="AE82" s="310"/>
      <c r="AF82" s="310"/>
      <c r="AG82" s="310"/>
      <c r="AH82" s="310"/>
      <c r="AI82" s="310"/>
      <c r="AJ82" s="310"/>
      <c r="AK82" s="310"/>
      <c r="AL82" s="310"/>
      <c r="AM82" s="310"/>
      <c r="AN82" s="310"/>
      <c r="AO82" s="310"/>
      <c r="AP82" s="310"/>
      <c r="AQ82" s="310"/>
      <c r="AR82" s="310"/>
      <c r="AS82" s="310"/>
      <c r="AT82" s="310"/>
      <c r="AU82" s="310"/>
      <c r="AV82" s="310"/>
      <c r="AW82" s="310"/>
      <c r="AX82" s="310"/>
      <c r="AY82" s="310"/>
    </row>
    <row r="83" spans="3:51">
      <c r="C83" s="310"/>
      <c r="D83" s="310"/>
      <c r="E83" s="310"/>
      <c r="F83" s="310"/>
      <c r="G83" s="310"/>
      <c r="H83" s="310"/>
      <c r="I83" s="310"/>
      <c r="J83" s="310"/>
      <c r="K83" s="310"/>
      <c r="L83" s="310"/>
      <c r="M83" s="310"/>
      <c r="N83" s="310"/>
      <c r="O83" s="310"/>
      <c r="P83" s="310"/>
      <c r="Q83" s="310"/>
      <c r="R83" s="310"/>
      <c r="S83" s="310"/>
      <c r="T83" s="310"/>
      <c r="U83" s="310"/>
      <c r="V83" s="310"/>
      <c r="W83" s="310"/>
      <c r="X83" s="310"/>
      <c r="Y83" s="310"/>
      <c r="Z83" s="151"/>
      <c r="AA83" s="151"/>
      <c r="AB83" s="310"/>
      <c r="AC83" s="310"/>
      <c r="AD83" s="310"/>
      <c r="AE83" s="310"/>
      <c r="AF83" s="310"/>
      <c r="AG83" s="310"/>
      <c r="AH83" s="310"/>
      <c r="AI83" s="310"/>
      <c r="AJ83" s="310"/>
      <c r="AK83" s="310"/>
      <c r="AL83" s="310"/>
      <c r="AM83" s="310"/>
      <c r="AN83" s="310"/>
      <c r="AO83" s="310"/>
      <c r="AP83" s="310"/>
      <c r="AQ83" s="310"/>
      <c r="AR83" s="310"/>
      <c r="AS83" s="310"/>
      <c r="AT83" s="310"/>
      <c r="AU83" s="310"/>
      <c r="AV83" s="310"/>
      <c r="AW83" s="310"/>
      <c r="AX83" s="310"/>
      <c r="AY83" s="310"/>
    </row>
    <row r="84" spans="3:51">
      <c r="C84" s="310"/>
      <c r="D84" s="310"/>
      <c r="E84" s="310"/>
      <c r="F84" s="310"/>
      <c r="G84" s="310"/>
      <c r="H84" s="310"/>
      <c r="I84" s="310"/>
      <c r="J84" s="310"/>
      <c r="K84" s="310"/>
      <c r="L84" s="310"/>
      <c r="M84" s="310"/>
      <c r="N84" s="310"/>
      <c r="O84" s="310"/>
      <c r="P84" s="310"/>
      <c r="Q84" s="310"/>
      <c r="R84" s="310"/>
      <c r="S84" s="310"/>
      <c r="T84" s="310"/>
      <c r="U84" s="310"/>
      <c r="V84" s="310"/>
      <c r="W84" s="310"/>
      <c r="X84" s="310"/>
      <c r="Y84" s="310"/>
      <c r="Z84" s="151"/>
      <c r="AA84" s="151"/>
      <c r="AB84" s="310"/>
      <c r="AC84" s="310"/>
      <c r="AD84" s="310"/>
      <c r="AE84" s="310"/>
      <c r="AF84" s="310"/>
      <c r="AG84" s="310"/>
      <c r="AH84" s="310"/>
      <c r="AI84" s="310"/>
      <c r="AJ84" s="310"/>
      <c r="AK84" s="310"/>
      <c r="AL84" s="310"/>
      <c r="AM84" s="310"/>
      <c r="AN84" s="310"/>
      <c r="AO84" s="310"/>
      <c r="AP84" s="310"/>
      <c r="AQ84" s="310"/>
      <c r="AR84" s="310"/>
      <c r="AS84" s="310"/>
      <c r="AT84" s="310"/>
      <c r="AU84" s="310"/>
      <c r="AV84" s="310"/>
      <c r="AW84" s="310"/>
      <c r="AX84" s="310"/>
      <c r="AY84" s="310"/>
    </row>
    <row r="85" spans="3:51">
      <c r="C85" s="310"/>
      <c r="D85" s="310"/>
      <c r="E85" s="310"/>
      <c r="F85" s="310"/>
      <c r="G85" s="310"/>
      <c r="H85" s="310"/>
      <c r="I85" s="310"/>
      <c r="J85" s="310"/>
      <c r="K85" s="310"/>
      <c r="L85" s="310"/>
      <c r="M85" s="310"/>
      <c r="N85" s="310"/>
      <c r="O85" s="310"/>
      <c r="P85" s="310"/>
      <c r="Q85" s="310"/>
      <c r="R85" s="310"/>
      <c r="S85" s="310"/>
      <c r="T85" s="310"/>
      <c r="U85" s="310"/>
      <c r="V85" s="310"/>
      <c r="W85" s="310"/>
      <c r="X85" s="310"/>
      <c r="Y85" s="310"/>
      <c r="Z85" s="151"/>
      <c r="AA85" s="151"/>
      <c r="AB85" s="310"/>
      <c r="AC85" s="310"/>
      <c r="AD85" s="310"/>
      <c r="AE85" s="310"/>
      <c r="AF85" s="310"/>
      <c r="AG85" s="310"/>
      <c r="AH85" s="310"/>
      <c r="AI85" s="310"/>
      <c r="AJ85" s="310"/>
      <c r="AK85" s="310"/>
      <c r="AL85" s="310"/>
      <c r="AM85" s="310"/>
      <c r="AN85" s="310"/>
      <c r="AO85" s="310"/>
      <c r="AP85" s="310"/>
      <c r="AQ85" s="310"/>
      <c r="AR85" s="310"/>
      <c r="AS85" s="310"/>
      <c r="AT85" s="310"/>
      <c r="AU85" s="310"/>
      <c r="AV85" s="310"/>
      <c r="AW85" s="310"/>
      <c r="AX85" s="310"/>
      <c r="AY85" s="310"/>
    </row>
    <row r="86" spans="3:51">
      <c r="C86" s="310"/>
      <c r="D86" s="310"/>
      <c r="E86" s="310"/>
      <c r="F86" s="310"/>
      <c r="G86" s="310"/>
      <c r="H86" s="310"/>
      <c r="I86" s="310"/>
      <c r="J86" s="310"/>
      <c r="K86" s="310"/>
      <c r="L86" s="310"/>
      <c r="M86" s="310"/>
      <c r="N86" s="310"/>
      <c r="O86" s="310"/>
      <c r="P86" s="310"/>
      <c r="Q86" s="310"/>
      <c r="R86" s="310"/>
      <c r="S86" s="310"/>
      <c r="T86" s="310"/>
      <c r="U86" s="310"/>
      <c r="V86" s="310"/>
      <c r="W86" s="310"/>
      <c r="X86" s="310"/>
      <c r="Y86" s="310"/>
      <c r="Z86" s="151"/>
      <c r="AA86" s="151"/>
      <c r="AB86" s="310"/>
      <c r="AC86" s="310"/>
      <c r="AD86" s="310"/>
      <c r="AE86" s="310"/>
      <c r="AF86" s="310"/>
      <c r="AG86" s="310"/>
      <c r="AH86" s="310"/>
      <c r="AI86" s="310"/>
      <c r="AJ86" s="310"/>
      <c r="AK86" s="310"/>
      <c r="AL86" s="310"/>
      <c r="AM86" s="310"/>
      <c r="AN86" s="310"/>
      <c r="AO86" s="310"/>
      <c r="AP86" s="310"/>
      <c r="AQ86" s="310"/>
      <c r="AR86" s="310"/>
      <c r="AS86" s="310"/>
      <c r="AT86" s="310"/>
      <c r="AU86" s="310"/>
      <c r="AV86" s="310"/>
      <c r="AW86" s="310"/>
      <c r="AX86" s="310"/>
      <c r="AY86" s="310"/>
    </row>
    <row r="87" spans="3:51">
      <c r="C87" s="310"/>
      <c r="D87" s="310"/>
      <c r="E87" s="310"/>
      <c r="F87" s="310"/>
      <c r="G87" s="310"/>
      <c r="H87" s="310"/>
      <c r="I87" s="310"/>
      <c r="J87" s="310"/>
      <c r="K87" s="310"/>
      <c r="L87" s="310"/>
      <c r="M87" s="310"/>
      <c r="N87" s="310"/>
      <c r="O87" s="310"/>
      <c r="P87" s="310"/>
      <c r="Q87" s="310"/>
      <c r="R87" s="310"/>
      <c r="S87" s="310"/>
      <c r="T87" s="310"/>
      <c r="U87" s="310"/>
      <c r="V87" s="310"/>
      <c r="W87" s="310"/>
      <c r="X87" s="310"/>
      <c r="Y87" s="310"/>
      <c r="Z87" s="151"/>
      <c r="AA87" s="151"/>
      <c r="AB87" s="310"/>
      <c r="AC87" s="310"/>
      <c r="AD87" s="310"/>
      <c r="AE87" s="310"/>
      <c r="AF87" s="310"/>
      <c r="AG87" s="310"/>
      <c r="AH87" s="310"/>
      <c r="AI87" s="310"/>
      <c r="AJ87" s="310"/>
      <c r="AK87" s="310"/>
      <c r="AL87" s="310"/>
      <c r="AM87" s="310"/>
      <c r="AN87" s="310"/>
      <c r="AO87" s="310"/>
      <c r="AP87" s="310"/>
      <c r="AQ87" s="310"/>
      <c r="AR87" s="310"/>
      <c r="AS87" s="310"/>
      <c r="AT87" s="310"/>
      <c r="AU87" s="310"/>
      <c r="AV87" s="310"/>
      <c r="AW87" s="310"/>
      <c r="AX87" s="310"/>
      <c r="AY87" s="310"/>
    </row>
    <row r="88" spans="3:51">
      <c r="C88" s="310"/>
      <c r="D88" s="310"/>
      <c r="E88" s="310"/>
      <c r="F88" s="310"/>
      <c r="G88" s="310"/>
      <c r="H88" s="310"/>
      <c r="I88" s="310"/>
      <c r="J88" s="310"/>
      <c r="K88" s="310"/>
      <c r="L88" s="310"/>
      <c r="M88" s="310"/>
      <c r="N88" s="310"/>
      <c r="O88" s="310"/>
      <c r="P88" s="310"/>
      <c r="Q88" s="310"/>
      <c r="R88" s="310"/>
      <c r="S88" s="310"/>
      <c r="T88" s="310"/>
      <c r="U88" s="310"/>
      <c r="V88" s="310"/>
      <c r="W88" s="310"/>
      <c r="X88" s="310"/>
      <c r="Y88" s="310"/>
      <c r="Z88" s="151"/>
      <c r="AA88" s="151"/>
      <c r="AB88" s="310"/>
      <c r="AC88" s="310"/>
      <c r="AD88" s="310"/>
      <c r="AE88" s="310"/>
      <c r="AF88" s="310"/>
      <c r="AG88" s="310"/>
      <c r="AH88" s="310"/>
      <c r="AI88" s="310"/>
      <c r="AJ88" s="310"/>
      <c r="AK88" s="310"/>
      <c r="AL88" s="310"/>
      <c r="AM88" s="310"/>
      <c r="AN88" s="310"/>
      <c r="AO88" s="310"/>
      <c r="AP88" s="310"/>
      <c r="AQ88" s="310"/>
      <c r="AR88" s="310"/>
      <c r="AS88" s="310"/>
      <c r="AT88" s="310"/>
      <c r="AU88" s="310"/>
      <c r="AV88" s="310"/>
      <c r="AW88" s="310"/>
      <c r="AX88" s="310"/>
      <c r="AY88" s="310"/>
    </row>
    <row r="89" spans="3:51">
      <c r="C89" s="310"/>
      <c r="D89" s="310"/>
      <c r="E89" s="310"/>
      <c r="F89" s="310"/>
      <c r="G89" s="310"/>
      <c r="H89" s="310"/>
      <c r="I89" s="310"/>
      <c r="J89" s="310"/>
      <c r="K89" s="310"/>
      <c r="L89" s="310"/>
      <c r="M89" s="310"/>
      <c r="N89" s="310"/>
      <c r="O89" s="310"/>
      <c r="P89" s="310"/>
      <c r="Q89" s="310"/>
      <c r="R89" s="310"/>
      <c r="S89" s="310"/>
      <c r="T89" s="310"/>
      <c r="U89" s="310"/>
      <c r="V89" s="310"/>
      <c r="W89" s="310"/>
      <c r="X89" s="310"/>
      <c r="Y89" s="310"/>
      <c r="Z89" s="151"/>
      <c r="AA89" s="151"/>
      <c r="AB89" s="310"/>
      <c r="AC89" s="310"/>
      <c r="AD89" s="310"/>
      <c r="AE89" s="310"/>
      <c r="AF89" s="310"/>
      <c r="AG89" s="310"/>
      <c r="AH89" s="310"/>
      <c r="AI89" s="310"/>
      <c r="AJ89" s="310"/>
      <c r="AK89" s="310"/>
      <c r="AL89" s="310"/>
      <c r="AM89" s="310"/>
      <c r="AN89" s="310"/>
      <c r="AO89" s="310"/>
      <c r="AP89" s="310"/>
      <c r="AQ89" s="310"/>
      <c r="AR89" s="310"/>
      <c r="AS89" s="310"/>
      <c r="AT89" s="310"/>
      <c r="AU89" s="310"/>
      <c r="AV89" s="310"/>
      <c r="AW89" s="310"/>
      <c r="AX89" s="310"/>
      <c r="AY89" s="310"/>
    </row>
    <row r="90" spans="3:51">
      <c r="C90" s="310"/>
      <c r="D90" s="310"/>
      <c r="E90" s="310"/>
      <c r="F90" s="310"/>
      <c r="G90" s="310"/>
      <c r="H90" s="310"/>
      <c r="I90" s="310"/>
      <c r="J90" s="310"/>
      <c r="K90" s="310"/>
      <c r="L90" s="310"/>
      <c r="M90" s="310"/>
      <c r="N90" s="310"/>
      <c r="O90" s="310"/>
      <c r="P90" s="310"/>
      <c r="Q90" s="310"/>
      <c r="R90" s="310"/>
      <c r="S90" s="310"/>
      <c r="T90" s="310"/>
      <c r="U90" s="310"/>
      <c r="V90" s="310"/>
      <c r="W90" s="310"/>
      <c r="X90" s="310"/>
      <c r="Y90" s="310"/>
      <c r="Z90" s="151"/>
      <c r="AA90" s="151"/>
      <c r="AB90" s="310"/>
      <c r="AC90" s="310"/>
      <c r="AD90" s="310"/>
      <c r="AE90" s="310"/>
      <c r="AF90" s="310"/>
      <c r="AG90" s="310"/>
      <c r="AH90" s="310"/>
      <c r="AI90" s="310"/>
      <c r="AJ90" s="310"/>
      <c r="AK90" s="310"/>
      <c r="AL90" s="310"/>
      <c r="AM90" s="310"/>
      <c r="AN90" s="310"/>
      <c r="AO90" s="310"/>
      <c r="AP90" s="310"/>
      <c r="AQ90" s="310"/>
      <c r="AR90" s="310"/>
      <c r="AS90" s="310"/>
      <c r="AT90" s="310"/>
      <c r="AU90" s="310"/>
      <c r="AV90" s="310"/>
      <c r="AW90" s="310"/>
      <c r="AX90" s="310"/>
      <c r="AY90" s="310"/>
    </row>
  </sheetData>
  <pageMargins left="0.45" right="0.45" top="0.5" bottom="0.5" header="0.25" footer="0.25"/>
  <pageSetup scale="54" fitToWidth="2" orientation="landscape" r:id="rId1"/>
  <headerFooter alignWithMargins="0">
    <oddFooter xml:space="preserve">&amp;L&amp;T, &amp;D&amp;C&amp;F&amp;R&amp;P </oddFooter>
  </headerFooter>
  <colBreaks count="1" manualBreakCount="1">
    <brk id="18" min="1" max="54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I62"/>
  <sheetViews>
    <sheetView topLeftCell="S22" zoomScale="75" zoomScaleNormal="75" workbookViewId="0">
      <selection activeCell="AG58" sqref="AG58"/>
    </sheetView>
  </sheetViews>
  <sheetFormatPr defaultRowHeight="12.75" outlineLevelRow="1"/>
  <cols>
    <col min="1" max="1" width="42" style="12" bestFit="1" customWidth="1"/>
    <col min="2" max="2" width="11.7109375" style="12" bestFit="1" customWidth="1"/>
    <col min="3" max="3" width="11.28515625" style="12" bestFit="1" customWidth="1"/>
    <col min="4" max="4" width="11.7109375" style="12" bestFit="1" customWidth="1"/>
    <col min="5" max="5" width="11.28515625" style="12" bestFit="1" customWidth="1"/>
    <col min="6" max="8" width="11.7109375" style="12" bestFit="1" customWidth="1"/>
    <col min="9" max="9" width="11.28515625" style="12" bestFit="1" customWidth="1"/>
    <col min="10" max="11" width="11.7109375" style="12" bestFit="1" customWidth="1"/>
    <col min="12" max="12" width="11.28515625" style="12" bestFit="1" customWidth="1"/>
    <col min="13" max="13" width="10.85546875" style="12" bestFit="1" customWidth="1"/>
    <col min="14" max="16" width="11.28515625" style="12" bestFit="1" customWidth="1"/>
    <col min="17" max="17" width="11" style="12" bestFit="1" customWidth="1"/>
    <col min="18" max="20" width="11.28515625" style="12" bestFit="1" customWidth="1"/>
    <col min="21" max="21" width="11" style="12" bestFit="1" customWidth="1"/>
    <col min="22" max="22" width="11.7109375" style="12" bestFit="1" customWidth="1"/>
    <col min="23" max="23" width="11.28515625" style="12" bestFit="1" customWidth="1"/>
    <col min="24" max="24" width="11.7109375" style="12" bestFit="1" customWidth="1"/>
    <col min="25" max="25" width="11.28515625" style="12" bestFit="1" customWidth="1"/>
    <col min="26" max="28" width="11.7109375" style="12" bestFit="1" customWidth="1"/>
    <col min="29" max="29" width="11.28515625" style="12" bestFit="1" customWidth="1"/>
    <col min="30" max="32" width="11.7109375" style="12" bestFit="1" customWidth="1"/>
    <col min="33" max="33" width="11.28515625" style="12" bestFit="1" customWidth="1"/>
    <col min="34" max="16384" width="9.140625" style="12"/>
  </cols>
  <sheetData>
    <row r="2" spans="1:35" ht="18.75">
      <c r="A2" s="87" t="str">
        <f>Assumptions!A3</f>
        <v>PROJECT NAME:  Retail Shorts</v>
      </c>
      <c r="Y2" s="6"/>
      <c r="Z2" s="6"/>
    </row>
    <row r="3" spans="1:35">
      <c r="Y3" s="6"/>
      <c r="Z3" s="6"/>
    </row>
    <row r="4" spans="1:35" ht="18.75">
      <c r="A4" s="60" t="s">
        <v>385</v>
      </c>
      <c r="Y4" s="6"/>
      <c r="Z4" s="6"/>
    </row>
    <row r="5" spans="1:35">
      <c r="Y5" s="6"/>
      <c r="Z5" s="6"/>
    </row>
    <row r="6" spans="1:35">
      <c r="B6" s="212">
        <v>0</v>
      </c>
      <c r="C6" s="212">
        <f>'Price_Technical Assumption'!D7</f>
        <v>0.66666666666666663</v>
      </c>
      <c r="D6" s="212">
        <f>'Price_Technical Assumption'!E7</f>
        <v>1.6666666666666665</v>
      </c>
      <c r="E6" s="212">
        <f>'Price_Technical Assumption'!F7</f>
        <v>2.6666666666666665</v>
      </c>
      <c r="F6" s="212">
        <f>'Price_Technical Assumption'!G7</f>
        <v>3.6666666666666665</v>
      </c>
      <c r="G6" s="212">
        <f>'Price_Technical Assumption'!H7</f>
        <v>4.6666666666666661</v>
      </c>
      <c r="H6" s="212">
        <f>'Price_Technical Assumption'!I7</f>
        <v>5.6666666666666661</v>
      </c>
      <c r="I6" s="212">
        <f>'Price_Technical Assumption'!J7</f>
        <v>6.6666666666666661</v>
      </c>
      <c r="J6" s="212">
        <f>'Price_Technical Assumption'!K7</f>
        <v>7.6666666666666661</v>
      </c>
      <c r="K6" s="212">
        <f>'Price_Technical Assumption'!L7</f>
        <v>8.6666666666666661</v>
      </c>
      <c r="L6" s="212">
        <f>'Price_Technical Assumption'!M7</f>
        <v>9.6666666666666661</v>
      </c>
      <c r="M6" s="212">
        <f>'Price_Technical Assumption'!N7</f>
        <v>10.666666666666666</v>
      </c>
      <c r="N6" s="212">
        <f>'Price_Technical Assumption'!O7</f>
        <v>11.666666666666666</v>
      </c>
      <c r="O6" s="212">
        <f>'Price_Technical Assumption'!P7</f>
        <v>12.666666666666666</v>
      </c>
      <c r="P6" s="212">
        <f>'Price_Technical Assumption'!Q7</f>
        <v>13.666666666666666</v>
      </c>
      <c r="Q6" s="212">
        <f>'Price_Technical Assumption'!R7</f>
        <v>14.666666666666666</v>
      </c>
      <c r="R6" s="212">
        <f>'Price_Technical Assumption'!S7</f>
        <v>15.666666666666666</v>
      </c>
      <c r="S6" s="212">
        <f>'Price_Technical Assumption'!T7</f>
        <v>16.666666666666664</v>
      </c>
      <c r="T6" s="212">
        <f>'Price_Technical Assumption'!U7</f>
        <v>17.666666666666664</v>
      </c>
      <c r="U6" s="212">
        <f>'Price_Technical Assumption'!V7</f>
        <v>18.666666666666664</v>
      </c>
      <c r="V6" s="212">
        <f>'Price_Technical Assumption'!W7</f>
        <v>19.666666666666664</v>
      </c>
      <c r="W6" s="212">
        <f>'Price_Technical Assumption'!X7</f>
        <v>20.666666666666664</v>
      </c>
      <c r="X6" s="212">
        <f>'Price_Technical Assumption'!Y7</f>
        <v>21.666666666666664</v>
      </c>
      <c r="Y6" s="212">
        <f>'Price_Technical Assumption'!Z7</f>
        <v>22.666666666666664</v>
      </c>
      <c r="Z6" s="212">
        <f>'Price_Technical Assumption'!AA7</f>
        <v>23.666666666666664</v>
      </c>
      <c r="AA6" s="212">
        <f>'Price_Technical Assumption'!AB7</f>
        <v>24.666666666666664</v>
      </c>
      <c r="AB6" s="212">
        <f>'Price_Technical Assumption'!AC7</f>
        <v>25.666666666666664</v>
      </c>
      <c r="AC6" s="212">
        <f>'Price_Technical Assumption'!AD7</f>
        <v>26.666666666666664</v>
      </c>
      <c r="AD6" s="212">
        <f>'Price_Technical Assumption'!AE7</f>
        <v>27.666666666666664</v>
      </c>
      <c r="AE6" s="212">
        <f>'Price_Technical Assumption'!AF7</f>
        <v>28.666666666666664</v>
      </c>
      <c r="AF6" s="212">
        <f>'Price_Technical Assumption'!AG7</f>
        <v>29.666666666666664</v>
      </c>
      <c r="AG6" s="212">
        <f>'Price_Technical Assumption'!AH7</f>
        <v>30.666666666666664</v>
      </c>
    </row>
    <row r="7" spans="1:35" ht="13.5" thickBot="1">
      <c r="A7" s="123" t="s">
        <v>40</v>
      </c>
      <c r="B7" s="7" t="s">
        <v>254</v>
      </c>
      <c r="C7" s="7">
        <f>'Price_Technical Assumption'!D8</f>
        <v>2001</v>
      </c>
      <c r="D7" s="7">
        <f>'Price_Technical Assumption'!E8</f>
        <v>2002</v>
      </c>
      <c r="E7" s="7">
        <f>'Price_Technical Assumption'!F8</f>
        <v>2003</v>
      </c>
      <c r="F7" s="7">
        <f>'Price_Technical Assumption'!G8</f>
        <v>2004</v>
      </c>
      <c r="G7" s="7">
        <f>'Price_Technical Assumption'!H8</f>
        <v>2005</v>
      </c>
      <c r="H7" s="7">
        <f>'Price_Technical Assumption'!I8</f>
        <v>2006</v>
      </c>
      <c r="I7" s="7">
        <f>'Price_Technical Assumption'!J8</f>
        <v>2007</v>
      </c>
      <c r="J7" s="7">
        <f>'Price_Technical Assumption'!K8</f>
        <v>2008</v>
      </c>
      <c r="K7" s="7">
        <f>'Price_Technical Assumption'!L8</f>
        <v>2009</v>
      </c>
      <c r="L7" s="7">
        <f>'Price_Technical Assumption'!M8</f>
        <v>2010</v>
      </c>
      <c r="M7" s="7">
        <f>'Price_Technical Assumption'!N8</f>
        <v>2011</v>
      </c>
      <c r="N7" s="7">
        <f>'Price_Technical Assumption'!O8</f>
        <v>2012</v>
      </c>
      <c r="O7" s="7">
        <f>'Price_Technical Assumption'!P8</f>
        <v>2013</v>
      </c>
      <c r="P7" s="7">
        <f>'Price_Technical Assumption'!Q8</f>
        <v>2014</v>
      </c>
      <c r="Q7" s="7">
        <f>'Price_Technical Assumption'!R8</f>
        <v>2015</v>
      </c>
      <c r="R7" s="7">
        <f>'Price_Technical Assumption'!S8</f>
        <v>2016</v>
      </c>
      <c r="S7" s="7">
        <f>'Price_Technical Assumption'!T8</f>
        <v>2017</v>
      </c>
      <c r="T7" s="7">
        <f>'Price_Technical Assumption'!U8</f>
        <v>2018</v>
      </c>
      <c r="U7" s="7">
        <f>'Price_Technical Assumption'!V8</f>
        <v>2019</v>
      </c>
      <c r="V7" s="7">
        <f>'Price_Technical Assumption'!W8</f>
        <v>2020</v>
      </c>
      <c r="W7" s="7">
        <f>'Price_Technical Assumption'!X8</f>
        <v>2021</v>
      </c>
      <c r="X7" s="7">
        <f>'Price_Technical Assumption'!Y8</f>
        <v>2022</v>
      </c>
      <c r="Y7" s="7">
        <f>'Price_Technical Assumption'!Z8</f>
        <v>2023</v>
      </c>
      <c r="Z7" s="7">
        <f>'Price_Technical Assumption'!AA8</f>
        <v>2024</v>
      </c>
      <c r="AA7" s="7">
        <f>'Price_Technical Assumption'!AB8</f>
        <v>2025</v>
      </c>
      <c r="AB7" s="7">
        <f>'Price_Technical Assumption'!AC8</f>
        <v>2026</v>
      </c>
      <c r="AC7" s="7">
        <f>'Price_Technical Assumption'!AD8</f>
        <v>2027</v>
      </c>
      <c r="AD7" s="7">
        <f>'Price_Technical Assumption'!AE8</f>
        <v>2028</v>
      </c>
      <c r="AE7" s="7">
        <f>'Price_Technical Assumption'!AF8</f>
        <v>2029</v>
      </c>
      <c r="AF7" s="7">
        <f>'Price_Technical Assumption'!AG8</f>
        <v>2030</v>
      </c>
      <c r="AG7" s="7">
        <f>'Price_Technical Assumption'!AH8</f>
        <v>2031</v>
      </c>
    </row>
    <row r="8" spans="1:35">
      <c r="A8" s="128"/>
      <c r="B8" s="150">
        <f>Assumptions!G46</f>
        <v>36617</v>
      </c>
      <c r="C8" s="150">
        <f>BS!D8</f>
        <v>37255.5</v>
      </c>
      <c r="D8" s="150">
        <f>BS!E8</f>
        <v>37620.75</v>
      </c>
      <c r="E8" s="150">
        <f>BS!F8</f>
        <v>37986</v>
      </c>
      <c r="F8" s="150">
        <f>BS!G8</f>
        <v>38351.25</v>
      </c>
      <c r="G8" s="150">
        <f>BS!H8</f>
        <v>38716.5</v>
      </c>
      <c r="H8" s="150">
        <f>BS!I8</f>
        <v>39081.75</v>
      </c>
      <c r="I8" s="150">
        <f>BS!J8</f>
        <v>39447</v>
      </c>
      <c r="J8" s="150">
        <f>BS!K8</f>
        <v>39812.25</v>
      </c>
      <c r="K8" s="150">
        <f>BS!L8</f>
        <v>40177.5</v>
      </c>
      <c r="L8" s="150">
        <f>BS!M8</f>
        <v>40542.75</v>
      </c>
      <c r="M8" s="150">
        <f>BS!N8</f>
        <v>40908</v>
      </c>
      <c r="N8" s="150">
        <f>BS!O8</f>
        <v>41273.25</v>
      </c>
      <c r="O8" s="150">
        <f>BS!P8</f>
        <v>41638.5</v>
      </c>
      <c r="P8" s="150">
        <f>BS!Q8</f>
        <v>42003.75</v>
      </c>
      <c r="Q8" s="150">
        <f>BS!R8</f>
        <v>42369</v>
      </c>
      <c r="R8" s="150">
        <f>BS!S8</f>
        <v>42734.25</v>
      </c>
      <c r="S8" s="150">
        <f>BS!T8</f>
        <v>43099.5</v>
      </c>
      <c r="T8" s="150">
        <f>BS!U8</f>
        <v>43464.75</v>
      </c>
      <c r="U8" s="150">
        <f>BS!V8</f>
        <v>43830</v>
      </c>
      <c r="V8" s="150">
        <f>BS!W8</f>
        <v>44195.25</v>
      </c>
      <c r="W8" s="150">
        <f>BS!X8</f>
        <v>44560.5</v>
      </c>
      <c r="X8" s="150">
        <f>BS!Y8</f>
        <v>44925.75</v>
      </c>
      <c r="Y8" s="150">
        <f>BS!Z8</f>
        <v>45291</v>
      </c>
      <c r="Z8" s="150">
        <f>BS!AA8</f>
        <v>45656.25</v>
      </c>
      <c r="AA8" s="150">
        <f>BS!AB8</f>
        <v>46021.5</v>
      </c>
      <c r="AB8" s="150">
        <f>BS!AC8</f>
        <v>46386.75</v>
      </c>
      <c r="AC8" s="150">
        <f>BS!AD8</f>
        <v>46752</v>
      </c>
      <c r="AD8" s="150">
        <f>BS!AE8</f>
        <v>47117.25</v>
      </c>
      <c r="AE8" s="150">
        <f>BS!AF8</f>
        <v>47482.5</v>
      </c>
      <c r="AF8" s="150">
        <f>BS!AG8</f>
        <v>47847.75</v>
      </c>
      <c r="AG8" s="150">
        <f>BS!AH8</f>
        <v>48213</v>
      </c>
    </row>
    <row r="9" spans="1:35">
      <c r="A9" s="128"/>
      <c r="B9" s="150"/>
      <c r="C9" s="150"/>
      <c r="D9" s="150"/>
      <c r="E9" s="150"/>
      <c r="F9" s="150"/>
      <c r="G9" s="150"/>
      <c r="H9" s="150"/>
      <c r="I9" s="150"/>
      <c r="J9" s="150"/>
      <c r="K9" s="150"/>
      <c r="L9" s="150"/>
      <c r="M9" s="150"/>
      <c r="N9" s="150"/>
      <c r="O9" s="150"/>
      <c r="P9" s="150"/>
      <c r="Q9" s="150"/>
      <c r="R9" s="150"/>
      <c r="S9" s="150"/>
      <c r="T9" s="150"/>
      <c r="U9" s="150"/>
      <c r="V9" s="150"/>
      <c r="W9" s="150"/>
      <c r="X9" s="150"/>
      <c r="Y9" s="150"/>
      <c r="Z9" s="150"/>
      <c r="AA9" s="150"/>
      <c r="AB9" s="150"/>
      <c r="AC9" s="150"/>
      <c r="AD9" s="150"/>
      <c r="AE9" s="150"/>
      <c r="AF9" s="150"/>
      <c r="AG9" s="150"/>
    </row>
    <row r="10" spans="1:35" ht="13.5" customHeight="1" outlineLevel="1">
      <c r="A10" s="87"/>
      <c r="B10" s="2"/>
      <c r="C10" s="9"/>
      <c r="D10" s="9"/>
      <c r="E10" s="9"/>
      <c r="F10" s="9"/>
      <c r="G10" s="9"/>
      <c r="H10" s="9"/>
      <c r="I10" s="164"/>
      <c r="J10" s="164"/>
      <c r="K10" s="165"/>
      <c r="L10" s="165"/>
      <c r="M10" s="164"/>
      <c r="N10" s="164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</row>
    <row r="11" spans="1:35">
      <c r="A11" s="45" t="s">
        <v>49</v>
      </c>
      <c r="B11" s="18">
        <v>0</v>
      </c>
      <c r="C11" s="18">
        <f>IS!C34</f>
        <v>16695.330742699291</v>
      </c>
      <c r="D11" s="18">
        <f>IS!D34</f>
        <v>16440.252059253919</v>
      </c>
      <c r="E11" s="18">
        <f>IS!E34</f>
        <v>16106.693030565766</v>
      </c>
      <c r="F11" s="18">
        <f>IS!F34</f>
        <v>16246.040804108132</v>
      </c>
      <c r="G11" s="18">
        <f>IS!G34</f>
        <v>16307.146178347954</v>
      </c>
      <c r="H11" s="18">
        <f>IS!H34</f>
        <v>16305.306846079468</v>
      </c>
      <c r="I11" s="18">
        <f>IS!I34</f>
        <v>16693.588019773546</v>
      </c>
      <c r="J11" s="18">
        <f>IS!J34</f>
        <v>16575.315709033865</v>
      </c>
      <c r="K11" s="18">
        <f>IS!K34</f>
        <v>16421.474023456714</v>
      </c>
      <c r="L11" s="18">
        <f>IS!L34</f>
        <v>16323.99050085682</v>
      </c>
      <c r="M11" s="18">
        <f>IS!M34</f>
        <v>2760.7397408205679</v>
      </c>
      <c r="N11" s="18">
        <f>IS!N34</f>
        <v>2694.160716879891</v>
      </c>
      <c r="O11" s="18">
        <f>IS!O34</f>
        <v>2625.4530872657597</v>
      </c>
      <c r="P11" s="18">
        <f>IS!P34</f>
        <v>2554.554944199037</v>
      </c>
      <c r="Q11" s="18">
        <f>IS!Q34</f>
        <v>2481.4025616750478</v>
      </c>
      <c r="R11" s="18">
        <f>IS!R34</f>
        <v>2405.9303416969387</v>
      </c>
      <c r="S11" s="18">
        <f>IS!S34</f>
        <v>2328.0707589116973</v>
      </c>
      <c r="T11" s="18">
        <f>IS!T34</f>
        <v>2247.7543036011302</v>
      </c>
      <c r="U11" s="18">
        <f>IS!U34</f>
        <v>2164.9094229788197</v>
      </c>
      <c r="V11" s="18">
        <f>IS!V34</f>
        <v>2079.4624607425394</v>
      </c>
      <c r="W11" s="18">
        <f>IS!W34</f>
        <v>1991.2542614968097</v>
      </c>
      <c r="X11" s="18">
        <f>IS!X34</f>
        <v>1900.2484399920104</v>
      </c>
      <c r="Y11" s="18">
        <f>IS!Y34</f>
        <v>1806.4063151249111</v>
      </c>
      <c r="Z11" s="18">
        <f>IS!Z34</f>
        <v>1709.6451753104739</v>
      </c>
      <c r="AA11" s="18">
        <f>IS!AA34</f>
        <v>1609.8798751664326</v>
      </c>
      <c r="AB11" s="18">
        <f>IS!AB34</f>
        <v>1507.0227634503708</v>
      </c>
      <c r="AC11" s="18">
        <f>IS!AC34</f>
        <v>1400.9836088539505</v>
      </c>
      <c r="AD11" s="18">
        <f>IS!AD34</f>
        <v>1291.6695235903626</v>
      </c>
      <c r="AE11" s="18">
        <f>IS!AE34</f>
        <v>1178.984884709178</v>
      </c>
      <c r="AF11" s="18">
        <f>IS!AF34</f>
        <v>1062.8312530708572</v>
      </c>
      <c r="AG11" s="18">
        <f>IS!AG34</f>
        <v>-8717.5728102852754</v>
      </c>
    </row>
    <row r="12" spans="1:35">
      <c r="A12" s="45" t="s">
        <v>81</v>
      </c>
      <c r="B12" s="448">
        <v>0</v>
      </c>
      <c r="C12" s="448">
        <f>-(Debt!B36)</f>
        <v>-2645.1815597263744</v>
      </c>
      <c r="D12" s="448">
        <f>-(Debt!B44+Debt!C27+Debt!C36)</f>
        <v>-5807.8649218580549</v>
      </c>
      <c r="E12" s="448">
        <f>-(Debt!C44+Debt!D27+Debt!D36)</f>
        <v>-5272.3195956444788</v>
      </c>
      <c r="F12" s="448">
        <f>-(Debt!D44+Debt!E27+Debt!E36)</f>
        <v>-4796.7310245246281</v>
      </c>
      <c r="G12" s="448">
        <f>-(Debt!E44+Debt!F27+Debt!F36)</f>
        <v>-4266.231587803868</v>
      </c>
      <c r="H12" s="448">
        <f>-(Debt!F44+Debt!G27+Debt!G36)</f>
        <v>-3697.1570925447913</v>
      </c>
      <c r="I12" s="448">
        <f>-(Debt!G44+Debt!H27+Debt!H36)</f>
        <v>-3070.3312458969895</v>
      </c>
      <c r="J12" s="448">
        <f>-(Debt!H44+Debt!I27+Debt!I36)</f>
        <v>-2378.5730036865789</v>
      </c>
      <c r="K12" s="448">
        <f>-(Debt!I44+Debt!J27+Debt!J36)</f>
        <v>-1622.0879645768509</v>
      </c>
      <c r="L12" s="448">
        <f>-(Debt!J44+Debt!K27+Debt!K36)</f>
        <v>-813.72032211591284</v>
      </c>
      <c r="M12" s="448">
        <f>-(Debt!K44+Debt!L27+Debt!L36)</f>
        <v>-83.248614771417365</v>
      </c>
      <c r="N12" s="448">
        <f>-(Debt!L44+Debt!M27+Debt!M36)</f>
        <v>0</v>
      </c>
      <c r="O12" s="448">
        <f>-(Debt!M44+Debt!N27+Debt!N36)</f>
        <v>0</v>
      </c>
      <c r="P12" s="448">
        <f>-(Debt!N44+Debt!O27+Debt!O36)</f>
        <v>0</v>
      </c>
      <c r="Q12" s="448">
        <f>-(Debt!O44+Debt!P27+Debt!P36)</f>
        <v>0</v>
      </c>
      <c r="R12" s="448">
        <f>-(Debt!P44+Debt!Q27+Debt!Q36)</f>
        <v>0</v>
      </c>
      <c r="S12" s="448">
        <f>-(Debt!Q44+Debt!R27+Debt!R36)</f>
        <v>0</v>
      </c>
      <c r="T12" s="448">
        <f>-(Debt!R44+Debt!S27+Debt!S36)</f>
        <v>0</v>
      </c>
      <c r="U12" s="448">
        <f>-(Debt!S44+Debt!T27+Debt!T36)</f>
        <v>0</v>
      </c>
      <c r="V12" s="448">
        <f>-(Debt!T44+Debt!U27+Debt!U36)</f>
        <v>0</v>
      </c>
      <c r="W12" s="448">
        <f>-(Debt!U44+Debt!V27+Debt!V36)</f>
        <v>0</v>
      </c>
      <c r="X12" s="448">
        <f>-(Debt!V44+Debt!W27+Debt!W36)</f>
        <v>0</v>
      </c>
      <c r="Y12" s="448">
        <f>-(Debt!W44+Debt!X27+Debt!X36)</f>
        <v>0</v>
      </c>
      <c r="Z12" s="448">
        <f>-(Debt!X44+Debt!Y27+Debt!Y36)</f>
        <v>0</v>
      </c>
      <c r="AA12" s="448">
        <f>-(Debt!Y44+Debt!Z27+Debt!Z36)</f>
        <v>0</v>
      </c>
      <c r="AB12" s="448">
        <f>-(Debt!Z44+Debt!AA27+Debt!AA36)</f>
        <v>0</v>
      </c>
      <c r="AC12" s="448">
        <f>-(Debt!AA44+Debt!AB27+Debt!AB36)</f>
        <v>0</v>
      </c>
      <c r="AD12" s="448">
        <f>-(Debt!AB44+Debt!AC27+Debt!AC36)</f>
        <v>0</v>
      </c>
      <c r="AE12" s="448">
        <f>-(Debt!AC44+Debt!AD27+Debt!AD36)</f>
        <v>0</v>
      </c>
      <c r="AF12" s="448">
        <f>-(Debt!AD44+Debt!AE27+Debt!AE36)</f>
        <v>0</v>
      </c>
      <c r="AG12" s="448">
        <f>-(Debt!AE44+Debt!AF27+Debt!AF36)</f>
        <v>-19.684120600232511</v>
      </c>
      <c r="AH12" s="13"/>
      <c r="AI12" s="13"/>
    </row>
    <row r="13" spans="1:35">
      <c r="A13" s="45" t="s">
        <v>356</v>
      </c>
      <c r="B13" s="64">
        <f>SUM(B11:B12)</f>
        <v>0</v>
      </c>
      <c r="C13" s="64">
        <f t="shared" ref="C13:AG13" si="0">SUM(C11:C12)</f>
        <v>14050.149182972917</v>
      </c>
      <c r="D13" s="64">
        <f t="shared" si="0"/>
        <v>10632.387137395865</v>
      </c>
      <c r="E13" s="64">
        <f t="shared" si="0"/>
        <v>10834.373434921286</v>
      </c>
      <c r="F13" s="64">
        <f t="shared" si="0"/>
        <v>11449.309779583504</v>
      </c>
      <c r="G13" s="64">
        <f t="shared" si="0"/>
        <v>12040.914590544086</v>
      </c>
      <c r="H13" s="64">
        <f t="shared" si="0"/>
        <v>12608.149753534675</v>
      </c>
      <c r="I13" s="64">
        <f t="shared" si="0"/>
        <v>13623.256773876557</v>
      </c>
      <c r="J13" s="64">
        <f t="shared" si="0"/>
        <v>14196.742705347286</v>
      </c>
      <c r="K13" s="64">
        <f t="shared" si="0"/>
        <v>14799.386058879863</v>
      </c>
      <c r="L13" s="64">
        <f t="shared" si="0"/>
        <v>15510.270178740908</v>
      </c>
      <c r="M13" s="64">
        <f t="shared" si="0"/>
        <v>2677.4911260491504</v>
      </c>
      <c r="N13" s="64">
        <f t="shared" si="0"/>
        <v>2694.160716879891</v>
      </c>
      <c r="O13" s="64">
        <f t="shared" si="0"/>
        <v>2625.4530872657597</v>
      </c>
      <c r="P13" s="64">
        <f t="shared" si="0"/>
        <v>2554.554944199037</v>
      </c>
      <c r="Q13" s="64">
        <f t="shared" si="0"/>
        <v>2481.4025616750478</v>
      </c>
      <c r="R13" s="64">
        <f t="shared" si="0"/>
        <v>2405.9303416969387</v>
      </c>
      <c r="S13" s="64">
        <f t="shared" si="0"/>
        <v>2328.0707589116973</v>
      </c>
      <c r="T13" s="64">
        <f t="shared" si="0"/>
        <v>2247.7543036011302</v>
      </c>
      <c r="U13" s="64">
        <f t="shared" si="0"/>
        <v>2164.9094229788197</v>
      </c>
      <c r="V13" s="64">
        <f t="shared" si="0"/>
        <v>2079.4624607425394</v>
      </c>
      <c r="W13" s="64">
        <f t="shared" si="0"/>
        <v>1991.2542614968097</v>
      </c>
      <c r="X13" s="64">
        <f t="shared" si="0"/>
        <v>1900.2484399920104</v>
      </c>
      <c r="Y13" s="64">
        <f t="shared" si="0"/>
        <v>1806.4063151249111</v>
      </c>
      <c r="Z13" s="64">
        <f t="shared" si="0"/>
        <v>1709.6451753104739</v>
      </c>
      <c r="AA13" s="64">
        <f t="shared" si="0"/>
        <v>1609.8798751664326</v>
      </c>
      <c r="AB13" s="64">
        <f t="shared" si="0"/>
        <v>1507.0227634503708</v>
      </c>
      <c r="AC13" s="64">
        <f t="shared" si="0"/>
        <v>1400.9836088539505</v>
      </c>
      <c r="AD13" s="64">
        <f t="shared" si="0"/>
        <v>1291.6695235903626</v>
      </c>
      <c r="AE13" s="64">
        <f t="shared" si="0"/>
        <v>1178.984884709178</v>
      </c>
      <c r="AF13" s="64">
        <f t="shared" si="0"/>
        <v>1062.8312530708572</v>
      </c>
      <c r="AG13" s="64">
        <f t="shared" si="0"/>
        <v>-8737.2569308855072</v>
      </c>
    </row>
    <row r="14" spans="1:35">
      <c r="A14" s="45"/>
      <c r="B14" s="64"/>
      <c r="C14" s="64"/>
      <c r="D14" s="64"/>
      <c r="E14" s="64"/>
      <c r="F14" s="64"/>
      <c r="G14" s="64"/>
      <c r="H14" s="64"/>
      <c r="I14" s="64"/>
      <c r="J14" s="64"/>
      <c r="K14" s="64"/>
      <c r="L14" s="64"/>
      <c r="M14" s="64"/>
      <c r="N14" s="64"/>
      <c r="O14" s="64"/>
      <c r="P14" s="64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</row>
    <row r="15" spans="1:35">
      <c r="A15" s="45" t="s">
        <v>357</v>
      </c>
      <c r="B15" s="18">
        <v>0</v>
      </c>
      <c r="C15" s="18">
        <f>-Taxes!B24-Taxes!B41</f>
        <v>-2783.8049313085635</v>
      </c>
      <c r="D15" s="18">
        <f>-Taxes!C24-Taxes!C41</f>
        <v>-188.11753625695161</v>
      </c>
      <c r="E15" s="18">
        <f>-Taxes!D24-Taxes!D41</f>
        <v>-635.33758896627603</v>
      </c>
      <c r="F15" s="18">
        <f>-Taxes!E24-Taxes!E41</f>
        <v>-1220.0816726575292</v>
      </c>
      <c r="G15" s="18">
        <f>-Taxes!F24-Taxes!F41</f>
        <v>-1761.0009592146894</v>
      </c>
      <c r="H15" s="18">
        <f>-Taxes!G24-Taxes!G41</f>
        <v>-2464.6688729652478</v>
      </c>
      <c r="I15" s="18">
        <f>-Taxes!H24-Taxes!H41</f>
        <v>-3101.728402405935</v>
      </c>
      <c r="J15" s="18">
        <f>-Taxes!I24-Taxes!I41</f>
        <v>-3330.9826674391352</v>
      </c>
      <c r="K15" s="18">
        <f>-Taxes!J24-Taxes!J41</f>
        <v>-3577.7075409346953</v>
      </c>
      <c r="L15" s="18">
        <f>-Taxes!K24-Taxes!K41</f>
        <v>-3861.6121201175119</v>
      </c>
      <c r="M15" s="18">
        <f>-Taxes!L24-Taxes!L41</f>
        <v>0</v>
      </c>
      <c r="N15" s="18">
        <f>-Taxes!M24-Taxes!M41</f>
        <v>0</v>
      </c>
      <c r="O15" s="18">
        <f>-Taxes!N24-Taxes!N41</f>
        <v>0</v>
      </c>
      <c r="P15" s="18">
        <f>-Taxes!O24-Taxes!O41</f>
        <v>0</v>
      </c>
      <c r="Q15" s="18">
        <f>-Taxes!P24-Taxes!P41</f>
        <v>0</v>
      </c>
      <c r="R15" s="18">
        <f>-Taxes!Q24-Taxes!Q41</f>
        <v>0</v>
      </c>
      <c r="S15" s="18">
        <f>-Taxes!R24-Taxes!R41</f>
        <v>0</v>
      </c>
      <c r="T15" s="18">
        <f>-Taxes!S24-Taxes!S41</f>
        <v>0</v>
      </c>
      <c r="U15" s="18">
        <f>-Taxes!T24-Taxes!T41</f>
        <v>-836.44667678812311</v>
      </c>
      <c r="V15" s="18">
        <f>-Taxes!U24-Taxes!U41</f>
        <v>-802.65240322367436</v>
      </c>
      <c r="W15" s="18">
        <f>-Taxes!V24-Taxes!V41</f>
        <v>-780.94939375532147</v>
      </c>
      <c r="X15" s="18">
        <f>-Taxes!W24-Taxes!W41</f>
        <v>-751.54825801684001</v>
      </c>
      <c r="Y15" s="18">
        <f>-Taxes!X24-Taxes!X41</f>
        <v>-714.43369763190231</v>
      </c>
      <c r="Z15" s="18">
        <f>-Taxes!Y24-Taxes!Y41</f>
        <v>-676.16466683529234</v>
      </c>
      <c r="AA15" s="18">
        <f>-Taxes!Z24-Taxes!Z41</f>
        <v>-636.70749062832408</v>
      </c>
      <c r="AB15" s="18">
        <f>-Taxes!AA24-Taxes!AA41</f>
        <v>-596.02750294462157</v>
      </c>
      <c r="AC15" s="18">
        <f>-Taxes!AB24-Taxes!AB41</f>
        <v>-554.08901730173739</v>
      </c>
      <c r="AD15" s="18">
        <f>-Taxes!AC24-Taxes!AC41</f>
        <v>-510.85529657998842</v>
      </c>
      <c r="AE15" s="18">
        <f>-Taxes!AD24-Taxes!AD41</f>
        <v>-466.28852190247989</v>
      </c>
      <c r="AF15" s="18">
        <f>-Taxes!AE24-Taxes!AE41</f>
        <v>-420.34976058952395</v>
      </c>
      <c r="AG15" s="18">
        <f>-Taxes!AF24-Taxes!AF41</f>
        <v>0</v>
      </c>
    </row>
    <row r="16" spans="1:35">
      <c r="A16" s="45" t="s">
        <v>82</v>
      </c>
      <c r="B16" s="64">
        <v>0</v>
      </c>
      <c r="C16" s="23">
        <f>-Debt!B48</f>
        <v>-4334.0140786151314</v>
      </c>
      <c r="D16" s="23">
        <f>-Debt!C48</f>
        <v>-6570.79292897087</v>
      </c>
      <c r="E16" s="23">
        <f>-Debt!D48</f>
        <v>-5520.9166194553109</v>
      </c>
      <c r="F16" s="23">
        <f>-Debt!E48</f>
        <v>-6018.1795914814502</v>
      </c>
      <c r="G16" s="23">
        <f>-Debt!F48</f>
        <v>-6587.6651243147935</v>
      </c>
      <c r="H16" s="23">
        <f>-Debt!G48</f>
        <v>-7173.353187008528</v>
      </c>
      <c r="I16" s="23">
        <f>-Debt!H48</f>
        <v>-7994.1912023426157</v>
      </c>
      <c r="J16" s="23">
        <f>-Debt!I48</f>
        <v>-8698.822793807507</v>
      </c>
      <c r="K16" s="23">
        <f>-Debt!J48</f>
        <v>-9343.6041393425694</v>
      </c>
      <c r="L16" s="23">
        <f>-Debt!K48</f>
        <v>-10085.142752531265</v>
      </c>
      <c r="M16" s="23">
        <f>-Debt!L48</f>
        <v>-1964.1722295777208</v>
      </c>
      <c r="N16" s="23">
        <f>-Debt!M48</f>
        <v>0</v>
      </c>
      <c r="O16" s="23">
        <f>-Debt!N48</f>
        <v>0</v>
      </c>
      <c r="P16" s="23">
        <f>-Debt!O48</f>
        <v>0</v>
      </c>
      <c r="Q16" s="23">
        <f>-Debt!P48</f>
        <v>0</v>
      </c>
      <c r="R16" s="23">
        <f>-Debt!Q48</f>
        <v>0</v>
      </c>
      <c r="S16" s="23">
        <f>-Debt!R48</f>
        <v>0</v>
      </c>
      <c r="T16" s="23">
        <f>-Debt!S48</f>
        <v>0</v>
      </c>
      <c r="U16" s="23">
        <f>-Debt!T48</f>
        <v>0</v>
      </c>
      <c r="V16" s="23">
        <f>-Debt!U48</f>
        <v>0</v>
      </c>
      <c r="W16" s="23">
        <f>-Debt!V48</f>
        <v>0</v>
      </c>
      <c r="X16" s="23">
        <f>-Debt!W48</f>
        <v>0</v>
      </c>
      <c r="Y16" s="23">
        <f>-Debt!X48</f>
        <v>0</v>
      </c>
      <c r="Z16" s="23">
        <f>-Debt!Y48</f>
        <v>0</v>
      </c>
      <c r="AA16" s="23">
        <f>-Debt!Z48</f>
        <v>0</v>
      </c>
      <c r="AB16" s="23">
        <f>-Debt!AA48</f>
        <v>0</v>
      </c>
      <c r="AC16" s="23">
        <f>-Debt!AB48</f>
        <v>0</v>
      </c>
      <c r="AD16" s="23">
        <f>-Debt!AC48</f>
        <v>0</v>
      </c>
      <c r="AE16" s="23">
        <f>-Debt!AD48</f>
        <v>0</v>
      </c>
      <c r="AF16" s="23">
        <f>-Debt!AE48</f>
        <v>0</v>
      </c>
      <c r="AG16" s="23">
        <f>-Debt!AF48</f>
        <v>5654.7460963530684</v>
      </c>
    </row>
    <row r="17" spans="1:33">
      <c r="A17" s="45" t="s">
        <v>358</v>
      </c>
      <c r="B17" s="449">
        <v>0</v>
      </c>
      <c r="C17" s="449">
        <v>0</v>
      </c>
      <c r="D17" s="449">
        <v>0</v>
      </c>
      <c r="E17" s="449">
        <v>0</v>
      </c>
      <c r="F17" s="449">
        <v>0</v>
      </c>
      <c r="G17" s="449">
        <v>0</v>
      </c>
      <c r="H17" s="449">
        <v>0</v>
      </c>
      <c r="I17" s="449">
        <v>0</v>
      </c>
      <c r="J17" s="449">
        <v>0</v>
      </c>
      <c r="K17" s="449">
        <v>0</v>
      </c>
      <c r="L17" s="449">
        <v>0</v>
      </c>
      <c r="M17" s="449">
        <v>0</v>
      </c>
      <c r="N17" s="449">
        <v>0</v>
      </c>
      <c r="O17" s="449">
        <v>0</v>
      </c>
      <c r="P17" s="449">
        <v>0</v>
      </c>
      <c r="Q17" s="449">
        <v>0</v>
      </c>
      <c r="R17" s="449">
        <v>0</v>
      </c>
      <c r="S17" s="449">
        <v>0</v>
      </c>
      <c r="T17" s="449">
        <v>0</v>
      </c>
      <c r="U17" s="449">
        <v>0</v>
      </c>
      <c r="V17" s="449">
        <v>0</v>
      </c>
      <c r="W17" s="449">
        <v>0</v>
      </c>
      <c r="X17" s="449">
        <v>0</v>
      </c>
      <c r="Y17" s="449">
        <v>0</v>
      </c>
      <c r="Z17" s="449">
        <v>0</v>
      </c>
      <c r="AA17" s="449">
        <v>0</v>
      </c>
      <c r="AB17" s="449">
        <v>0</v>
      </c>
      <c r="AC17" s="449">
        <v>0</v>
      </c>
      <c r="AD17" s="449">
        <v>0</v>
      </c>
      <c r="AE17" s="449">
        <v>0</v>
      </c>
      <c r="AF17" s="449">
        <v>0</v>
      </c>
      <c r="AG17" s="449">
        <v>0</v>
      </c>
    </row>
    <row r="18" spans="1:33">
      <c r="A18" s="45" t="s">
        <v>359</v>
      </c>
      <c r="B18" s="64">
        <f>B13+B17+B16+B15</f>
        <v>0</v>
      </c>
      <c r="C18" s="64">
        <f t="shared" ref="C18:AG18" si="1">C13+C17+C16+C15</f>
        <v>6932.3301730492221</v>
      </c>
      <c r="D18" s="64">
        <f t="shared" si="1"/>
        <v>3873.476672168043</v>
      </c>
      <c r="E18" s="64">
        <f t="shared" si="1"/>
        <v>4678.1192264996998</v>
      </c>
      <c r="F18" s="64">
        <f t="shared" si="1"/>
        <v>4211.0485154445241</v>
      </c>
      <c r="G18" s="64">
        <f t="shared" si="1"/>
        <v>3692.2485070146026</v>
      </c>
      <c r="H18" s="64">
        <f t="shared" si="1"/>
        <v>2970.1276935608994</v>
      </c>
      <c r="I18" s="64">
        <f t="shared" si="1"/>
        <v>2527.3371691280067</v>
      </c>
      <c r="J18" s="64">
        <f t="shared" si="1"/>
        <v>2166.9372441006435</v>
      </c>
      <c r="K18" s="64">
        <f t="shared" si="1"/>
        <v>1878.0743786025987</v>
      </c>
      <c r="L18" s="64">
        <f t="shared" si="1"/>
        <v>1563.5153060921311</v>
      </c>
      <c r="M18" s="64">
        <f t="shared" si="1"/>
        <v>713.31889647142953</v>
      </c>
      <c r="N18" s="64">
        <f t="shared" si="1"/>
        <v>2694.160716879891</v>
      </c>
      <c r="O18" s="64">
        <f t="shared" si="1"/>
        <v>2625.4530872657597</v>
      </c>
      <c r="P18" s="64">
        <f t="shared" si="1"/>
        <v>2554.554944199037</v>
      </c>
      <c r="Q18" s="64">
        <f t="shared" si="1"/>
        <v>2481.4025616750478</v>
      </c>
      <c r="R18" s="64">
        <f t="shared" si="1"/>
        <v>2405.9303416969387</v>
      </c>
      <c r="S18" s="64">
        <f t="shared" si="1"/>
        <v>2328.0707589116973</v>
      </c>
      <c r="T18" s="64">
        <f t="shared" si="1"/>
        <v>2247.7543036011302</v>
      </c>
      <c r="U18" s="64">
        <f t="shared" si="1"/>
        <v>1328.4627461906966</v>
      </c>
      <c r="V18" s="64">
        <f t="shared" si="1"/>
        <v>1276.8100575188651</v>
      </c>
      <c r="W18" s="64">
        <f t="shared" si="1"/>
        <v>1210.3048677414881</v>
      </c>
      <c r="X18" s="64">
        <f t="shared" si="1"/>
        <v>1148.7001819751704</v>
      </c>
      <c r="Y18" s="64">
        <f t="shared" si="1"/>
        <v>1091.9726174930088</v>
      </c>
      <c r="Z18" s="64">
        <f t="shared" si="1"/>
        <v>1033.4805084751815</v>
      </c>
      <c r="AA18" s="64">
        <f t="shared" si="1"/>
        <v>973.17238453810853</v>
      </c>
      <c r="AB18" s="64">
        <f t="shared" si="1"/>
        <v>910.99526050574923</v>
      </c>
      <c r="AC18" s="64">
        <f t="shared" si="1"/>
        <v>846.89459155221311</v>
      </c>
      <c r="AD18" s="64">
        <f t="shared" si="1"/>
        <v>780.81422701037422</v>
      </c>
      <c r="AE18" s="64">
        <f t="shared" si="1"/>
        <v>712.69636280669806</v>
      </c>
      <c r="AF18" s="64">
        <f t="shared" si="1"/>
        <v>642.48149248133325</v>
      </c>
      <c r="AG18" s="64">
        <f t="shared" si="1"/>
        <v>-3082.5108345324388</v>
      </c>
    </row>
    <row r="19" spans="1:33">
      <c r="A19" s="337"/>
      <c r="B19" s="401"/>
      <c r="C19" s="401"/>
      <c r="D19" s="401"/>
      <c r="E19" s="401"/>
      <c r="F19" s="401"/>
      <c r="G19" s="401"/>
      <c r="H19" s="401"/>
      <c r="I19" s="401"/>
      <c r="J19" s="401"/>
      <c r="K19" s="401"/>
      <c r="L19" s="401"/>
      <c r="M19" s="401"/>
      <c r="N19" s="401"/>
      <c r="O19" s="401"/>
      <c r="P19" s="401"/>
      <c r="Q19" s="401"/>
      <c r="R19" s="401"/>
      <c r="S19" s="401"/>
      <c r="T19" s="401"/>
      <c r="U19" s="401"/>
      <c r="V19" s="401"/>
      <c r="W19" s="401"/>
      <c r="X19" s="401"/>
      <c r="Y19" s="401"/>
      <c r="Z19" s="401"/>
      <c r="AA19" s="401"/>
      <c r="AB19" s="401"/>
      <c r="AC19" s="401"/>
      <c r="AD19" s="401"/>
      <c r="AE19" s="401"/>
      <c r="AF19" s="401"/>
      <c r="AG19" s="401"/>
    </row>
    <row r="20" spans="1:33">
      <c r="A20" s="450" t="s">
        <v>410</v>
      </c>
      <c r="B20" s="521">
        <v>1</v>
      </c>
      <c r="C20" s="401"/>
      <c r="D20" s="401"/>
      <c r="E20" s="401"/>
      <c r="F20" s="401"/>
      <c r="G20" s="401"/>
      <c r="H20" s="401"/>
      <c r="I20" s="401"/>
      <c r="J20" s="401"/>
      <c r="K20" s="401"/>
      <c r="L20" s="401"/>
      <c r="M20" s="401"/>
      <c r="N20" s="401"/>
      <c r="O20" s="401"/>
      <c r="P20" s="401"/>
      <c r="Q20" s="401"/>
      <c r="R20" s="401"/>
      <c r="S20" s="401"/>
      <c r="T20" s="401"/>
      <c r="U20" s="401"/>
      <c r="V20" s="401"/>
      <c r="W20" s="401"/>
      <c r="X20" s="401"/>
      <c r="Y20" s="401"/>
      <c r="Z20" s="401"/>
      <c r="AA20" s="401"/>
      <c r="AB20" s="401"/>
      <c r="AC20" s="401"/>
      <c r="AD20" s="401"/>
      <c r="AE20" s="401"/>
      <c r="AF20" s="401"/>
      <c r="AG20" s="401"/>
    </row>
    <row r="21" spans="1:33">
      <c r="B21" s="64">
        <f>$B$20*B18</f>
        <v>0</v>
      </c>
      <c r="C21" s="64">
        <f t="shared" ref="C21:AG21" si="2">$B$20*C18</f>
        <v>6932.3301730492221</v>
      </c>
      <c r="D21" s="64">
        <f t="shared" si="2"/>
        <v>3873.476672168043</v>
      </c>
      <c r="E21" s="64">
        <f t="shared" si="2"/>
        <v>4678.1192264996998</v>
      </c>
      <c r="F21" s="64">
        <f t="shared" si="2"/>
        <v>4211.0485154445241</v>
      </c>
      <c r="G21" s="64">
        <f t="shared" si="2"/>
        <v>3692.2485070146026</v>
      </c>
      <c r="H21" s="64">
        <f t="shared" si="2"/>
        <v>2970.1276935608994</v>
      </c>
      <c r="I21" s="64">
        <f t="shared" si="2"/>
        <v>2527.3371691280067</v>
      </c>
      <c r="J21" s="64">
        <f t="shared" si="2"/>
        <v>2166.9372441006435</v>
      </c>
      <c r="K21" s="64">
        <f t="shared" si="2"/>
        <v>1878.0743786025987</v>
      </c>
      <c r="L21" s="64">
        <f t="shared" si="2"/>
        <v>1563.5153060921311</v>
      </c>
      <c r="M21" s="64">
        <f t="shared" si="2"/>
        <v>713.31889647142953</v>
      </c>
      <c r="N21" s="64">
        <f t="shared" si="2"/>
        <v>2694.160716879891</v>
      </c>
      <c r="O21" s="64">
        <f t="shared" si="2"/>
        <v>2625.4530872657597</v>
      </c>
      <c r="P21" s="64">
        <f t="shared" si="2"/>
        <v>2554.554944199037</v>
      </c>
      <c r="Q21" s="64">
        <f t="shared" si="2"/>
        <v>2481.4025616750478</v>
      </c>
      <c r="R21" s="64">
        <f t="shared" si="2"/>
        <v>2405.9303416969387</v>
      </c>
      <c r="S21" s="64">
        <f t="shared" si="2"/>
        <v>2328.0707589116973</v>
      </c>
      <c r="T21" s="64">
        <f t="shared" si="2"/>
        <v>2247.7543036011302</v>
      </c>
      <c r="U21" s="64">
        <f t="shared" si="2"/>
        <v>1328.4627461906966</v>
      </c>
      <c r="V21" s="64">
        <f t="shared" si="2"/>
        <v>1276.8100575188651</v>
      </c>
      <c r="W21" s="64">
        <f t="shared" si="2"/>
        <v>1210.3048677414881</v>
      </c>
      <c r="X21" s="64">
        <f t="shared" si="2"/>
        <v>1148.7001819751704</v>
      </c>
      <c r="Y21" s="64">
        <f t="shared" si="2"/>
        <v>1091.9726174930088</v>
      </c>
      <c r="Z21" s="64">
        <f t="shared" si="2"/>
        <v>1033.4805084751815</v>
      </c>
      <c r="AA21" s="64">
        <f t="shared" si="2"/>
        <v>973.17238453810853</v>
      </c>
      <c r="AB21" s="64">
        <f t="shared" si="2"/>
        <v>910.99526050574923</v>
      </c>
      <c r="AC21" s="64">
        <f t="shared" si="2"/>
        <v>846.89459155221311</v>
      </c>
      <c r="AD21" s="64">
        <f t="shared" si="2"/>
        <v>780.81422701037422</v>
      </c>
      <c r="AE21" s="64">
        <f t="shared" si="2"/>
        <v>712.69636280669806</v>
      </c>
      <c r="AF21" s="64">
        <f t="shared" si="2"/>
        <v>642.48149248133325</v>
      </c>
      <c r="AG21" s="64">
        <f t="shared" si="2"/>
        <v>-3082.5108345324388</v>
      </c>
    </row>
    <row r="22" spans="1:33">
      <c r="B22" s="401"/>
      <c r="C22" s="401"/>
      <c r="D22" s="401"/>
      <c r="E22" s="401"/>
      <c r="F22" s="401"/>
      <c r="G22" s="401"/>
      <c r="H22" s="401"/>
      <c r="I22" s="401"/>
      <c r="J22" s="401"/>
      <c r="K22" s="401"/>
      <c r="L22" s="401"/>
      <c r="M22" s="401"/>
      <c r="N22" s="401"/>
      <c r="O22" s="401"/>
      <c r="P22" s="401"/>
      <c r="Q22" s="401"/>
      <c r="R22" s="401"/>
      <c r="S22" s="401"/>
      <c r="T22" s="401"/>
      <c r="U22" s="401"/>
      <c r="V22" s="401"/>
      <c r="W22" s="401"/>
      <c r="X22" s="401"/>
      <c r="Y22" s="401"/>
      <c r="Z22" s="401"/>
      <c r="AA22" s="401"/>
      <c r="AB22" s="401"/>
      <c r="AC22" s="401"/>
      <c r="AD22" s="401"/>
      <c r="AE22" s="401"/>
      <c r="AF22" s="401"/>
      <c r="AG22" s="401"/>
    </row>
    <row r="23" spans="1:33">
      <c r="A23" s="401"/>
      <c r="B23" s="401"/>
      <c r="C23" s="401"/>
      <c r="D23" s="401"/>
      <c r="E23" s="401"/>
      <c r="F23" s="401"/>
      <c r="G23" s="401"/>
      <c r="H23" s="401"/>
      <c r="I23" s="401"/>
      <c r="J23" s="401"/>
      <c r="K23" s="401"/>
      <c r="L23" s="401"/>
      <c r="M23" s="401"/>
      <c r="N23" s="401"/>
      <c r="O23" s="401"/>
      <c r="P23" s="401"/>
      <c r="Q23" s="401"/>
      <c r="R23" s="401"/>
      <c r="S23" s="401"/>
      <c r="T23" s="401"/>
      <c r="U23" s="401"/>
      <c r="V23" s="401"/>
      <c r="W23" s="401"/>
      <c r="X23" s="401"/>
      <c r="Y23" s="401"/>
      <c r="Z23" s="401"/>
      <c r="AA23" s="401"/>
      <c r="AB23" s="401"/>
      <c r="AC23" s="401"/>
      <c r="AD23" s="401"/>
    </row>
    <row r="24" spans="1:33">
      <c r="A24" s="451" t="s">
        <v>366</v>
      </c>
      <c r="B24" s="457">
        <v>0.14000000000000001</v>
      </c>
      <c r="AA24" s="59"/>
      <c r="AB24" s="59"/>
      <c r="AC24" s="59"/>
      <c r="AD24" s="59"/>
    </row>
    <row r="25" spans="1:33">
      <c r="A25" s="45" t="s">
        <v>56</v>
      </c>
      <c r="B25" s="18">
        <f>-Assumptions!C11</f>
        <v>-30435.069278949784</v>
      </c>
      <c r="C25" s="18">
        <f t="shared" ref="C25:V25" si="3">+B29</f>
        <v>-30435.069278949784</v>
      </c>
      <c r="D25" s="18">
        <f t="shared" si="3"/>
        <v>-27763.648804953533</v>
      </c>
      <c r="E25" s="18">
        <f t="shared" si="3"/>
        <v>-27763.648804953533</v>
      </c>
      <c r="F25" s="18">
        <f t="shared" si="3"/>
        <v>-26972.440411147327</v>
      </c>
      <c r="G25" s="18">
        <f t="shared" si="3"/>
        <v>-26537.533553263427</v>
      </c>
      <c r="H25" s="18">
        <f t="shared" si="3"/>
        <v>-26537.533553263427</v>
      </c>
      <c r="I25" s="18">
        <f t="shared" si="3"/>
        <v>-26537.533553263427</v>
      </c>
      <c r="J25" s="18">
        <f t="shared" si="3"/>
        <v>-26537.533553263427</v>
      </c>
      <c r="K25" s="18">
        <f t="shared" si="3"/>
        <v>-26537.533553263427</v>
      </c>
      <c r="L25" s="18">
        <f t="shared" si="3"/>
        <v>-26537.533553263427</v>
      </c>
      <c r="M25" s="18">
        <f t="shared" si="3"/>
        <v>-26537.533553263427</v>
      </c>
      <c r="N25" s="18">
        <f t="shared" si="3"/>
        <v>-26537.533553263427</v>
      </c>
      <c r="O25" s="18">
        <f t="shared" si="3"/>
        <v>-26537.533553263427</v>
      </c>
      <c r="P25" s="18">
        <f t="shared" si="3"/>
        <v>-26537.533553263427</v>
      </c>
      <c r="Q25" s="18">
        <f t="shared" si="3"/>
        <v>-26537.533553263427</v>
      </c>
      <c r="R25" s="18">
        <f t="shared" si="3"/>
        <v>-26537.533553263427</v>
      </c>
      <c r="S25" s="18">
        <f t="shared" si="3"/>
        <v>-26537.533553263427</v>
      </c>
      <c r="T25" s="18">
        <f t="shared" si="3"/>
        <v>-26537.533553263427</v>
      </c>
      <c r="U25" s="18">
        <f t="shared" si="3"/>
        <v>-26537.533553263427</v>
      </c>
      <c r="V25" s="18">
        <f t="shared" si="3"/>
        <v>-26537.533553263427</v>
      </c>
      <c r="W25" s="18">
        <f t="shared" ref="W25:AG25" si="4">+V29</f>
        <v>-26537.533553263427</v>
      </c>
      <c r="X25" s="18">
        <f t="shared" si="4"/>
        <v>-26537.533553263427</v>
      </c>
      <c r="Y25" s="18">
        <f t="shared" si="4"/>
        <v>-26537.533553263427</v>
      </c>
      <c r="Z25" s="18">
        <f t="shared" si="4"/>
        <v>-26537.533553263427</v>
      </c>
      <c r="AA25" s="18">
        <f t="shared" si="4"/>
        <v>-26537.533553263427</v>
      </c>
      <c r="AB25" s="18">
        <f t="shared" si="4"/>
        <v>-26537.533553263427</v>
      </c>
      <c r="AC25" s="18">
        <f t="shared" si="4"/>
        <v>-26537.533553263427</v>
      </c>
      <c r="AD25" s="18">
        <f t="shared" si="4"/>
        <v>-26537.533553263427</v>
      </c>
      <c r="AE25" s="18">
        <f t="shared" si="4"/>
        <v>-26537.533553263427</v>
      </c>
      <c r="AF25" s="18">
        <f t="shared" si="4"/>
        <v>-26537.533553263427</v>
      </c>
      <c r="AG25" s="18">
        <f t="shared" si="4"/>
        <v>-26537.533553263427</v>
      </c>
    </row>
    <row r="26" spans="1:33">
      <c r="A26" s="45" t="s">
        <v>365</v>
      </c>
      <c r="B26" s="18">
        <v>0</v>
      </c>
      <c r="C26" s="18">
        <f>+-B25*$B$24</f>
        <v>4260.9096990529706</v>
      </c>
      <c r="D26" s="18">
        <f t="shared" ref="D26:V26" si="5">+-D25*$B$24</f>
        <v>3886.9108326934947</v>
      </c>
      <c r="E26" s="18">
        <f t="shared" si="5"/>
        <v>3886.9108326934947</v>
      </c>
      <c r="F26" s="18">
        <f t="shared" si="5"/>
        <v>3776.1416575606263</v>
      </c>
      <c r="G26" s="18">
        <f t="shared" si="5"/>
        <v>3715.25469745688</v>
      </c>
      <c r="H26" s="18">
        <f t="shared" si="5"/>
        <v>3715.25469745688</v>
      </c>
      <c r="I26" s="18">
        <f t="shared" si="5"/>
        <v>3715.25469745688</v>
      </c>
      <c r="J26" s="18">
        <f t="shared" si="5"/>
        <v>3715.25469745688</v>
      </c>
      <c r="K26" s="18">
        <f t="shared" si="5"/>
        <v>3715.25469745688</v>
      </c>
      <c r="L26" s="18">
        <f t="shared" si="5"/>
        <v>3715.25469745688</v>
      </c>
      <c r="M26" s="18">
        <f t="shared" si="5"/>
        <v>3715.25469745688</v>
      </c>
      <c r="N26" s="18">
        <f t="shared" si="5"/>
        <v>3715.25469745688</v>
      </c>
      <c r="O26" s="18">
        <f t="shared" si="5"/>
        <v>3715.25469745688</v>
      </c>
      <c r="P26" s="18">
        <f t="shared" si="5"/>
        <v>3715.25469745688</v>
      </c>
      <c r="Q26" s="18">
        <f t="shared" si="5"/>
        <v>3715.25469745688</v>
      </c>
      <c r="R26" s="18">
        <f t="shared" si="5"/>
        <v>3715.25469745688</v>
      </c>
      <c r="S26" s="18">
        <f t="shared" si="5"/>
        <v>3715.25469745688</v>
      </c>
      <c r="T26" s="18">
        <f t="shared" si="5"/>
        <v>3715.25469745688</v>
      </c>
      <c r="U26" s="18">
        <f t="shared" si="5"/>
        <v>3715.25469745688</v>
      </c>
      <c r="V26" s="18">
        <f t="shared" si="5"/>
        <v>3715.25469745688</v>
      </c>
      <c r="W26" s="18">
        <f t="shared" ref="W26:AG26" si="6">+-W25*$B$24</f>
        <v>3715.25469745688</v>
      </c>
      <c r="X26" s="18">
        <f t="shared" si="6"/>
        <v>3715.25469745688</v>
      </c>
      <c r="Y26" s="18">
        <f t="shared" si="6"/>
        <v>3715.25469745688</v>
      </c>
      <c r="Z26" s="18">
        <f t="shared" si="6"/>
        <v>3715.25469745688</v>
      </c>
      <c r="AA26" s="18">
        <f t="shared" si="6"/>
        <v>3715.25469745688</v>
      </c>
      <c r="AB26" s="18">
        <f t="shared" si="6"/>
        <v>3715.25469745688</v>
      </c>
      <c r="AC26" s="18">
        <f t="shared" si="6"/>
        <v>3715.25469745688</v>
      </c>
      <c r="AD26" s="18">
        <f t="shared" si="6"/>
        <v>3715.25469745688</v>
      </c>
      <c r="AE26" s="18">
        <f t="shared" si="6"/>
        <v>3715.25469745688</v>
      </c>
      <c r="AF26" s="18">
        <f t="shared" si="6"/>
        <v>3715.25469745688</v>
      </c>
      <c r="AG26" s="18">
        <f t="shared" si="6"/>
        <v>3715.25469745688</v>
      </c>
    </row>
    <row r="27" spans="1:33">
      <c r="A27" s="45" t="s">
        <v>361</v>
      </c>
      <c r="B27" s="18">
        <f>B21</f>
        <v>0</v>
      </c>
      <c r="C27" s="18">
        <f t="shared" ref="C27:AG27" si="7">C21</f>
        <v>6932.3301730492221</v>
      </c>
      <c r="D27" s="18">
        <f t="shared" si="7"/>
        <v>3873.476672168043</v>
      </c>
      <c r="E27" s="18">
        <f t="shared" si="7"/>
        <v>4678.1192264996998</v>
      </c>
      <c r="F27" s="18">
        <f t="shared" si="7"/>
        <v>4211.0485154445241</v>
      </c>
      <c r="G27" s="18">
        <f t="shared" si="7"/>
        <v>3692.2485070146026</v>
      </c>
      <c r="H27" s="18">
        <f t="shared" si="7"/>
        <v>2970.1276935608994</v>
      </c>
      <c r="I27" s="18">
        <f t="shared" si="7"/>
        <v>2527.3371691280067</v>
      </c>
      <c r="J27" s="18">
        <f t="shared" si="7"/>
        <v>2166.9372441006435</v>
      </c>
      <c r="K27" s="18">
        <f t="shared" si="7"/>
        <v>1878.0743786025987</v>
      </c>
      <c r="L27" s="18">
        <f t="shared" si="7"/>
        <v>1563.5153060921311</v>
      </c>
      <c r="M27" s="18">
        <f t="shared" si="7"/>
        <v>713.31889647142953</v>
      </c>
      <c r="N27" s="18">
        <f t="shared" si="7"/>
        <v>2694.160716879891</v>
      </c>
      <c r="O27" s="18">
        <f t="shared" si="7"/>
        <v>2625.4530872657597</v>
      </c>
      <c r="P27" s="18">
        <f t="shared" si="7"/>
        <v>2554.554944199037</v>
      </c>
      <c r="Q27" s="18">
        <f t="shared" si="7"/>
        <v>2481.4025616750478</v>
      </c>
      <c r="R27" s="18">
        <f t="shared" si="7"/>
        <v>2405.9303416969387</v>
      </c>
      <c r="S27" s="18">
        <f t="shared" si="7"/>
        <v>2328.0707589116973</v>
      </c>
      <c r="T27" s="18">
        <f t="shared" si="7"/>
        <v>2247.7543036011302</v>
      </c>
      <c r="U27" s="18">
        <f t="shared" si="7"/>
        <v>1328.4627461906966</v>
      </c>
      <c r="V27" s="18">
        <f t="shared" si="7"/>
        <v>1276.8100575188651</v>
      </c>
      <c r="W27" s="18">
        <f t="shared" si="7"/>
        <v>1210.3048677414881</v>
      </c>
      <c r="X27" s="18">
        <f t="shared" si="7"/>
        <v>1148.7001819751704</v>
      </c>
      <c r="Y27" s="18">
        <f t="shared" si="7"/>
        <v>1091.9726174930088</v>
      </c>
      <c r="Z27" s="18">
        <f t="shared" si="7"/>
        <v>1033.4805084751815</v>
      </c>
      <c r="AA27" s="18">
        <f t="shared" si="7"/>
        <v>973.17238453810853</v>
      </c>
      <c r="AB27" s="18">
        <f t="shared" si="7"/>
        <v>910.99526050574923</v>
      </c>
      <c r="AC27" s="18">
        <f t="shared" si="7"/>
        <v>846.89459155221311</v>
      </c>
      <c r="AD27" s="18">
        <f t="shared" si="7"/>
        <v>780.81422701037422</v>
      </c>
      <c r="AE27" s="18">
        <f t="shared" si="7"/>
        <v>712.69636280669806</v>
      </c>
      <c r="AF27" s="18">
        <f t="shared" si="7"/>
        <v>642.48149248133325</v>
      </c>
      <c r="AG27" s="18">
        <f t="shared" si="7"/>
        <v>-3082.5108345324388</v>
      </c>
    </row>
    <row r="28" spans="1:33">
      <c r="A28" s="45" t="s">
        <v>364</v>
      </c>
      <c r="B28" s="312">
        <v>0</v>
      </c>
      <c r="C28" s="312">
        <f t="shared" ref="C28:V28" si="8">+IF(C27&gt;C26,C27-C26,0)</f>
        <v>2671.4204739962515</v>
      </c>
      <c r="D28" s="312">
        <f t="shared" si="8"/>
        <v>0</v>
      </c>
      <c r="E28" s="312">
        <f t="shared" si="8"/>
        <v>791.20839380620509</v>
      </c>
      <c r="F28" s="312">
        <f t="shared" si="8"/>
        <v>434.90685788389783</v>
      </c>
      <c r="G28" s="312">
        <f t="shared" si="8"/>
        <v>0</v>
      </c>
      <c r="H28" s="312">
        <f t="shared" si="8"/>
        <v>0</v>
      </c>
      <c r="I28" s="312">
        <f t="shared" si="8"/>
        <v>0</v>
      </c>
      <c r="J28" s="312">
        <f t="shared" si="8"/>
        <v>0</v>
      </c>
      <c r="K28" s="312">
        <f t="shared" si="8"/>
        <v>0</v>
      </c>
      <c r="L28" s="312">
        <f t="shared" si="8"/>
        <v>0</v>
      </c>
      <c r="M28" s="312">
        <f t="shared" si="8"/>
        <v>0</v>
      </c>
      <c r="N28" s="312">
        <f t="shared" si="8"/>
        <v>0</v>
      </c>
      <c r="O28" s="312">
        <f t="shared" si="8"/>
        <v>0</v>
      </c>
      <c r="P28" s="312">
        <f t="shared" si="8"/>
        <v>0</v>
      </c>
      <c r="Q28" s="312">
        <f t="shared" si="8"/>
        <v>0</v>
      </c>
      <c r="R28" s="312">
        <f t="shared" si="8"/>
        <v>0</v>
      </c>
      <c r="S28" s="312">
        <f t="shared" si="8"/>
        <v>0</v>
      </c>
      <c r="T28" s="312">
        <f t="shared" si="8"/>
        <v>0</v>
      </c>
      <c r="U28" s="312">
        <f t="shared" si="8"/>
        <v>0</v>
      </c>
      <c r="V28" s="312">
        <f t="shared" si="8"/>
        <v>0</v>
      </c>
      <c r="W28" s="312">
        <f t="shared" ref="W28:AG28" si="9">+IF(W27&gt;W26,W27-W26,0)</f>
        <v>0</v>
      </c>
      <c r="X28" s="312">
        <f t="shared" si="9"/>
        <v>0</v>
      </c>
      <c r="Y28" s="312">
        <f t="shared" si="9"/>
        <v>0</v>
      </c>
      <c r="Z28" s="312">
        <f t="shared" si="9"/>
        <v>0</v>
      </c>
      <c r="AA28" s="312">
        <f t="shared" si="9"/>
        <v>0</v>
      </c>
      <c r="AB28" s="312">
        <f t="shared" si="9"/>
        <v>0</v>
      </c>
      <c r="AC28" s="312">
        <f t="shared" si="9"/>
        <v>0</v>
      </c>
      <c r="AD28" s="312">
        <f t="shared" si="9"/>
        <v>0</v>
      </c>
      <c r="AE28" s="312">
        <f t="shared" si="9"/>
        <v>0</v>
      </c>
      <c r="AF28" s="312">
        <f t="shared" si="9"/>
        <v>0</v>
      </c>
      <c r="AG28" s="312">
        <f t="shared" si="9"/>
        <v>0</v>
      </c>
    </row>
    <row r="29" spans="1:33">
      <c r="A29" s="45" t="s">
        <v>59</v>
      </c>
      <c r="B29" s="18">
        <f t="shared" ref="B29:V29" si="10">+B25+B28</f>
        <v>-30435.069278949784</v>
      </c>
      <c r="C29" s="18">
        <f t="shared" si="10"/>
        <v>-27763.648804953533</v>
      </c>
      <c r="D29" s="18">
        <f t="shared" si="10"/>
        <v>-27763.648804953533</v>
      </c>
      <c r="E29" s="18">
        <f t="shared" si="10"/>
        <v>-26972.440411147327</v>
      </c>
      <c r="F29" s="18">
        <f t="shared" si="10"/>
        <v>-26537.533553263427</v>
      </c>
      <c r="G29" s="18">
        <f t="shared" si="10"/>
        <v>-26537.533553263427</v>
      </c>
      <c r="H29" s="18">
        <f t="shared" si="10"/>
        <v>-26537.533553263427</v>
      </c>
      <c r="I29" s="18">
        <f t="shared" si="10"/>
        <v>-26537.533553263427</v>
      </c>
      <c r="J29" s="18">
        <f t="shared" si="10"/>
        <v>-26537.533553263427</v>
      </c>
      <c r="K29" s="18">
        <f t="shared" si="10"/>
        <v>-26537.533553263427</v>
      </c>
      <c r="L29" s="18">
        <f t="shared" si="10"/>
        <v>-26537.533553263427</v>
      </c>
      <c r="M29" s="18">
        <f t="shared" si="10"/>
        <v>-26537.533553263427</v>
      </c>
      <c r="N29" s="18">
        <f t="shared" si="10"/>
        <v>-26537.533553263427</v>
      </c>
      <c r="O29" s="18">
        <f t="shared" si="10"/>
        <v>-26537.533553263427</v>
      </c>
      <c r="P29" s="18">
        <f t="shared" si="10"/>
        <v>-26537.533553263427</v>
      </c>
      <c r="Q29" s="18">
        <f t="shared" si="10"/>
        <v>-26537.533553263427</v>
      </c>
      <c r="R29" s="18">
        <f t="shared" si="10"/>
        <v>-26537.533553263427</v>
      </c>
      <c r="S29" s="18">
        <f t="shared" si="10"/>
        <v>-26537.533553263427</v>
      </c>
      <c r="T29" s="18">
        <f t="shared" si="10"/>
        <v>-26537.533553263427</v>
      </c>
      <c r="U29" s="18">
        <f t="shared" si="10"/>
        <v>-26537.533553263427</v>
      </c>
      <c r="V29" s="18">
        <f t="shared" si="10"/>
        <v>-26537.533553263427</v>
      </c>
      <c r="W29" s="18">
        <f t="shared" ref="W29:AG29" si="11">+W25+W28</f>
        <v>-26537.533553263427</v>
      </c>
      <c r="X29" s="18">
        <f t="shared" si="11"/>
        <v>-26537.533553263427</v>
      </c>
      <c r="Y29" s="18">
        <f t="shared" si="11"/>
        <v>-26537.533553263427</v>
      </c>
      <c r="Z29" s="18">
        <f t="shared" si="11"/>
        <v>-26537.533553263427</v>
      </c>
      <c r="AA29" s="18">
        <f t="shared" si="11"/>
        <v>-26537.533553263427</v>
      </c>
      <c r="AB29" s="18">
        <f t="shared" si="11"/>
        <v>-26537.533553263427</v>
      </c>
      <c r="AC29" s="18">
        <f t="shared" si="11"/>
        <v>-26537.533553263427</v>
      </c>
      <c r="AD29" s="18">
        <f t="shared" si="11"/>
        <v>-26537.533553263427</v>
      </c>
      <c r="AE29" s="18">
        <f t="shared" si="11"/>
        <v>-26537.533553263427</v>
      </c>
      <c r="AF29" s="18">
        <f t="shared" si="11"/>
        <v>-26537.533553263427</v>
      </c>
      <c r="AG29" s="18">
        <f t="shared" si="11"/>
        <v>-26537.533553263427</v>
      </c>
    </row>
    <row r="30" spans="1:33">
      <c r="A30" s="45"/>
    </row>
    <row r="31" spans="1:33">
      <c r="A31" s="45"/>
    </row>
    <row r="32" spans="1:33">
      <c r="A32" s="45"/>
    </row>
    <row r="33" spans="1:33">
      <c r="A33" s="451" t="s">
        <v>397</v>
      </c>
    </row>
    <row r="34" spans="1:33">
      <c r="A34" s="451"/>
    </row>
    <row r="35" spans="1:33">
      <c r="A35" s="450" t="s">
        <v>363</v>
      </c>
    </row>
    <row r="36" spans="1:33" s="18" customFormat="1">
      <c r="A36" s="45" t="s">
        <v>362</v>
      </c>
      <c r="B36" s="18">
        <f>-Assumptions!C11*Assumptions!$G$48</f>
        <v>-30435.069278949784</v>
      </c>
    </row>
    <row r="37" spans="1:33" s="18" customFormat="1">
      <c r="A37" s="45" t="s">
        <v>361</v>
      </c>
      <c r="B37" s="458">
        <f>B21*Assumptions!$G$48</f>
        <v>0</v>
      </c>
      <c r="C37" s="458">
        <f>C21*Assumptions!$G$48</f>
        <v>6932.3301730492221</v>
      </c>
      <c r="D37" s="458">
        <f>D21*Assumptions!$G$48</f>
        <v>3873.476672168043</v>
      </c>
      <c r="E37" s="458">
        <f>E21*Assumptions!$G$48</f>
        <v>4678.1192264996998</v>
      </c>
      <c r="F37" s="458">
        <f>F21*Assumptions!$G$48</f>
        <v>4211.0485154445241</v>
      </c>
      <c r="G37" s="458">
        <f>G21*Assumptions!$G$48</f>
        <v>3692.2485070146026</v>
      </c>
      <c r="H37" s="458">
        <f>H21*Assumptions!$G$48</f>
        <v>2970.1276935608994</v>
      </c>
      <c r="I37" s="458">
        <f>I21*Assumptions!$G$48</f>
        <v>2527.3371691280067</v>
      </c>
      <c r="J37" s="458">
        <f>J21*Assumptions!$G$48</f>
        <v>2166.9372441006435</v>
      </c>
      <c r="K37" s="458">
        <f>K21*Assumptions!$G$48</f>
        <v>1878.0743786025987</v>
      </c>
      <c r="L37" s="458">
        <f>L21*Assumptions!$G$48</f>
        <v>1563.5153060921311</v>
      </c>
      <c r="M37" s="458">
        <f>M21*Assumptions!$G$48</f>
        <v>713.31889647142953</v>
      </c>
      <c r="N37" s="458">
        <f>N21*Assumptions!$G$48</f>
        <v>2694.160716879891</v>
      </c>
      <c r="O37" s="458">
        <f>O21*Assumptions!$G$48</f>
        <v>2625.4530872657597</v>
      </c>
      <c r="P37" s="458">
        <f>P21*Assumptions!$G$48</f>
        <v>2554.554944199037</v>
      </c>
      <c r="Q37" s="458">
        <f>Q21*Assumptions!$G$48</f>
        <v>2481.4025616750478</v>
      </c>
      <c r="R37" s="458">
        <f>R21*Assumptions!$G$48</f>
        <v>2405.9303416969387</v>
      </c>
      <c r="S37" s="458">
        <f>S21*Assumptions!$G$48</f>
        <v>2328.0707589116973</v>
      </c>
      <c r="T37" s="458">
        <f>T21*Assumptions!$G$48</f>
        <v>2247.7543036011302</v>
      </c>
      <c r="U37" s="458">
        <f>U21*Assumptions!$G$48</f>
        <v>1328.4627461906966</v>
      </c>
      <c r="V37" s="458">
        <f>V21*Assumptions!$G$48</f>
        <v>1276.8100575188651</v>
      </c>
      <c r="W37" s="458">
        <f>W21*Assumptions!$G$48</f>
        <v>1210.3048677414881</v>
      </c>
      <c r="X37" s="458">
        <f>X21*Assumptions!$G$48</f>
        <v>1148.7001819751704</v>
      </c>
      <c r="Y37" s="458">
        <f>Y21*Assumptions!$G$48</f>
        <v>1091.9726174930088</v>
      </c>
      <c r="Z37" s="458">
        <f>Z21*Assumptions!$G$48</f>
        <v>1033.4805084751815</v>
      </c>
      <c r="AA37" s="458">
        <f>AA21*Assumptions!$G$48</f>
        <v>973.17238453810853</v>
      </c>
      <c r="AB37" s="458">
        <f>AB21*Assumptions!$G$48</f>
        <v>910.99526050574923</v>
      </c>
      <c r="AC37" s="458">
        <f>AC21*Assumptions!$G$48</f>
        <v>846.89459155221311</v>
      </c>
      <c r="AD37" s="458">
        <f>AD21*Assumptions!$G$48</f>
        <v>780.81422701037422</v>
      </c>
      <c r="AE37" s="458">
        <f>AE21*Assumptions!$G$48</f>
        <v>712.69636280669806</v>
      </c>
      <c r="AF37" s="458">
        <f>AF21*Assumptions!$G$48</f>
        <v>642.48149248133325</v>
      </c>
      <c r="AG37" s="458">
        <f>AG21*Assumptions!$G$48</f>
        <v>-3082.5108345324388</v>
      </c>
    </row>
    <row r="38" spans="1:33" s="18" customFormat="1">
      <c r="A38" s="45" t="s">
        <v>360</v>
      </c>
      <c r="B38" s="18">
        <f t="shared" ref="B38:AG38" si="12">SUM(B36:B37)</f>
        <v>-30435.069278949784</v>
      </c>
      <c r="C38" s="18">
        <f t="shared" si="12"/>
        <v>6932.3301730492221</v>
      </c>
      <c r="D38" s="18">
        <f t="shared" si="12"/>
        <v>3873.476672168043</v>
      </c>
      <c r="E38" s="18">
        <f t="shared" si="12"/>
        <v>4678.1192264996998</v>
      </c>
      <c r="F38" s="18">
        <f t="shared" si="12"/>
        <v>4211.0485154445241</v>
      </c>
      <c r="G38" s="18">
        <f t="shared" si="12"/>
        <v>3692.2485070146026</v>
      </c>
      <c r="H38" s="18">
        <f t="shared" si="12"/>
        <v>2970.1276935608994</v>
      </c>
      <c r="I38" s="18">
        <f t="shared" si="12"/>
        <v>2527.3371691280067</v>
      </c>
      <c r="J38" s="18">
        <f t="shared" si="12"/>
        <v>2166.9372441006435</v>
      </c>
      <c r="K38" s="18">
        <f t="shared" si="12"/>
        <v>1878.0743786025987</v>
      </c>
      <c r="L38" s="18">
        <f t="shared" si="12"/>
        <v>1563.5153060921311</v>
      </c>
      <c r="M38" s="18">
        <f t="shared" si="12"/>
        <v>713.31889647142953</v>
      </c>
      <c r="N38" s="18">
        <f t="shared" si="12"/>
        <v>2694.160716879891</v>
      </c>
      <c r="O38" s="18">
        <f t="shared" si="12"/>
        <v>2625.4530872657597</v>
      </c>
      <c r="P38" s="18">
        <f t="shared" si="12"/>
        <v>2554.554944199037</v>
      </c>
      <c r="Q38" s="18">
        <f t="shared" si="12"/>
        <v>2481.4025616750478</v>
      </c>
      <c r="R38" s="18">
        <f t="shared" si="12"/>
        <v>2405.9303416969387</v>
      </c>
      <c r="S38" s="18">
        <f t="shared" si="12"/>
        <v>2328.0707589116973</v>
      </c>
      <c r="T38" s="18">
        <f t="shared" si="12"/>
        <v>2247.7543036011302</v>
      </c>
      <c r="U38" s="18">
        <f t="shared" si="12"/>
        <v>1328.4627461906966</v>
      </c>
      <c r="V38" s="18">
        <f t="shared" si="12"/>
        <v>1276.8100575188651</v>
      </c>
      <c r="W38" s="18">
        <f t="shared" si="12"/>
        <v>1210.3048677414881</v>
      </c>
      <c r="X38" s="18">
        <f t="shared" si="12"/>
        <v>1148.7001819751704</v>
      </c>
      <c r="Y38" s="18">
        <f t="shared" si="12"/>
        <v>1091.9726174930088</v>
      </c>
      <c r="Z38" s="18">
        <f t="shared" si="12"/>
        <v>1033.4805084751815</v>
      </c>
      <c r="AA38" s="18">
        <f t="shared" si="12"/>
        <v>973.17238453810853</v>
      </c>
      <c r="AB38" s="18">
        <f t="shared" si="12"/>
        <v>910.99526050574923</v>
      </c>
      <c r="AC38" s="18">
        <f t="shared" si="12"/>
        <v>846.89459155221311</v>
      </c>
      <c r="AD38" s="18">
        <f t="shared" si="12"/>
        <v>780.81422701037422</v>
      </c>
      <c r="AE38" s="18">
        <f t="shared" si="12"/>
        <v>712.69636280669806</v>
      </c>
      <c r="AF38" s="18">
        <f t="shared" si="12"/>
        <v>642.48149248133325</v>
      </c>
      <c r="AG38" s="18">
        <f t="shared" si="12"/>
        <v>-3082.5108345324388</v>
      </c>
    </row>
    <row r="39" spans="1:33">
      <c r="B39" s="450" t="s">
        <v>1</v>
      </c>
      <c r="C39" s="456">
        <f>XIRR(B38:W38,B8:W8)</f>
        <v>7.8562864661216744E-2</v>
      </c>
    </row>
    <row r="40" spans="1:33">
      <c r="A40" s="45"/>
      <c r="B40" s="452"/>
    </row>
    <row r="41" spans="1:33">
      <c r="A41" s="43" t="str">
        <f>CONCATENATE("With ",Assumptions!H23,"x EBITDA Exit Multiple")</f>
        <v>With 5x EBITDA Exit Multiple</v>
      </c>
    </row>
    <row r="42" spans="1:33">
      <c r="A42" s="56" t="s">
        <v>362</v>
      </c>
      <c r="B42" s="18">
        <f>-Assumptions!C11*Assumptions!$G$48</f>
        <v>-30435.069278949784</v>
      </c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</row>
    <row r="43" spans="1:33">
      <c r="A43" s="56" t="s">
        <v>361</v>
      </c>
      <c r="B43" s="453">
        <f>B21*Assumptions!$G$48</f>
        <v>0</v>
      </c>
      <c r="C43" s="453">
        <f>C21*Assumptions!$G$48</f>
        <v>6932.3301730492221</v>
      </c>
      <c r="D43" s="453">
        <f>D21*Assumptions!$G$48</f>
        <v>3873.476672168043</v>
      </c>
      <c r="E43" s="453">
        <f>E21*Assumptions!$G$48</f>
        <v>4678.1192264996998</v>
      </c>
      <c r="F43" s="453">
        <f>F21*Assumptions!$G$48</f>
        <v>4211.0485154445241</v>
      </c>
      <c r="G43" s="453">
        <f>G21*Assumptions!$G$48</f>
        <v>3692.2485070146026</v>
      </c>
      <c r="H43" s="453">
        <f>H21*Assumptions!$G$48</f>
        <v>2970.1276935608994</v>
      </c>
      <c r="I43" s="453">
        <f>I21*Assumptions!$G$48</f>
        <v>2527.3371691280067</v>
      </c>
      <c r="J43" s="453">
        <f>J21*Assumptions!$G$48</f>
        <v>2166.9372441006435</v>
      </c>
      <c r="K43" s="453">
        <f>K21*Assumptions!$G$48</f>
        <v>1878.0743786025987</v>
      </c>
      <c r="L43" s="453">
        <f>L21*Assumptions!$G$48</f>
        <v>1563.5153060921311</v>
      </c>
      <c r="M43" s="453">
        <f>M21*Assumptions!$G$48</f>
        <v>713.31889647142953</v>
      </c>
      <c r="N43" s="453">
        <f>N21*Assumptions!$G$48</f>
        <v>2694.160716879891</v>
      </c>
      <c r="O43" s="453">
        <f>O21*Assumptions!$G$48</f>
        <v>2625.4530872657597</v>
      </c>
      <c r="P43" s="453">
        <f>P21*Assumptions!$G$48</f>
        <v>2554.554944199037</v>
      </c>
      <c r="Q43" s="453">
        <f>Q21*Assumptions!$G$48</f>
        <v>2481.4025616750478</v>
      </c>
      <c r="R43" s="453">
        <f>R21*Assumptions!$G$48</f>
        <v>2405.9303416969387</v>
      </c>
      <c r="S43" s="453">
        <f>S21*Assumptions!$G$48</f>
        <v>2328.0707589116973</v>
      </c>
      <c r="T43" s="453">
        <f>T21*Assumptions!$G$48</f>
        <v>2247.7543036011302</v>
      </c>
      <c r="U43" s="453">
        <f>U21*Assumptions!$G$48</f>
        <v>1328.4627461906966</v>
      </c>
      <c r="V43" s="453">
        <f>V21*Assumptions!$G$48</f>
        <v>1276.8100575188651</v>
      </c>
      <c r="W43" s="453">
        <f>W21*Assumptions!$G$48</f>
        <v>1210.3048677414881</v>
      </c>
      <c r="X43" s="453">
        <f>X21*Assumptions!$G$48</f>
        <v>1148.7001819751704</v>
      </c>
      <c r="Y43" s="453">
        <f>Y21*Assumptions!$G$48</f>
        <v>1091.9726174930088</v>
      </c>
      <c r="Z43" s="453">
        <f>Z21*Assumptions!$G$48</f>
        <v>1033.4805084751815</v>
      </c>
      <c r="AA43" s="453">
        <f>AA21*Assumptions!$G$48</f>
        <v>973.17238453810853</v>
      </c>
      <c r="AB43" s="453">
        <f>AB21*Assumptions!$G$48</f>
        <v>910.99526050574923</v>
      </c>
      <c r="AC43" s="453">
        <f>AC21*Assumptions!$G$48</f>
        <v>846.89459155221311</v>
      </c>
      <c r="AD43" s="453">
        <f>AD21*Assumptions!$G$48</f>
        <v>780.81422701037422</v>
      </c>
      <c r="AE43" s="453">
        <f>AE21*Assumptions!$G$48</f>
        <v>712.69636280669806</v>
      </c>
      <c r="AF43" s="453">
        <f>AF21*Assumptions!$G$48</f>
        <v>642.48149248133325</v>
      </c>
      <c r="AG43" s="453">
        <f>AG21*Assumptions!$G$48</f>
        <v>-3082.5108345324388</v>
      </c>
    </row>
    <row r="44" spans="1:33">
      <c r="A44" s="56" t="s">
        <v>125</v>
      </c>
      <c r="B44" s="312">
        <v>0</v>
      </c>
      <c r="C44" s="312">
        <v>0</v>
      </c>
      <c r="D44" s="312">
        <v>0</v>
      </c>
      <c r="E44" s="312">
        <v>0</v>
      </c>
      <c r="F44" s="312">
        <v>0</v>
      </c>
      <c r="G44" s="312">
        <v>0</v>
      </c>
      <c r="H44" s="312">
        <v>0</v>
      </c>
      <c r="I44" s="312">
        <v>0</v>
      </c>
      <c r="J44" s="312">
        <v>0</v>
      </c>
      <c r="K44" s="312">
        <v>0</v>
      </c>
      <c r="L44" s="312">
        <v>0</v>
      </c>
      <c r="M44" s="312">
        <f>Assumptions!H23*IS!M34*Assumptions!G48</f>
        <v>13803.698704102841</v>
      </c>
      <c r="N44" s="312">
        <v>0</v>
      </c>
      <c r="O44" s="312">
        <v>0</v>
      </c>
      <c r="P44" s="312">
        <v>0</v>
      </c>
      <c r="Q44" s="312">
        <v>0</v>
      </c>
      <c r="R44" s="312">
        <v>0</v>
      </c>
      <c r="S44" s="312">
        <v>0</v>
      </c>
      <c r="T44" s="312">
        <v>0</v>
      </c>
      <c r="U44" s="312">
        <v>0</v>
      </c>
      <c r="V44" s="312">
        <v>0</v>
      </c>
      <c r="W44" s="312">
        <f>Assumptions!H23*IS!W34*Assumptions!G48</f>
        <v>9956.2713074840485</v>
      </c>
      <c r="X44" s="312">
        <v>0</v>
      </c>
      <c r="Y44" s="312">
        <v>0</v>
      </c>
      <c r="Z44" s="312">
        <v>0</v>
      </c>
      <c r="AA44" s="312">
        <v>0</v>
      </c>
      <c r="AB44" s="312">
        <v>0</v>
      </c>
      <c r="AC44" s="312">
        <v>0</v>
      </c>
      <c r="AD44" s="312">
        <v>0</v>
      </c>
      <c r="AE44" s="312">
        <v>0</v>
      </c>
      <c r="AF44" s="312">
        <v>0</v>
      </c>
      <c r="AG44" s="312">
        <f>Assumptions!H23*IS!AF34*Assumptions!G48</f>
        <v>5314.156265354286</v>
      </c>
    </row>
    <row r="45" spans="1:33">
      <c r="A45" s="56" t="s">
        <v>360</v>
      </c>
      <c r="B45" s="18">
        <f t="shared" ref="B45:AG45" si="13">SUM(B42:B44)</f>
        <v>-30435.069278949784</v>
      </c>
      <c r="C45" s="18">
        <f t="shared" si="13"/>
        <v>6932.3301730492221</v>
      </c>
      <c r="D45" s="18">
        <f t="shared" si="13"/>
        <v>3873.476672168043</v>
      </c>
      <c r="E45" s="18">
        <f t="shared" si="13"/>
        <v>4678.1192264996998</v>
      </c>
      <c r="F45" s="18">
        <f t="shared" si="13"/>
        <v>4211.0485154445241</v>
      </c>
      <c r="G45" s="18">
        <f t="shared" si="13"/>
        <v>3692.2485070146026</v>
      </c>
      <c r="H45" s="18">
        <f t="shared" si="13"/>
        <v>2970.1276935608994</v>
      </c>
      <c r="I45" s="18">
        <f t="shared" si="13"/>
        <v>2527.3371691280067</v>
      </c>
      <c r="J45" s="18">
        <f t="shared" si="13"/>
        <v>2166.9372441006435</v>
      </c>
      <c r="K45" s="18">
        <f t="shared" si="13"/>
        <v>1878.0743786025987</v>
      </c>
      <c r="L45" s="18">
        <f t="shared" si="13"/>
        <v>1563.5153060921311</v>
      </c>
      <c r="M45" s="18">
        <f t="shared" si="13"/>
        <v>14517.017600574271</v>
      </c>
      <c r="N45" s="18">
        <f t="shared" si="13"/>
        <v>2694.160716879891</v>
      </c>
      <c r="O45" s="18">
        <f t="shared" si="13"/>
        <v>2625.4530872657597</v>
      </c>
      <c r="P45" s="18">
        <f t="shared" si="13"/>
        <v>2554.554944199037</v>
      </c>
      <c r="Q45" s="18">
        <f t="shared" si="13"/>
        <v>2481.4025616750478</v>
      </c>
      <c r="R45" s="18">
        <f t="shared" si="13"/>
        <v>2405.9303416969387</v>
      </c>
      <c r="S45" s="18">
        <f t="shared" si="13"/>
        <v>2328.0707589116973</v>
      </c>
      <c r="T45" s="18">
        <f t="shared" si="13"/>
        <v>2247.7543036011302</v>
      </c>
      <c r="U45" s="18">
        <f t="shared" si="13"/>
        <v>1328.4627461906966</v>
      </c>
      <c r="V45" s="18">
        <f t="shared" si="13"/>
        <v>1276.8100575188651</v>
      </c>
      <c r="W45" s="18">
        <f t="shared" si="13"/>
        <v>11166.576175225537</v>
      </c>
      <c r="X45" s="18">
        <f t="shared" si="13"/>
        <v>1148.7001819751704</v>
      </c>
      <c r="Y45" s="18">
        <f t="shared" si="13"/>
        <v>1091.9726174930088</v>
      </c>
      <c r="Z45" s="18">
        <f t="shared" si="13"/>
        <v>1033.4805084751815</v>
      </c>
      <c r="AA45" s="18">
        <f t="shared" si="13"/>
        <v>973.17238453810853</v>
      </c>
      <c r="AB45" s="18">
        <f t="shared" si="13"/>
        <v>910.99526050574923</v>
      </c>
      <c r="AC45" s="18">
        <f t="shared" si="13"/>
        <v>846.89459155221311</v>
      </c>
      <c r="AD45" s="18">
        <f t="shared" si="13"/>
        <v>780.81422701037422</v>
      </c>
      <c r="AE45" s="18">
        <f t="shared" si="13"/>
        <v>712.69636280669806</v>
      </c>
      <c r="AF45" s="18">
        <f t="shared" si="13"/>
        <v>642.48149248133325</v>
      </c>
      <c r="AG45" s="18">
        <f t="shared" si="13"/>
        <v>2231.6454308218472</v>
      </c>
    </row>
    <row r="46" spans="1:33">
      <c r="A46" s="13"/>
      <c r="B46" s="450" t="s">
        <v>1</v>
      </c>
      <c r="C46" s="456">
        <f>XIRR(B45:W45,B8:W8)</f>
        <v>0.10922600626945494</v>
      </c>
    </row>
    <row r="47" spans="1:33">
      <c r="A47" s="56"/>
      <c r="B47" s="452"/>
    </row>
    <row r="48" spans="1:33">
      <c r="A48" s="43" t="str">
        <f>CONCATENATE("With ",Assumptions!H24*100,"% Initial Project Cost")</f>
        <v>With 20% Initial Project Cost</v>
      </c>
    </row>
    <row r="49" spans="1:33" s="18" customFormat="1">
      <c r="A49" s="56" t="s">
        <v>362</v>
      </c>
      <c r="B49" s="18">
        <f>-Assumptions!C11*Assumptions!G48</f>
        <v>-30435.069278949784</v>
      </c>
    </row>
    <row r="50" spans="1:33" s="18" customFormat="1">
      <c r="A50" s="56" t="s">
        <v>361</v>
      </c>
      <c r="B50" s="18">
        <f>+B21*Assumptions!$G$48</f>
        <v>0</v>
      </c>
      <c r="C50" s="18">
        <f>+C21*Assumptions!$G$48</f>
        <v>6932.3301730492221</v>
      </c>
      <c r="D50" s="18">
        <f>+D21*Assumptions!$G$48</f>
        <v>3873.476672168043</v>
      </c>
      <c r="E50" s="18">
        <f>+E21*Assumptions!$G$48</f>
        <v>4678.1192264996998</v>
      </c>
      <c r="F50" s="18">
        <f>+F21*Assumptions!$G$48</f>
        <v>4211.0485154445241</v>
      </c>
      <c r="G50" s="18">
        <f>+G21*Assumptions!$G$48</f>
        <v>3692.2485070146026</v>
      </c>
      <c r="H50" s="18">
        <f>+H21*Assumptions!$G$48</f>
        <v>2970.1276935608994</v>
      </c>
      <c r="I50" s="18">
        <f>+I21*Assumptions!$G$48</f>
        <v>2527.3371691280067</v>
      </c>
      <c r="J50" s="18">
        <f>+J21*Assumptions!$G$48</f>
        <v>2166.9372441006435</v>
      </c>
      <c r="K50" s="18">
        <f>+K21*Assumptions!$G$48</f>
        <v>1878.0743786025987</v>
      </c>
      <c r="L50" s="18">
        <f>+L21*Assumptions!$G$48</f>
        <v>1563.5153060921311</v>
      </c>
      <c r="M50" s="18">
        <f>+M21*Assumptions!$G$48</f>
        <v>713.31889647142953</v>
      </c>
      <c r="N50" s="18">
        <f>+N21*Assumptions!$G$48</f>
        <v>2694.160716879891</v>
      </c>
      <c r="O50" s="18">
        <f>+O21*Assumptions!$G$48</f>
        <v>2625.4530872657597</v>
      </c>
      <c r="P50" s="18">
        <f>+P21*Assumptions!$G$48</f>
        <v>2554.554944199037</v>
      </c>
      <c r="Q50" s="18">
        <f>+Q21*Assumptions!$G$48</f>
        <v>2481.4025616750478</v>
      </c>
      <c r="R50" s="18">
        <f>+R21*Assumptions!$G$48</f>
        <v>2405.9303416969387</v>
      </c>
      <c r="S50" s="18">
        <f>+S21*Assumptions!$G$48</f>
        <v>2328.0707589116973</v>
      </c>
      <c r="T50" s="18">
        <f>+T21*Assumptions!$G$48</f>
        <v>2247.7543036011302</v>
      </c>
      <c r="U50" s="18">
        <f>+U21*Assumptions!$G$48</f>
        <v>1328.4627461906966</v>
      </c>
      <c r="V50" s="18">
        <f>+V21*Assumptions!$G$48</f>
        <v>1276.8100575188651</v>
      </c>
      <c r="W50" s="18">
        <f>+W21*Assumptions!$G$48</f>
        <v>1210.3048677414881</v>
      </c>
      <c r="X50" s="18">
        <f>+X21*Assumptions!$G$48</f>
        <v>1148.7001819751704</v>
      </c>
      <c r="Y50" s="18">
        <f>+Y21*Assumptions!$G$48</f>
        <v>1091.9726174930088</v>
      </c>
      <c r="Z50" s="18">
        <f>+Z21*Assumptions!$G$48</f>
        <v>1033.4805084751815</v>
      </c>
      <c r="AA50" s="18">
        <f>+AA21*Assumptions!$G$48</f>
        <v>973.17238453810853</v>
      </c>
      <c r="AB50" s="18">
        <f>+AB21*Assumptions!$G$48</f>
        <v>910.99526050574923</v>
      </c>
      <c r="AC50" s="18">
        <f>+AC21*Assumptions!$G$48</f>
        <v>846.89459155221311</v>
      </c>
      <c r="AD50" s="18">
        <f>+AD21*Assumptions!$G$48</f>
        <v>780.81422701037422</v>
      </c>
      <c r="AE50" s="18">
        <f>+AE21*Assumptions!$G$48</f>
        <v>712.69636280669806</v>
      </c>
      <c r="AF50" s="18">
        <f>+AF21*Assumptions!$G$48</f>
        <v>642.48149248133325</v>
      </c>
      <c r="AG50" s="18">
        <f>+AG21*Assumptions!$G$48</f>
        <v>-3082.5108345324388</v>
      </c>
    </row>
    <row r="51" spans="1:33" s="18" customFormat="1">
      <c r="A51" s="56" t="s">
        <v>125</v>
      </c>
      <c r="B51" s="312">
        <v>0</v>
      </c>
      <c r="C51" s="312">
        <v>0</v>
      </c>
      <c r="D51" s="312">
        <v>0</v>
      </c>
      <c r="E51" s="312">
        <v>0</v>
      </c>
      <c r="F51" s="312">
        <v>0</v>
      </c>
      <c r="G51" s="312">
        <v>0</v>
      </c>
      <c r="H51" s="312">
        <v>0</v>
      </c>
      <c r="I51" s="312">
        <v>0</v>
      </c>
      <c r="J51" s="312">
        <v>0</v>
      </c>
      <c r="K51" s="312">
        <v>0</v>
      </c>
      <c r="L51" s="312">
        <v>0</v>
      </c>
      <c r="M51" s="312">
        <f>AG51</f>
        <v>20945.184785279511</v>
      </c>
      <c r="N51" s="312">
        <v>0</v>
      </c>
      <c r="O51" s="312">
        <v>0</v>
      </c>
      <c r="P51" s="312">
        <v>0</v>
      </c>
      <c r="Q51" s="312">
        <v>0</v>
      </c>
      <c r="R51" s="312">
        <v>0</v>
      </c>
      <c r="S51" s="312">
        <v>0</v>
      </c>
      <c r="T51" s="312">
        <v>0</v>
      </c>
      <c r="U51" s="312">
        <v>0</v>
      </c>
      <c r="V51" s="312">
        <v>0</v>
      </c>
      <c r="W51" s="312">
        <v>0</v>
      </c>
      <c r="X51" s="312">
        <v>0</v>
      </c>
      <c r="Y51" s="312">
        <v>0</v>
      </c>
      <c r="Z51" s="312">
        <v>0</v>
      </c>
      <c r="AA51" s="312">
        <v>0</v>
      </c>
      <c r="AB51" s="312">
        <v>0</v>
      </c>
      <c r="AC51" s="312">
        <v>0</v>
      </c>
      <c r="AD51" s="312">
        <v>0</v>
      </c>
      <c r="AE51" s="312">
        <v>0</v>
      </c>
      <c r="AF51" s="312">
        <v>0</v>
      </c>
      <c r="AG51" s="312">
        <f>Assumptions!H24*Assumptions!C58*Assumptions!G48</f>
        <v>20945.184785279511</v>
      </c>
    </row>
    <row r="52" spans="1:33" s="18" customFormat="1">
      <c r="A52" s="56" t="s">
        <v>360</v>
      </c>
      <c r="B52" s="18">
        <f>SUM(B49:B51)</f>
        <v>-30435.069278949784</v>
      </c>
      <c r="C52" s="18">
        <f t="shared" ref="C52:AG52" si="14">SUM(C49:C51)</f>
        <v>6932.3301730492221</v>
      </c>
      <c r="D52" s="18">
        <f t="shared" si="14"/>
        <v>3873.476672168043</v>
      </c>
      <c r="E52" s="18">
        <f t="shared" si="14"/>
        <v>4678.1192264996998</v>
      </c>
      <c r="F52" s="18">
        <f t="shared" si="14"/>
        <v>4211.0485154445241</v>
      </c>
      <c r="G52" s="18">
        <f t="shared" si="14"/>
        <v>3692.2485070146026</v>
      </c>
      <c r="H52" s="18">
        <f t="shared" si="14"/>
        <v>2970.1276935608994</v>
      </c>
      <c r="I52" s="18">
        <f t="shared" si="14"/>
        <v>2527.3371691280067</v>
      </c>
      <c r="J52" s="18">
        <f t="shared" si="14"/>
        <v>2166.9372441006435</v>
      </c>
      <c r="K52" s="18">
        <f t="shared" si="14"/>
        <v>1878.0743786025987</v>
      </c>
      <c r="L52" s="18">
        <f t="shared" si="14"/>
        <v>1563.5153060921311</v>
      </c>
      <c r="M52" s="18">
        <f t="shared" si="14"/>
        <v>21658.503681750939</v>
      </c>
      <c r="N52" s="18">
        <f t="shared" si="14"/>
        <v>2694.160716879891</v>
      </c>
      <c r="O52" s="18">
        <f t="shared" si="14"/>
        <v>2625.4530872657597</v>
      </c>
      <c r="P52" s="18">
        <f t="shared" si="14"/>
        <v>2554.554944199037</v>
      </c>
      <c r="Q52" s="18">
        <f t="shared" si="14"/>
        <v>2481.4025616750478</v>
      </c>
      <c r="R52" s="18">
        <f t="shared" si="14"/>
        <v>2405.9303416969387</v>
      </c>
      <c r="S52" s="18">
        <f t="shared" si="14"/>
        <v>2328.0707589116973</v>
      </c>
      <c r="T52" s="18">
        <f t="shared" si="14"/>
        <v>2247.7543036011302</v>
      </c>
      <c r="U52" s="18">
        <f t="shared" si="14"/>
        <v>1328.4627461906966</v>
      </c>
      <c r="V52" s="18">
        <f t="shared" si="14"/>
        <v>1276.8100575188651</v>
      </c>
      <c r="W52" s="18">
        <f t="shared" si="14"/>
        <v>1210.3048677414881</v>
      </c>
      <c r="X52" s="18">
        <f t="shared" si="14"/>
        <v>1148.7001819751704</v>
      </c>
      <c r="Y52" s="18">
        <f t="shared" si="14"/>
        <v>1091.9726174930088</v>
      </c>
      <c r="Z52" s="18">
        <f t="shared" si="14"/>
        <v>1033.4805084751815</v>
      </c>
      <c r="AA52" s="18">
        <f t="shared" si="14"/>
        <v>973.17238453810853</v>
      </c>
      <c r="AB52" s="18">
        <f t="shared" si="14"/>
        <v>910.99526050574923</v>
      </c>
      <c r="AC52" s="18">
        <f t="shared" si="14"/>
        <v>846.89459155221311</v>
      </c>
      <c r="AD52" s="18">
        <f t="shared" si="14"/>
        <v>780.81422701037422</v>
      </c>
      <c r="AE52" s="18">
        <f t="shared" si="14"/>
        <v>712.69636280669806</v>
      </c>
      <c r="AF52" s="18">
        <f t="shared" si="14"/>
        <v>642.48149248133325</v>
      </c>
      <c r="AG52" s="18">
        <f t="shared" si="14"/>
        <v>17862.67395074707</v>
      </c>
    </row>
    <row r="53" spans="1:33">
      <c r="A53" s="13"/>
      <c r="B53" s="450" t="s">
        <v>1</v>
      </c>
      <c r="C53" s="456">
        <f>XIRR(B52:W52,B8:W8)</f>
        <v>0.11451181769371035</v>
      </c>
    </row>
    <row r="54" spans="1:33">
      <c r="A54" s="56"/>
      <c r="B54" s="452"/>
    </row>
    <row r="55" spans="1:33">
      <c r="A55" s="43" t="str">
        <f>CONCATENATE("With $",Assumptions!H25,"/kW")</f>
        <v>With $250/kW</v>
      </c>
    </row>
    <row r="56" spans="1:33" s="18" customFormat="1">
      <c r="A56" s="56" t="s">
        <v>362</v>
      </c>
      <c r="B56" s="18">
        <f>-Assumptions!C11*Assumptions!G48</f>
        <v>-30435.069278949784</v>
      </c>
    </row>
    <row r="57" spans="1:33" s="18" customFormat="1">
      <c r="A57" s="56" t="s">
        <v>361</v>
      </c>
      <c r="B57" s="453">
        <f>B21*Assumptions!$G$48</f>
        <v>0</v>
      </c>
      <c r="C57" s="453">
        <f>C21*Assumptions!$G$48</f>
        <v>6932.3301730492221</v>
      </c>
      <c r="D57" s="453">
        <f>D21*Assumptions!$G$48</f>
        <v>3873.476672168043</v>
      </c>
      <c r="E57" s="453">
        <f>E21*Assumptions!$G$48</f>
        <v>4678.1192264996998</v>
      </c>
      <c r="F57" s="453">
        <f>F21*Assumptions!$G$48</f>
        <v>4211.0485154445241</v>
      </c>
      <c r="G57" s="453">
        <f>G21*Assumptions!$G$48</f>
        <v>3692.2485070146026</v>
      </c>
      <c r="H57" s="453">
        <f>H21*Assumptions!$G$48</f>
        <v>2970.1276935608994</v>
      </c>
      <c r="I57" s="453">
        <f>I21*Assumptions!$G$48</f>
        <v>2527.3371691280067</v>
      </c>
      <c r="J57" s="453">
        <f>J21*Assumptions!$G$48</f>
        <v>2166.9372441006435</v>
      </c>
      <c r="K57" s="453">
        <f>K21*Assumptions!$G$48</f>
        <v>1878.0743786025987</v>
      </c>
      <c r="L57" s="453">
        <f>L21*Assumptions!$G$48</f>
        <v>1563.5153060921311</v>
      </c>
      <c r="M57" s="453">
        <f>M21*Assumptions!$G$48</f>
        <v>713.31889647142953</v>
      </c>
      <c r="N57" s="453">
        <f>N21*Assumptions!$G$48</f>
        <v>2694.160716879891</v>
      </c>
      <c r="O57" s="453">
        <f>O21*Assumptions!$G$48</f>
        <v>2625.4530872657597</v>
      </c>
      <c r="P57" s="453">
        <f>P21*Assumptions!$G$48</f>
        <v>2554.554944199037</v>
      </c>
      <c r="Q57" s="453">
        <f>Q21*Assumptions!$G$48</f>
        <v>2481.4025616750478</v>
      </c>
      <c r="R57" s="453">
        <f>R21*Assumptions!$G$48</f>
        <v>2405.9303416969387</v>
      </c>
      <c r="S57" s="453">
        <f>S21*Assumptions!$G$48</f>
        <v>2328.0707589116973</v>
      </c>
      <c r="T57" s="453">
        <f>T21*Assumptions!$G$48</f>
        <v>2247.7543036011302</v>
      </c>
      <c r="U57" s="453">
        <f>U21*Assumptions!$G$48</f>
        <v>1328.4627461906966</v>
      </c>
      <c r="V57" s="453">
        <f>V21*Assumptions!$G$48</f>
        <v>1276.8100575188651</v>
      </c>
      <c r="W57" s="453">
        <f>W21*Assumptions!$G$48</f>
        <v>1210.3048677414881</v>
      </c>
      <c r="X57" s="453">
        <f>X21*Assumptions!$G$48</f>
        <v>1148.7001819751704</v>
      </c>
      <c r="Y57" s="453">
        <f>Y21*Assumptions!$G$48</f>
        <v>1091.9726174930088</v>
      </c>
      <c r="Z57" s="453">
        <f>Z21*Assumptions!$G$48</f>
        <v>1033.4805084751815</v>
      </c>
      <c r="AA57" s="453">
        <f>AA21*Assumptions!$G$48</f>
        <v>973.17238453810853</v>
      </c>
      <c r="AB57" s="453">
        <f>AB21*Assumptions!$G$48</f>
        <v>910.99526050574923</v>
      </c>
      <c r="AC57" s="453">
        <f>AC21*Assumptions!$G$48</f>
        <v>846.89459155221311</v>
      </c>
      <c r="AD57" s="453">
        <f>AD21*Assumptions!$G$48</f>
        <v>780.81422701037422</v>
      </c>
      <c r="AE57" s="453">
        <f>AE21*Assumptions!$G$48</f>
        <v>712.69636280669806</v>
      </c>
      <c r="AF57" s="453">
        <f>AF21*Assumptions!$G$48</f>
        <v>642.48149248133325</v>
      </c>
      <c r="AG57" s="453">
        <f>AG21*Assumptions!$G$48</f>
        <v>-3082.5108345324388</v>
      </c>
    </row>
    <row r="58" spans="1:33" s="18" customFormat="1">
      <c r="A58" s="56" t="s">
        <v>125</v>
      </c>
      <c r="B58" s="312">
        <v>0</v>
      </c>
      <c r="C58" s="312">
        <v>0</v>
      </c>
      <c r="D58" s="312">
        <v>0</v>
      </c>
      <c r="E58" s="312">
        <v>0</v>
      </c>
      <c r="F58" s="312">
        <v>0</v>
      </c>
      <c r="G58" s="312">
        <v>0</v>
      </c>
      <c r="H58" s="312">
        <v>0</v>
      </c>
      <c r="I58" s="312">
        <v>0</v>
      </c>
      <c r="J58" s="312">
        <v>0</v>
      </c>
      <c r="K58" s="312">
        <v>0</v>
      </c>
      <c r="L58" s="312">
        <v>0</v>
      </c>
      <c r="M58" s="312">
        <f>AG58</f>
        <v>47000</v>
      </c>
      <c r="N58" s="312">
        <v>0</v>
      </c>
      <c r="O58" s="312">
        <v>0</v>
      </c>
      <c r="P58" s="312">
        <v>0</v>
      </c>
      <c r="Q58" s="312">
        <v>0</v>
      </c>
      <c r="R58" s="312">
        <v>0</v>
      </c>
      <c r="S58" s="312">
        <v>0</v>
      </c>
      <c r="T58" s="312">
        <v>0</v>
      </c>
      <c r="U58" s="312">
        <v>0</v>
      </c>
      <c r="V58" s="312">
        <v>0</v>
      </c>
      <c r="W58" s="312">
        <v>0</v>
      </c>
      <c r="X58" s="312">
        <v>0</v>
      </c>
      <c r="Y58" s="312">
        <v>0</v>
      </c>
      <c r="Z58" s="312">
        <v>0</v>
      </c>
      <c r="AA58" s="312">
        <v>0</v>
      </c>
      <c r="AB58" s="312">
        <v>0</v>
      </c>
      <c r="AC58" s="312">
        <v>0</v>
      </c>
      <c r="AD58" s="312">
        <v>0</v>
      </c>
      <c r="AE58" s="312">
        <v>0</v>
      </c>
      <c r="AF58" s="312">
        <v>0</v>
      </c>
      <c r="AG58" s="312">
        <f>Assumptions!H25*Assumptions!H68*Assumptions!G48</f>
        <v>47000</v>
      </c>
    </row>
    <row r="59" spans="1:33" s="18" customFormat="1" ht="12" customHeight="1">
      <c r="A59" s="56" t="s">
        <v>360</v>
      </c>
      <c r="B59" s="18">
        <f>SUM(B56:B58)</f>
        <v>-30435.069278949784</v>
      </c>
      <c r="C59" s="18">
        <f t="shared" ref="C59:AG59" si="15">SUM(C56:C58)</f>
        <v>6932.3301730492221</v>
      </c>
      <c r="D59" s="18">
        <f t="shared" si="15"/>
        <v>3873.476672168043</v>
      </c>
      <c r="E59" s="18">
        <f t="shared" si="15"/>
        <v>4678.1192264996998</v>
      </c>
      <c r="F59" s="18">
        <f t="shared" si="15"/>
        <v>4211.0485154445241</v>
      </c>
      <c r="G59" s="18">
        <f t="shared" si="15"/>
        <v>3692.2485070146026</v>
      </c>
      <c r="H59" s="18">
        <f t="shared" si="15"/>
        <v>2970.1276935608994</v>
      </c>
      <c r="I59" s="18">
        <f t="shared" si="15"/>
        <v>2527.3371691280067</v>
      </c>
      <c r="J59" s="18">
        <f t="shared" si="15"/>
        <v>2166.9372441006435</v>
      </c>
      <c r="K59" s="18">
        <f t="shared" si="15"/>
        <v>1878.0743786025987</v>
      </c>
      <c r="L59" s="18">
        <f t="shared" si="15"/>
        <v>1563.5153060921311</v>
      </c>
      <c r="M59" s="18">
        <f t="shared" si="15"/>
        <v>47713.318896471428</v>
      </c>
      <c r="N59" s="18">
        <f t="shared" si="15"/>
        <v>2694.160716879891</v>
      </c>
      <c r="O59" s="18">
        <f t="shared" si="15"/>
        <v>2625.4530872657597</v>
      </c>
      <c r="P59" s="18">
        <f t="shared" si="15"/>
        <v>2554.554944199037</v>
      </c>
      <c r="Q59" s="18">
        <f t="shared" si="15"/>
        <v>2481.4025616750478</v>
      </c>
      <c r="R59" s="18">
        <f t="shared" si="15"/>
        <v>2405.9303416969387</v>
      </c>
      <c r="S59" s="18">
        <f t="shared" si="15"/>
        <v>2328.0707589116973</v>
      </c>
      <c r="T59" s="18">
        <f t="shared" si="15"/>
        <v>2247.7543036011302</v>
      </c>
      <c r="U59" s="18">
        <f t="shared" si="15"/>
        <v>1328.4627461906966</v>
      </c>
      <c r="V59" s="18">
        <f t="shared" si="15"/>
        <v>1276.8100575188651</v>
      </c>
      <c r="W59" s="18">
        <f t="shared" si="15"/>
        <v>1210.3048677414881</v>
      </c>
      <c r="X59" s="18">
        <f t="shared" si="15"/>
        <v>1148.7001819751704</v>
      </c>
      <c r="Y59" s="18">
        <f t="shared" si="15"/>
        <v>1091.9726174930088</v>
      </c>
      <c r="Z59" s="18">
        <f t="shared" si="15"/>
        <v>1033.4805084751815</v>
      </c>
      <c r="AA59" s="18">
        <f t="shared" si="15"/>
        <v>973.17238453810853</v>
      </c>
      <c r="AB59" s="18">
        <f t="shared" si="15"/>
        <v>910.99526050574923</v>
      </c>
      <c r="AC59" s="18">
        <f t="shared" si="15"/>
        <v>846.89459155221311</v>
      </c>
      <c r="AD59" s="18">
        <f t="shared" si="15"/>
        <v>780.81422701037422</v>
      </c>
      <c r="AE59" s="18">
        <f t="shared" si="15"/>
        <v>712.69636280669806</v>
      </c>
      <c r="AF59" s="18">
        <f t="shared" si="15"/>
        <v>642.48149248133325</v>
      </c>
      <c r="AG59" s="18">
        <f t="shared" si="15"/>
        <v>43917.489165467559</v>
      </c>
    </row>
    <row r="60" spans="1:33">
      <c r="A60" s="13"/>
      <c r="B60" s="450" t="s">
        <v>1</v>
      </c>
      <c r="C60" s="456">
        <f>XIRR(B59:W59,B8:W8)</f>
        <v>0.14570179581642154</v>
      </c>
    </row>
    <row r="61" spans="1:33">
      <c r="A61" s="56"/>
      <c r="B61" s="452"/>
    </row>
    <row r="62" spans="1:33">
      <c r="A62" s="45"/>
    </row>
  </sheetData>
  <pageMargins left="0.75" right="0.75" top="1" bottom="1" header="0.5" footer="0.5"/>
  <pageSetup scale="54" fitToWidth="2" orientation="landscape" verticalDpi="300" r:id="rId1"/>
  <headerFooter alignWithMargins="0"/>
  <colBreaks count="1" manualBreakCount="1">
    <brk id="17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2:AQ103"/>
  <sheetViews>
    <sheetView zoomScale="75" zoomScaleNormal="75" workbookViewId="0">
      <selection activeCell="B20" sqref="B20"/>
    </sheetView>
  </sheetViews>
  <sheetFormatPr defaultRowHeight="12.75"/>
  <cols>
    <col min="1" max="1" width="36" style="12" customWidth="1"/>
    <col min="2" max="26" width="14.5703125" style="12" customWidth="1"/>
    <col min="27" max="28" width="14.5703125" style="6" customWidth="1"/>
    <col min="29" max="37" width="14.5703125" style="12" customWidth="1"/>
    <col min="38" max="42" width="14.42578125" style="12" customWidth="1"/>
    <col min="43" max="16384" width="9.140625" style="12"/>
  </cols>
  <sheetData>
    <row r="2" spans="1:40" ht="18.75">
      <c r="A2" s="178" t="str">
        <f>Assumptions!A3</f>
        <v>PROJECT NAME:  Retail Shorts</v>
      </c>
      <c r="C2" s="62"/>
      <c r="D2" s="56"/>
      <c r="E2" s="56"/>
      <c r="F2" s="93"/>
      <c r="G2" s="5"/>
      <c r="H2" s="5"/>
      <c r="I2" s="2"/>
      <c r="J2" s="2"/>
      <c r="K2" s="2"/>
      <c r="L2" s="93"/>
      <c r="M2" s="5"/>
      <c r="N2" s="5"/>
      <c r="O2" s="2"/>
      <c r="P2" s="2"/>
      <c r="Q2" s="2"/>
      <c r="R2" s="93"/>
      <c r="S2" s="5"/>
      <c r="T2" s="5"/>
      <c r="U2" s="5"/>
      <c r="V2" s="5"/>
      <c r="W2" s="5"/>
      <c r="X2" s="5"/>
    </row>
    <row r="3" spans="1:40">
      <c r="A3" s="45"/>
      <c r="C3" s="62"/>
      <c r="D3" s="56"/>
      <c r="E3" s="56"/>
      <c r="F3" s="93"/>
      <c r="G3" s="5"/>
      <c r="H3" s="5"/>
      <c r="I3" s="2"/>
      <c r="J3" s="2"/>
      <c r="K3" s="2"/>
      <c r="L3" s="93"/>
      <c r="M3" s="5"/>
      <c r="N3" s="5"/>
      <c r="O3" s="2"/>
      <c r="P3" s="2"/>
      <c r="Q3" s="2"/>
      <c r="R3" s="93"/>
      <c r="S3" s="5"/>
      <c r="T3" s="5"/>
      <c r="U3" s="5"/>
      <c r="V3" s="5"/>
      <c r="W3" s="5"/>
      <c r="X3" s="5"/>
      <c r="AG3"/>
    </row>
    <row r="4" spans="1:40" ht="18.75">
      <c r="A4" s="60" t="s">
        <v>94</v>
      </c>
      <c r="B4" s="522" t="s">
        <v>412</v>
      </c>
      <c r="C4" s="62"/>
      <c r="D4" s="56"/>
      <c r="E4" s="56"/>
      <c r="F4" s="93"/>
      <c r="I4" s="62"/>
      <c r="J4" s="62"/>
      <c r="K4" s="62"/>
      <c r="L4" s="93"/>
      <c r="O4" s="62"/>
      <c r="P4" s="62"/>
      <c r="Q4" s="62"/>
      <c r="R4" s="93"/>
      <c r="AG4"/>
      <c r="AN4" s="18"/>
    </row>
    <row r="5" spans="1:40" s="13" customFormat="1">
      <c r="P5" s="141"/>
      <c r="Q5" s="141"/>
      <c r="R5" s="141"/>
      <c r="S5" s="141"/>
      <c r="T5" s="141"/>
      <c r="U5" s="141"/>
      <c r="V5" s="141"/>
      <c r="W5" s="141"/>
      <c r="X5" s="141"/>
      <c r="Y5" s="141"/>
      <c r="Z5" s="141"/>
      <c r="AA5" s="6"/>
      <c r="AB5" s="6"/>
      <c r="AG5"/>
    </row>
    <row r="6" spans="1:40" s="142" customFormat="1" ht="13.5">
      <c r="A6" s="47"/>
      <c r="B6" s="213"/>
      <c r="C6" s="213"/>
      <c r="D6" s="213"/>
      <c r="E6" s="213"/>
      <c r="F6" s="213"/>
      <c r="G6" s="213"/>
      <c r="H6" s="213"/>
      <c r="I6" s="213"/>
      <c r="J6" s="213"/>
      <c r="K6" s="213"/>
      <c r="L6" s="213"/>
      <c r="M6" s="213"/>
      <c r="N6" s="213"/>
      <c r="O6" s="213"/>
      <c r="P6" s="213"/>
      <c r="Q6" s="213"/>
      <c r="R6" s="213"/>
      <c r="S6" s="213"/>
      <c r="T6" s="213"/>
      <c r="U6" s="213"/>
      <c r="V6" s="213"/>
      <c r="W6" s="213"/>
      <c r="X6" s="213"/>
      <c r="Y6" s="213"/>
      <c r="Z6" s="213"/>
      <c r="AA6" s="213"/>
      <c r="AB6" s="213"/>
      <c r="AC6" s="213"/>
      <c r="AD6" s="213"/>
      <c r="AE6" s="213"/>
      <c r="AF6" s="213"/>
      <c r="AG6"/>
    </row>
    <row r="7" spans="1:40" ht="13.5" thickBot="1">
      <c r="A7" s="123" t="s">
        <v>40</v>
      </c>
      <c r="B7" s="214">
        <f>IS!C7</f>
        <v>2001</v>
      </c>
      <c r="C7" s="214">
        <f>B7+1</f>
        <v>2002</v>
      </c>
      <c r="D7" s="214">
        <f t="shared" ref="D7:AF7" si="0">C7+1</f>
        <v>2003</v>
      </c>
      <c r="E7" s="214">
        <f t="shared" si="0"/>
        <v>2004</v>
      </c>
      <c r="F7" s="214">
        <f t="shared" si="0"/>
        <v>2005</v>
      </c>
      <c r="G7" s="214">
        <f t="shared" si="0"/>
        <v>2006</v>
      </c>
      <c r="H7" s="214">
        <f t="shared" si="0"/>
        <v>2007</v>
      </c>
      <c r="I7" s="214">
        <f t="shared" si="0"/>
        <v>2008</v>
      </c>
      <c r="J7" s="214">
        <f t="shared" si="0"/>
        <v>2009</v>
      </c>
      <c r="K7" s="214">
        <f t="shared" si="0"/>
        <v>2010</v>
      </c>
      <c r="L7" s="214">
        <f t="shared" si="0"/>
        <v>2011</v>
      </c>
      <c r="M7" s="214">
        <f t="shared" si="0"/>
        <v>2012</v>
      </c>
      <c r="N7" s="214">
        <f t="shared" si="0"/>
        <v>2013</v>
      </c>
      <c r="O7" s="214">
        <f t="shared" si="0"/>
        <v>2014</v>
      </c>
      <c r="P7" s="214">
        <f t="shared" si="0"/>
        <v>2015</v>
      </c>
      <c r="Q7" s="214">
        <f t="shared" si="0"/>
        <v>2016</v>
      </c>
      <c r="R7" s="214">
        <f t="shared" si="0"/>
        <v>2017</v>
      </c>
      <c r="S7" s="214">
        <f t="shared" si="0"/>
        <v>2018</v>
      </c>
      <c r="T7" s="214">
        <f t="shared" si="0"/>
        <v>2019</v>
      </c>
      <c r="U7" s="214">
        <f t="shared" si="0"/>
        <v>2020</v>
      </c>
      <c r="V7" s="214">
        <f t="shared" si="0"/>
        <v>2021</v>
      </c>
      <c r="W7" s="214">
        <f t="shared" si="0"/>
        <v>2022</v>
      </c>
      <c r="X7" s="214">
        <f t="shared" si="0"/>
        <v>2023</v>
      </c>
      <c r="Y7" s="214">
        <f t="shared" si="0"/>
        <v>2024</v>
      </c>
      <c r="Z7" s="214">
        <f t="shared" si="0"/>
        <v>2025</v>
      </c>
      <c r="AA7" s="214">
        <f t="shared" si="0"/>
        <v>2026</v>
      </c>
      <c r="AB7" s="214">
        <f t="shared" si="0"/>
        <v>2027</v>
      </c>
      <c r="AC7" s="214">
        <f t="shared" si="0"/>
        <v>2028</v>
      </c>
      <c r="AD7" s="214">
        <f t="shared" si="0"/>
        <v>2029</v>
      </c>
      <c r="AE7" s="214">
        <f t="shared" si="0"/>
        <v>2030</v>
      </c>
      <c r="AF7" s="214">
        <f t="shared" si="0"/>
        <v>2031</v>
      </c>
      <c r="AG7"/>
      <c r="AH7" s="11"/>
    </row>
    <row r="8" spans="1:40" s="50" customFormat="1">
      <c r="A8" s="397"/>
      <c r="B8" s="396">
        <f>IS!C8</f>
        <v>37256</v>
      </c>
      <c r="C8" s="396">
        <f>IS!D8</f>
        <v>37621</v>
      </c>
      <c r="D8" s="396">
        <f>IS!E8</f>
        <v>37986</v>
      </c>
      <c r="E8" s="396">
        <f>IS!F8</f>
        <v>38352</v>
      </c>
      <c r="F8" s="396">
        <f>IS!G8</f>
        <v>38717</v>
      </c>
      <c r="G8" s="396">
        <f>IS!H8</f>
        <v>39082</v>
      </c>
      <c r="H8" s="396">
        <f>IS!I8</f>
        <v>39447</v>
      </c>
      <c r="I8" s="396">
        <f>IS!J8</f>
        <v>39813</v>
      </c>
      <c r="J8" s="396">
        <f>IS!K8</f>
        <v>40178</v>
      </c>
      <c r="K8" s="396">
        <f>IS!L8</f>
        <v>40543</v>
      </c>
      <c r="L8" s="396">
        <f>IS!M8</f>
        <v>40908</v>
      </c>
      <c r="M8" s="396">
        <f>IS!N8</f>
        <v>41274</v>
      </c>
      <c r="N8" s="396">
        <f>IS!O8</f>
        <v>41639</v>
      </c>
      <c r="O8" s="396">
        <f>IS!P8</f>
        <v>42004</v>
      </c>
      <c r="P8" s="396">
        <f>IS!Q8</f>
        <v>42369</v>
      </c>
      <c r="Q8" s="396">
        <f>IS!R8</f>
        <v>42735</v>
      </c>
      <c r="R8" s="396">
        <f>IS!S8</f>
        <v>43100</v>
      </c>
      <c r="S8" s="396">
        <f>IS!T8</f>
        <v>43465</v>
      </c>
      <c r="T8" s="396">
        <f>IS!U8</f>
        <v>43830</v>
      </c>
      <c r="U8" s="396">
        <f>IS!V8</f>
        <v>44196</v>
      </c>
      <c r="V8" s="396">
        <f>IS!W8</f>
        <v>44561</v>
      </c>
      <c r="W8" s="396">
        <f>IS!X8</f>
        <v>44926</v>
      </c>
      <c r="X8" s="396">
        <f>IS!Y8</f>
        <v>45291</v>
      </c>
      <c r="Y8" s="396">
        <f>IS!Z8</f>
        <v>45657</v>
      </c>
      <c r="Z8" s="396">
        <f>IS!AA8</f>
        <v>46022</v>
      </c>
      <c r="AA8" s="396">
        <f>IS!AB8</f>
        <v>46387</v>
      </c>
      <c r="AB8" s="396">
        <f>IS!AC8</f>
        <v>46752</v>
      </c>
      <c r="AC8" s="396">
        <f>IS!AD8</f>
        <v>47118</v>
      </c>
      <c r="AD8" s="396">
        <f>IS!AE8</f>
        <v>47483</v>
      </c>
      <c r="AE8" s="396">
        <f>IS!AF8</f>
        <v>47848</v>
      </c>
      <c r="AF8" s="396">
        <f>IS!AG8</f>
        <v>48213</v>
      </c>
      <c r="AG8"/>
      <c r="AH8" s="11"/>
    </row>
    <row r="9" spans="1:40"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/>
    </row>
    <row r="10" spans="1:40"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/>
    </row>
    <row r="11" spans="1:40">
      <c r="A11" s="390" t="s">
        <v>394</v>
      </c>
      <c r="B11" s="391">
        <f>B29+B38</f>
        <v>10468.79345751226</v>
      </c>
      <c r="C11" s="391">
        <f t="shared" ref="C11:AF11" si="1">C29+C38</f>
        <v>18567.986776243397</v>
      </c>
      <c r="D11" s="391">
        <f t="shared" si="1"/>
        <v>16189.854322649662</v>
      </c>
      <c r="E11" s="391">
        <f t="shared" si="1"/>
        <v>16222.365924009111</v>
      </c>
      <c r="F11" s="391">
        <f t="shared" si="1"/>
        <v>16280.84506817799</v>
      </c>
      <c r="G11" s="391">
        <f t="shared" si="1"/>
        <v>16305.765419329968</v>
      </c>
      <c r="H11" s="391">
        <f t="shared" si="1"/>
        <v>16596.783672359408</v>
      </c>
      <c r="I11" s="391">
        <f t="shared" si="1"/>
        <v>16616.093696241125</v>
      </c>
      <c r="J11" s="391">
        <f t="shared" si="1"/>
        <v>16448.538155879127</v>
      </c>
      <c r="K11" s="391">
        <f t="shared" si="1"/>
        <v>16348.294611970767</v>
      </c>
      <c r="L11" s="391">
        <f t="shared" si="1"/>
        <v>6142.2625330487845</v>
      </c>
      <c r="M11" s="391">
        <f t="shared" si="1"/>
        <v>2712.5951026617927</v>
      </c>
      <c r="N11" s="391">
        <f t="shared" si="1"/>
        <v>2640.7477027810842</v>
      </c>
      <c r="O11" s="391">
        <f t="shared" si="1"/>
        <v>2572.2309195937542</v>
      </c>
      <c r="P11" s="467">
        <f t="shared" si="1"/>
        <v>2499.6405529344534</v>
      </c>
      <c r="Q11" s="391">
        <f t="shared" si="1"/>
        <v>2426.3855959800835</v>
      </c>
      <c r="R11" s="391">
        <f t="shared" si="1"/>
        <v>2345.8434335366755</v>
      </c>
      <c r="S11" s="391">
        <f t="shared" si="1"/>
        <v>2267.7784061580114</v>
      </c>
      <c r="T11" s="391">
        <f t="shared" si="1"/>
        <v>2185.5639000654783</v>
      </c>
      <c r="U11" s="391">
        <f t="shared" si="1"/>
        <v>2102.1821823397331</v>
      </c>
      <c r="V11" s="391">
        <f t="shared" si="1"/>
        <v>2011.8293883786923</v>
      </c>
      <c r="W11" s="391">
        <f t="shared" si="1"/>
        <v>1922.9375626137548</v>
      </c>
      <c r="X11" s="391">
        <f t="shared" si="1"/>
        <v>1829.8025709136948</v>
      </c>
      <c r="Y11" s="391">
        <f t="shared" si="1"/>
        <v>1734.9337765052705</v>
      </c>
      <c r="Z11" s="391">
        <f t="shared" si="1"/>
        <v>1633.5882768105989</v>
      </c>
      <c r="AA11" s="391">
        <f t="shared" si="1"/>
        <v>1532.6665913028685</v>
      </c>
      <c r="AB11" s="391">
        <f t="shared" si="1"/>
        <v>1427.4207679451129</v>
      </c>
      <c r="AC11" s="391">
        <f t="shared" si="1"/>
        <v>1319.8030429438754</v>
      </c>
      <c r="AD11" s="391">
        <f t="shared" si="1"/>
        <v>1206.1989924712113</v>
      </c>
      <c r="AE11" s="391">
        <f t="shared" si="1"/>
        <v>1091.7901036984936</v>
      </c>
      <c r="AF11" s="467">
        <f t="shared" si="1"/>
        <v>-8452.5929636292531</v>
      </c>
      <c r="AG11"/>
      <c r="AN11" s="527">
        <f>IF(MONTH(C23)=MONTH(Assumptions!G34),1,2)</f>
        <v>1</v>
      </c>
    </row>
    <row r="12" spans="1:40">
      <c r="A12" s="392" t="s">
        <v>0</v>
      </c>
      <c r="B12" s="388">
        <v>1.5</v>
      </c>
      <c r="C12" s="388">
        <v>1.5</v>
      </c>
      <c r="D12" s="388">
        <v>1.5</v>
      </c>
      <c r="E12" s="388">
        <v>1.5</v>
      </c>
      <c r="F12" s="388">
        <v>1.5</v>
      </c>
      <c r="G12" s="388">
        <v>1.5</v>
      </c>
      <c r="H12" s="388">
        <v>1.5</v>
      </c>
      <c r="I12" s="388">
        <v>1.5</v>
      </c>
      <c r="J12" s="388">
        <v>1.5</v>
      </c>
      <c r="K12" s="388">
        <v>1.5</v>
      </c>
      <c r="L12" s="388">
        <v>1.5</v>
      </c>
      <c r="M12" s="388">
        <v>1.5</v>
      </c>
      <c r="N12" s="388">
        <v>1.5</v>
      </c>
      <c r="O12" s="388">
        <v>1.5</v>
      </c>
      <c r="P12" s="388">
        <v>1.5</v>
      </c>
      <c r="Q12" s="388">
        <v>1.5</v>
      </c>
      <c r="R12" s="388">
        <v>1.5</v>
      </c>
      <c r="S12" s="388">
        <v>1.5</v>
      </c>
      <c r="T12" s="388">
        <v>1.5</v>
      </c>
      <c r="U12" s="388">
        <v>1.5</v>
      </c>
      <c r="V12" s="388">
        <v>1.5</v>
      </c>
      <c r="W12" s="388">
        <v>1.5</v>
      </c>
      <c r="X12" s="388">
        <v>1.5</v>
      </c>
      <c r="Y12" s="388">
        <v>1.5</v>
      </c>
      <c r="Z12" s="388">
        <v>1.5</v>
      </c>
      <c r="AA12" s="388">
        <v>1.5</v>
      </c>
      <c r="AB12" s="388">
        <v>1.5</v>
      </c>
      <c r="AC12" s="388">
        <v>1.5</v>
      </c>
      <c r="AD12" s="388">
        <v>1.5</v>
      </c>
      <c r="AE12" s="388">
        <v>1.5</v>
      </c>
      <c r="AF12" s="388">
        <v>1.5</v>
      </c>
      <c r="AG12"/>
      <c r="AN12" s="527">
        <f>IF(AN11=1,6,15)</f>
        <v>6</v>
      </c>
    </row>
    <row r="13" spans="1:40">
      <c r="A13" s="393" t="s">
        <v>328</v>
      </c>
      <c r="B13" s="309">
        <f>B11/B12</f>
        <v>6979.1956383415063</v>
      </c>
      <c r="C13" s="309">
        <f t="shared" ref="C13:AF13" si="2">C11/C12</f>
        <v>12378.657850828931</v>
      </c>
      <c r="D13" s="309">
        <f t="shared" si="2"/>
        <v>10793.236215099774</v>
      </c>
      <c r="E13" s="309">
        <f t="shared" si="2"/>
        <v>10814.910616006075</v>
      </c>
      <c r="F13" s="309">
        <f t="shared" si="2"/>
        <v>10853.89671211866</v>
      </c>
      <c r="G13" s="309">
        <f t="shared" si="2"/>
        <v>10870.510279553311</v>
      </c>
      <c r="H13" s="309">
        <f t="shared" si="2"/>
        <v>11064.522448239606</v>
      </c>
      <c r="I13" s="309">
        <f t="shared" si="2"/>
        <v>11077.395797494084</v>
      </c>
      <c r="J13" s="309">
        <f t="shared" si="2"/>
        <v>10965.692103919419</v>
      </c>
      <c r="K13" s="309">
        <f t="shared" si="2"/>
        <v>10898.863074647177</v>
      </c>
      <c r="L13" s="309">
        <f t="shared" si="2"/>
        <v>4094.8416886991895</v>
      </c>
      <c r="M13" s="309">
        <f t="shared" si="2"/>
        <v>1808.3967351078618</v>
      </c>
      <c r="N13" s="309">
        <f t="shared" si="2"/>
        <v>1760.4984685207228</v>
      </c>
      <c r="O13" s="309">
        <f t="shared" si="2"/>
        <v>1714.8206130625028</v>
      </c>
      <c r="P13" s="394">
        <f t="shared" si="2"/>
        <v>1666.4270352896356</v>
      </c>
      <c r="Q13" s="309">
        <f t="shared" si="2"/>
        <v>1617.5903973200557</v>
      </c>
      <c r="R13" s="309">
        <f t="shared" si="2"/>
        <v>1563.8956223577836</v>
      </c>
      <c r="S13" s="309">
        <f t="shared" si="2"/>
        <v>1511.8522707720076</v>
      </c>
      <c r="T13" s="309">
        <f t="shared" si="2"/>
        <v>1457.0426000436521</v>
      </c>
      <c r="U13" s="309">
        <f t="shared" si="2"/>
        <v>1401.4547882264887</v>
      </c>
      <c r="V13" s="309">
        <f t="shared" si="2"/>
        <v>1341.2195922524616</v>
      </c>
      <c r="W13" s="309">
        <f t="shared" si="2"/>
        <v>1281.9583750758366</v>
      </c>
      <c r="X13" s="309">
        <f t="shared" si="2"/>
        <v>1219.8683806091299</v>
      </c>
      <c r="Y13" s="309">
        <f t="shared" si="2"/>
        <v>1156.6225176701803</v>
      </c>
      <c r="Z13" s="309">
        <f t="shared" si="2"/>
        <v>1089.058851207066</v>
      </c>
      <c r="AA13" s="309">
        <f t="shared" si="2"/>
        <v>1021.7777275352456</v>
      </c>
      <c r="AB13" s="309">
        <f t="shared" si="2"/>
        <v>951.61384529674194</v>
      </c>
      <c r="AC13" s="309">
        <f t="shared" si="2"/>
        <v>879.86869529591695</v>
      </c>
      <c r="AD13" s="309">
        <f t="shared" si="2"/>
        <v>804.13266164747427</v>
      </c>
      <c r="AE13" s="309">
        <f t="shared" si="2"/>
        <v>727.86006913232904</v>
      </c>
      <c r="AF13" s="394">
        <f t="shared" si="2"/>
        <v>-5635.0619757528357</v>
      </c>
      <c r="AG13"/>
    </row>
    <row r="14" spans="1:40">
      <c r="A14" s="43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/>
    </row>
    <row r="15" spans="1:40">
      <c r="A15" s="43"/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/>
    </row>
    <row r="16" spans="1:40">
      <c r="A16" s="53"/>
      <c r="B16" s="225"/>
      <c r="C16" s="65"/>
      <c r="AG16"/>
    </row>
    <row r="17" spans="1:33">
      <c r="A17" s="53"/>
      <c r="B17" s="225"/>
      <c r="C17" s="529"/>
      <c r="AG17"/>
    </row>
    <row r="18" spans="1:33">
      <c r="A18" s="53"/>
      <c r="B18" s="225"/>
      <c r="AG18"/>
    </row>
    <row r="19" spans="1:33">
      <c r="A19" s="11" t="s">
        <v>352</v>
      </c>
      <c r="B19" s="400">
        <v>74290.854647447763</v>
      </c>
      <c r="S19" s="18"/>
      <c r="AF19" s="65"/>
      <c r="AG19"/>
    </row>
    <row r="20" spans="1:33">
      <c r="A20" s="11" t="s">
        <v>351</v>
      </c>
      <c r="B20" s="405">
        <f>HLOOKUP(Assumptions!G34,B23:AF39,AN12)</f>
        <v>0</v>
      </c>
      <c r="AF20" s="529"/>
      <c r="AG20"/>
    </row>
    <row r="21" spans="1:33">
      <c r="B21"/>
      <c r="C21" s="53"/>
      <c r="AG21"/>
    </row>
    <row r="22" spans="1:33">
      <c r="A22" s="11"/>
      <c r="B22"/>
      <c r="C22" s="53"/>
      <c r="AG22"/>
    </row>
    <row r="23" spans="1:33">
      <c r="A23"/>
      <c r="B23" s="395">
        <v>36982</v>
      </c>
      <c r="C23" s="395">
        <v>37347</v>
      </c>
      <c r="D23" s="395">
        <v>37712</v>
      </c>
      <c r="E23" s="395">
        <v>38078</v>
      </c>
      <c r="F23" s="395">
        <v>38443</v>
      </c>
      <c r="G23" s="395">
        <v>38808</v>
      </c>
      <c r="H23" s="395">
        <v>39173</v>
      </c>
      <c r="I23" s="395">
        <v>39539</v>
      </c>
      <c r="J23" s="395">
        <v>39904</v>
      </c>
      <c r="K23" s="395">
        <v>40269</v>
      </c>
      <c r="L23" s="395">
        <v>40634</v>
      </c>
      <c r="M23" s="395">
        <v>41000</v>
      </c>
      <c r="N23" s="395">
        <v>41365</v>
      </c>
      <c r="O23" s="395">
        <v>41730</v>
      </c>
      <c r="P23" s="395">
        <v>42095</v>
      </c>
      <c r="Q23" s="395">
        <v>42461</v>
      </c>
      <c r="R23" s="395">
        <v>42826</v>
      </c>
      <c r="S23" s="395">
        <v>43191</v>
      </c>
      <c r="T23" s="395">
        <v>43556</v>
      </c>
      <c r="U23" s="395">
        <v>43922</v>
      </c>
      <c r="V23" s="395">
        <v>44287</v>
      </c>
      <c r="W23" s="395">
        <v>44652</v>
      </c>
      <c r="X23" s="395">
        <v>45017</v>
      </c>
      <c r="Y23" s="395">
        <v>45383</v>
      </c>
      <c r="Z23" s="395">
        <v>45748</v>
      </c>
      <c r="AA23" s="395">
        <v>46113</v>
      </c>
      <c r="AB23" s="395">
        <v>46478</v>
      </c>
      <c r="AC23" s="395">
        <v>46844</v>
      </c>
      <c r="AD23" s="395">
        <v>47209</v>
      </c>
      <c r="AE23" s="395">
        <v>47574</v>
      </c>
      <c r="AF23" s="395">
        <v>47939</v>
      </c>
      <c r="AG23" s="530">
        <v>47969</v>
      </c>
    </row>
    <row r="24" spans="1:33">
      <c r="A24" s="48" t="s">
        <v>56</v>
      </c>
      <c r="B24"/>
      <c r="C24" s="48">
        <f>B45</f>
        <v>69956.840568832631</v>
      </c>
      <c r="D24" s="48">
        <f t="shared" ref="D24:AF24" si="3">C45</f>
        <v>63386.047639861761</v>
      </c>
      <c r="E24" s="48">
        <f t="shared" si="3"/>
        <v>57865.13102040645</v>
      </c>
      <c r="F24" s="48">
        <f t="shared" si="3"/>
        <v>51846.951428925</v>
      </c>
      <c r="G24" s="48">
        <f t="shared" si="3"/>
        <v>45259.286304610207</v>
      </c>
      <c r="H24" s="48">
        <f t="shared" si="3"/>
        <v>38085.933117601679</v>
      </c>
      <c r="I24" s="48">
        <f t="shared" si="3"/>
        <v>30091.741915259063</v>
      </c>
      <c r="J24" s="48">
        <f t="shared" si="3"/>
        <v>21392.919121451556</v>
      </c>
      <c r="K24" s="48">
        <f t="shared" si="3"/>
        <v>12049.314982108986</v>
      </c>
      <c r="L24" s="48">
        <f t="shared" si="3"/>
        <v>1964.1722295777208</v>
      </c>
      <c r="M24" s="48">
        <f t="shared" si="3"/>
        <v>0</v>
      </c>
      <c r="N24" s="48">
        <f t="shared" si="3"/>
        <v>0</v>
      </c>
      <c r="O24" s="48">
        <f t="shared" si="3"/>
        <v>0</v>
      </c>
      <c r="P24" s="48">
        <f t="shared" si="3"/>
        <v>0</v>
      </c>
      <c r="Q24" s="48">
        <f t="shared" si="3"/>
        <v>0</v>
      </c>
      <c r="R24" s="48">
        <f t="shared" si="3"/>
        <v>0</v>
      </c>
      <c r="S24" s="48">
        <f t="shared" si="3"/>
        <v>0</v>
      </c>
      <c r="T24" s="48">
        <f t="shared" si="3"/>
        <v>0</v>
      </c>
      <c r="U24" s="48">
        <f t="shared" si="3"/>
        <v>0</v>
      </c>
      <c r="V24" s="48">
        <f t="shared" si="3"/>
        <v>0</v>
      </c>
      <c r="W24" s="48">
        <f t="shared" si="3"/>
        <v>0</v>
      </c>
      <c r="X24" s="48">
        <f t="shared" si="3"/>
        <v>0</v>
      </c>
      <c r="Y24" s="48">
        <f t="shared" si="3"/>
        <v>0</v>
      </c>
      <c r="Z24" s="48">
        <f t="shared" si="3"/>
        <v>0</v>
      </c>
      <c r="AA24" s="48">
        <f t="shared" si="3"/>
        <v>0</v>
      </c>
      <c r="AB24" s="48">
        <f t="shared" si="3"/>
        <v>0</v>
      </c>
      <c r="AC24" s="48">
        <f t="shared" si="3"/>
        <v>0</v>
      </c>
      <c r="AD24" s="48">
        <f t="shared" si="3"/>
        <v>0</v>
      </c>
      <c r="AE24" s="48">
        <f t="shared" si="3"/>
        <v>0</v>
      </c>
      <c r="AF24" s="48">
        <f t="shared" si="3"/>
        <v>0</v>
      </c>
      <c r="AG24"/>
    </row>
    <row r="25" spans="1:33">
      <c r="A25" s="48" t="s">
        <v>329</v>
      </c>
      <c r="B25"/>
      <c r="C25" s="386">
        <v>0</v>
      </c>
      <c r="D25" s="386">
        <v>0</v>
      </c>
      <c r="E25" s="386">
        <v>0</v>
      </c>
      <c r="F25" s="386">
        <v>0</v>
      </c>
      <c r="G25" s="386">
        <v>0</v>
      </c>
      <c r="H25" s="386">
        <v>0</v>
      </c>
      <c r="I25" s="386">
        <v>0</v>
      </c>
      <c r="J25" s="386">
        <v>0</v>
      </c>
      <c r="K25" s="386">
        <v>0</v>
      </c>
      <c r="L25" s="386">
        <v>0</v>
      </c>
      <c r="M25" s="386">
        <v>0</v>
      </c>
      <c r="N25" s="386">
        <v>0</v>
      </c>
      <c r="O25" s="386">
        <v>0</v>
      </c>
      <c r="P25" s="386">
        <v>0</v>
      </c>
      <c r="Q25" s="386">
        <v>0</v>
      </c>
      <c r="R25" s="386">
        <v>0</v>
      </c>
      <c r="S25" s="386">
        <v>0</v>
      </c>
      <c r="T25" s="386">
        <v>0</v>
      </c>
      <c r="U25" s="386">
        <v>0</v>
      </c>
      <c r="V25" s="386">
        <v>0</v>
      </c>
      <c r="W25" s="386">
        <v>0</v>
      </c>
      <c r="X25" s="386">
        <v>0</v>
      </c>
      <c r="Y25" s="386">
        <v>0</v>
      </c>
      <c r="Z25" s="386">
        <v>0</v>
      </c>
      <c r="AA25" s="386">
        <v>0</v>
      </c>
      <c r="AB25" s="386">
        <v>0</v>
      </c>
      <c r="AC25" s="386">
        <v>0</v>
      </c>
      <c r="AD25" s="386">
        <v>0</v>
      </c>
      <c r="AE25" s="386">
        <v>0</v>
      </c>
      <c r="AF25" s="386">
        <v>0</v>
      </c>
      <c r="AG25"/>
    </row>
    <row r="26" spans="1:33">
      <c r="A26" s="48" t="s">
        <v>57</v>
      </c>
      <c r="B26"/>
      <c r="C26" s="48">
        <f t="shared" ref="C26:AF26" si="4">C24-C28</f>
        <v>3225.3235835720989</v>
      </c>
      <c r="D26" s="48">
        <f t="shared" si="4"/>
        <v>2710.0916500467138</v>
      </c>
      <c r="E26" s="48">
        <f t="shared" si="4"/>
        <v>2944.8367883411847</v>
      </c>
      <c r="F26" s="48">
        <f t="shared" si="4"/>
        <v>3232.4918865608706</v>
      </c>
      <c r="G26" s="48">
        <f t="shared" si="4"/>
        <v>3517.0053887292088</v>
      </c>
      <c r="H26" s="48">
        <f t="shared" si="4"/>
        <v>3918.0437300669291</v>
      </c>
      <c r="I26" s="48">
        <f t="shared" si="4"/>
        <v>4258.0565241812692</v>
      </c>
      <c r="J26" s="48">
        <f t="shared" si="4"/>
        <v>4577.3766179104787</v>
      </c>
      <c r="K26" s="48">
        <f t="shared" si="4"/>
        <v>4938.7386530133817</v>
      </c>
      <c r="L26" s="48">
        <f t="shared" si="4"/>
        <v>1964.1722295777208</v>
      </c>
      <c r="M26" s="48">
        <f t="shared" si="4"/>
        <v>0</v>
      </c>
      <c r="N26" s="48">
        <f t="shared" si="4"/>
        <v>0</v>
      </c>
      <c r="O26" s="48">
        <f t="shared" si="4"/>
        <v>0</v>
      </c>
      <c r="P26" s="48">
        <f t="shared" si="4"/>
        <v>0</v>
      </c>
      <c r="Q26" s="48">
        <f t="shared" si="4"/>
        <v>0</v>
      </c>
      <c r="R26" s="48">
        <f t="shared" si="4"/>
        <v>0</v>
      </c>
      <c r="S26" s="48">
        <f t="shared" si="4"/>
        <v>0</v>
      </c>
      <c r="T26" s="48">
        <f t="shared" si="4"/>
        <v>0</v>
      </c>
      <c r="U26" s="48">
        <f t="shared" si="4"/>
        <v>0</v>
      </c>
      <c r="V26" s="48">
        <f t="shared" si="4"/>
        <v>0</v>
      </c>
      <c r="W26" s="48">
        <f t="shared" si="4"/>
        <v>0</v>
      </c>
      <c r="X26" s="48">
        <f t="shared" si="4"/>
        <v>0</v>
      </c>
      <c r="Y26" s="48">
        <f t="shared" si="4"/>
        <v>0</v>
      </c>
      <c r="Z26" s="48">
        <f t="shared" si="4"/>
        <v>0</v>
      </c>
      <c r="AA26" s="48">
        <f t="shared" si="4"/>
        <v>0</v>
      </c>
      <c r="AB26" s="48">
        <f t="shared" si="4"/>
        <v>0</v>
      </c>
      <c r="AC26" s="48">
        <f t="shared" si="4"/>
        <v>0</v>
      </c>
      <c r="AD26" s="48">
        <f t="shared" si="4"/>
        <v>0</v>
      </c>
      <c r="AE26" s="48">
        <f t="shared" si="4"/>
        <v>0</v>
      </c>
      <c r="AF26" s="48">
        <f t="shared" si="4"/>
        <v>-2817.5309878764178</v>
      </c>
      <c r="AG26"/>
    </row>
    <row r="27" spans="1:33">
      <c r="A27" s="48" t="s">
        <v>58</v>
      </c>
      <c r="B27"/>
      <c r="C27" s="389">
        <f t="shared" ref="C27:AF27" si="5">C24*(C23-B41)/(C41-B41)*$E$64</f>
        <v>1482.5100323285492</v>
      </c>
      <c r="D27" s="389">
        <f t="shared" si="5"/>
        <v>1343.2632287515912</v>
      </c>
      <c r="E27" s="389">
        <f t="shared" si="5"/>
        <v>1236.353345845843</v>
      </c>
      <c r="F27" s="389">
        <f t="shared" si="5"/>
        <v>1098.7292309663972</v>
      </c>
      <c r="G27" s="389">
        <f t="shared" si="5"/>
        <v>959.1248755237259</v>
      </c>
      <c r="H27" s="389">
        <f t="shared" si="5"/>
        <v>807.10874702643559</v>
      </c>
      <c r="I27" s="389">
        <f t="shared" si="5"/>
        <v>642.94377534788498</v>
      </c>
      <c r="J27" s="389">
        <f t="shared" si="5"/>
        <v>453.35405316281589</v>
      </c>
      <c r="K27" s="389">
        <f t="shared" si="5"/>
        <v>255.34644215510417</v>
      </c>
      <c r="L27" s="389">
        <f t="shared" si="5"/>
        <v>41.624307385708683</v>
      </c>
      <c r="M27" s="389">
        <f t="shared" si="5"/>
        <v>0</v>
      </c>
      <c r="N27" s="389">
        <f t="shared" si="5"/>
        <v>0</v>
      </c>
      <c r="O27" s="389">
        <f t="shared" si="5"/>
        <v>0</v>
      </c>
      <c r="P27" s="389">
        <f t="shared" si="5"/>
        <v>0</v>
      </c>
      <c r="Q27" s="389">
        <f t="shared" si="5"/>
        <v>0</v>
      </c>
      <c r="R27" s="389">
        <f t="shared" si="5"/>
        <v>0</v>
      </c>
      <c r="S27" s="389">
        <f t="shared" si="5"/>
        <v>0</v>
      </c>
      <c r="T27" s="389">
        <f t="shared" si="5"/>
        <v>0</v>
      </c>
      <c r="U27" s="389">
        <f t="shared" si="5"/>
        <v>0</v>
      </c>
      <c r="V27" s="389">
        <f t="shared" si="5"/>
        <v>0</v>
      </c>
      <c r="W27" s="389">
        <f t="shared" si="5"/>
        <v>0</v>
      </c>
      <c r="X27" s="389">
        <f t="shared" si="5"/>
        <v>0</v>
      </c>
      <c r="Y27" s="389">
        <f t="shared" si="5"/>
        <v>0</v>
      </c>
      <c r="Z27" s="389">
        <f t="shared" si="5"/>
        <v>0</v>
      </c>
      <c r="AA27" s="389">
        <f t="shared" si="5"/>
        <v>0</v>
      </c>
      <c r="AB27" s="389">
        <f t="shared" si="5"/>
        <v>0</v>
      </c>
      <c r="AC27" s="389">
        <f t="shared" si="5"/>
        <v>0</v>
      </c>
      <c r="AD27" s="389">
        <f t="shared" si="5"/>
        <v>0</v>
      </c>
      <c r="AE27" s="389">
        <f t="shared" si="5"/>
        <v>0</v>
      </c>
      <c r="AF27" s="389">
        <f t="shared" si="5"/>
        <v>0</v>
      </c>
      <c r="AG27"/>
    </row>
    <row r="28" spans="1:33">
      <c r="A28" s="48" t="s">
        <v>59</v>
      </c>
      <c r="B28"/>
      <c r="C28" s="163">
        <f t="shared" ref="C28:AF28" si="6">MAX(C24+C25+B44+C27-0.5*C13,0)</f>
        <v>66731.516985260532</v>
      </c>
      <c r="D28" s="163">
        <f t="shared" si="6"/>
        <v>60675.955989815047</v>
      </c>
      <c r="E28" s="163">
        <f t="shared" si="6"/>
        <v>54920.294232065266</v>
      </c>
      <c r="F28" s="163">
        <f t="shared" si="6"/>
        <v>48614.459542364129</v>
      </c>
      <c r="G28" s="163">
        <f t="shared" si="6"/>
        <v>41742.280915880998</v>
      </c>
      <c r="H28" s="163">
        <f t="shared" si="6"/>
        <v>34167.889387534749</v>
      </c>
      <c r="I28" s="163">
        <f t="shared" si="6"/>
        <v>25833.685391077794</v>
      </c>
      <c r="J28" s="163">
        <f t="shared" si="6"/>
        <v>16815.542503541077</v>
      </c>
      <c r="K28" s="163">
        <f t="shared" si="6"/>
        <v>7110.5763290956047</v>
      </c>
      <c r="L28" s="163">
        <f t="shared" si="6"/>
        <v>0</v>
      </c>
      <c r="M28" s="163">
        <f t="shared" si="6"/>
        <v>0</v>
      </c>
      <c r="N28" s="163">
        <f t="shared" si="6"/>
        <v>0</v>
      </c>
      <c r="O28" s="163">
        <f t="shared" si="6"/>
        <v>0</v>
      </c>
      <c r="P28" s="163">
        <f t="shared" si="6"/>
        <v>0</v>
      </c>
      <c r="Q28" s="163">
        <f t="shared" si="6"/>
        <v>0</v>
      </c>
      <c r="R28" s="163">
        <f t="shared" si="6"/>
        <v>0</v>
      </c>
      <c r="S28" s="163">
        <f t="shared" si="6"/>
        <v>0</v>
      </c>
      <c r="T28" s="163">
        <f t="shared" si="6"/>
        <v>0</v>
      </c>
      <c r="U28" s="163">
        <f t="shared" si="6"/>
        <v>0</v>
      </c>
      <c r="V28" s="163">
        <f t="shared" si="6"/>
        <v>0</v>
      </c>
      <c r="W28" s="163">
        <f t="shared" si="6"/>
        <v>0</v>
      </c>
      <c r="X28" s="163">
        <f t="shared" si="6"/>
        <v>0</v>
      </c>
      <c r="Y28" s="163">
        <f t="shared" si="6"/>
        <v>0</v>
      </c>
      <c r="Z28" s="163">
        <f t="shared" si="6"/>
        <v>0</v>
      </c>
      <c r="AA28" s="163">
        <f t="shared" si="6"/>
        <v>0</v>
      </c>
      <c r="AB28" s="163">
        <f t="shared" si="6"/>
        <v>0</v>
      </c>
      <c r="AC28" s="163">
        <f t="shared" si="6"/>
        <v>0</v>
      </c>
      <c r="AD28" s="163">
        <f t="shared" si="6"/>
        <v>0</v>
      </c>
      <c r="AE28" s="163">
        <f t="shared" si="6"/>
        <v>0</v>
      </c>
      <c r="AF28" s="163">
        <f t="shared" si="6"/>
        <v>2817.5309878764178</v>
      </c>
      <c r="AG28"/>
    </row>
    <row r="29" spans="1:33">
      <c r="A29" s="48" t="s">
        <v>331</v>
      </c>
      <c r="B29"/>
      <c r="C29" s="163">
        <f>(C23-B41)/(C41-B41)*IS!D34+(B41-B32)/(B41-Assumptions!H17)*IS!C34</f>
        <v>10325.339853384583</v>
      </c>
      <c r="D29" s="163">
        <f>(D23-C41)/(D41-C41)*IS!E34+(C41-C32)/(C41-B41)*IS!D34</f>
        <v>8114.4438443112085</v>
      </c>
      <c r="E29" s="163">
        <f>(E23-D41)/(E41-D41)*IS!F34+(D41-D32)/(D41-C41)*IS!E34</f>
        <v>8099.3455219550451</v>
      </c>
      <c r="F29" s="163">
        <f>(F23-E41)/(F41-E41)*IS!G34+(E41-E32)/(E41-D41)*IS!F34</f>
        <v>8104.933422595318</v>
      </c>
      <c r="G29" s="163">
        <f>(G23-F41)/(G41-F41)*IS!H34+(F41-F32)/(F41-E41)*IS!G34</f>
        <v>8130.7759595147818</v>
      </c>
      <c r="H29" s="163">
        <f>(H23-G41)/(H41-G41)*IS!I34+(G41-G32)/(G41-F41)*IS!H34</f>
        <v>8227.121733678423</v>
      </c>
      <c r="I29" s="163">
        <f>(I23-H41)/(I41-H41)*IS!J34+(H41-H32)/(H41-G41)*IS!I34</f>
        <v>8328.4358417241929</v>
      </c>
      <c r="J29" s="163">
        <f>(J23-I41)/(J41-I41)*IS!K34+(I41-I32)/(I41-H41)*IS!J34</f>
        <v>8215.3059742556252</v>
      </c>
      <c r="K29" s="163">
        <f>(K23-J41)/(K41-J41)*IS!L34+(J41-J32)/(J41-I41)*IS!K34</f>
        <v>8163.9377307192644</v>
      </c>
      <c r="L29" s="163">
        <f>(L23-K41)/(L41-K41)*IS!M34+(K41-K32)/(K41-J41)*IS!L34</f>
        <v>4758.1108273771024</v>
      </c>
      <c r="M29" s="163">
        <f>(M23-L41)/(M41-L41)*IS!N34+(L41-L32)/(L41-K41)*IS!M34</f>
        <v>1365.5147442218472</v>
      </c>
      <c r="N29" s="163">
        <f>(N23-M41)/(N41-M41)*IS!O34+(M41-M32)/(M41-L41)*IS!N34</f>
        <v>1324.4246480697579</v>
      </c>
      <c r="O29" s="163">
        <f>(O23-N41)/(O41-N41)*IS!P34+(N41-N32)/(N41-M41)*IS!O34</f>
        <v>1291.4540571597165</v>
      </c>
      <c r="P29" s="163">
        <f>(P23-O41)/(P41-O41)*IS!Q34+(O41-O32)/(O41-N41)*IS!P34</f>
        <v>1255.5400905055938</v>
      </c>
      <c r="Q29" s="163">
        <f>(Q23-P41)/(Q41-P41)*IS!R34+(P41-P32)/(P41-O41)*IS!Q34</f>
        <v>1223.4204251316141</v>
      </c>
      <c r="R29" s="163">
        <f>(R23-Q41)/(R41-Q41)*IS!S34+(Q41-Q32)/(Q41-P41)*IS!R34</f>
        <v>1178.6189160549202</v>
      </c>
      <c r="S29" s="163">
        <f>(S23-R41)/(S41-R41)*IS!T34+(R41-R32)/(R41-Q41)*IS!S34</f>
        <v>1140.8221388730612</v>
      </c>
      <c r="T29" s="163">
        <f>(T23-S41)/(T41-S41)*IS!U34+(S41-S32)/(S41-R41)*IS!T34</f>
        <v>1100.1435592295218</v>
      </c>
      <c r="U29" s="163">
        <f>(U23-T41)/(U41-T41)*IS!V34+(T41-T32)/(T41-S41)*IS!U34</f>
        <v>1062.4509519684634</v>
      </c>
      <c r="V29" s="163">
        <f>(V23-U41)/(V41-U41)*IS!W34+(U41-U32)/(U41-T41)*IS!V34</f>
        <v>1013.4745120665932</v>
      </c>
      <c r="W29" s="163">
        <f>(W23-V41)/(W41-V41)*IS!X34+(V41-V32)/(V41-U41)*IS!W34</f>
        <v>970.21026256296614</v>
      </c>
      <c r="X29" s="163">
        <f>(X23-W41)/(X41-W41)*IS!Y34+(W41-W32)/(W41-V41)*IS!X34</f>
        <v>924.12488415243797</v>
      </c>
      <c r="Y29" s="163">
        <f>(Y23-X41)/(Y41-X41)*IS!Z34+(X41-X32)/(X41-W41)*IS!Y34</f>
        <v>880.11118885003361</v>
      </c>
      <c r="Z29" s="163">
        <f>(Z23-Y41)/(Z41-Y41)*IS!AA34+(Y41-Y32)/(Y41-X41)*IS!Z34</f>
        <v>826.44302432989434</v>
      </c>
      <c r="AA29" s="163">
        <f>(AA23-Z41)/(AA41-Z41)*IS!AB34+(Z41-Z32)/(Z41-Y41)*IS!AA34</f>
        <v>777.09079483323046</v>
      </c>
      <c r="AB29" s="163">
        <f>(AB23-AA41)/(AB41-AA41)*IS!AC34+(AA41-AA32)/(AA41-Z41)*IS!AB34</f>
        <v>725.00980788957054</v>
      </c>
      <c r="AC29" s="163">
        <f>(AC23-AB41)/(AC41-AB41)*IS!AD34+(AB41-AB32)/(AB41-AA41)*IS!AC34</f>
        <v>673.96828114869413</v>
      </c>
      <c r="AD29" s="163">
        <f>(AD23-AC41)/(AD41-AC41)*IS!AE34+(AC41-AC32)/(AC41-AB41)*IS!AD34</f>
        <v>615.0915023293494</v>
      </c>
      <c r="AE29" s="163">
        <f>(AE23-AD41)/(AE41-AD41)*IS!AF34+(AD41-AD32)/(AD41-AC41)*IS!AE34</f>
        <v>558.91854393968003</v>
      </c>
      <c r="AF29" s="163">
        <f>(AF23-AE41)/(AG23-AE41)*IS!AG34+(AE41-AE32)/(AE41-AD41)*IS!AF34</f>
        <v>-6291.2112751287723</v>
      </c>
      <c r="AG29"/>
    </row>
    <row r="30" spans="1:33">
      <c r="A30" s="408" t="s">
        <v>0</v>
      </c>
      <c r="B30" s="410"/>
      <c r="C30" s="409">
        <f>IF(C28&gt;0.1,C29/(C27+C26+B44)," ")</f>
        <v>1.6682486870243622</v>
      </c>
      <c r="D30" s="409">
        <f t="shared" ref="D30:AF30" si="7">IF(D28&gt;0.1,D29/(D27+D26+C44)," ")</f>
        <v>1.5036164654599258</v>
      </c>
      <c r="E30" s="409">
        <f t="shared" si="7"/>
        <v>1.4978109037661407</v>
      </c>
      <c r="F30" s="409">
        <f t="shared" si="7"/>
        <v>1.4934605768904998</v>
      </c>
      <c r="G30" s="409">
        <f t="shared" si="7"/>
        <v>1.4959327116056751</v>
      </c>
      <c r="H30" s="409">
        <f t="shared" si="7"/>
        <v>1.487117364922945</v>
      </c>
      <c r="I30" s="409">
        <f t="shared" si="7"/>
        <v>1.5036811889683028</v>
      </c>
      <c r="J30" s="409">
        <f t="shared" si="7"/>
        <v>1.4983652461515429</v>
      </c>
      <c r="K30" s="409">
        <f t="shared" si="7"/>
        <v>1.4981264880205953</v>
      </c>
      <c r="L30" s="409" t="str">
        <f t="shared" si="7"/>
        <v xml:space="preserve"> </v>
      </c>
      <c r="M30" s="409" t="str">
        <f t="shared" si="7"/>
        <v xml:space="preserve"> </v>
      </c>
      <c r="N30" s="409" t="str">
        <f t="shared" si="7"/>
        <v xml:space="preserve"> </v>
      </c>
      <c r="O30" s="409" t="str">
        <f t="shared" si="7"/>
        <v xml:space="preserve"> </v>
      </c>
      <c r="P30" s="409" t="str">
        <f t="shared" si="7"/>
        <v xml:space="preserve"> </v>
      </c>
      <c r="Q30" s="409" t="str">
        <f t="shared" si="7"/>
        <v xml:space="preserve"> </v>
      </c>
      <c r="R30" s="409" t="str">
        <f t="shared" si="7"/>
        <v xml:space="preserve"> </v>
      </c>
      <c r="S30" s="409" t="str">
        <f t="shared" si="7"/>
        <v xml:space="preserve"> </v>
      </c>
      <c r="T30" s="409" t="str">
        <f t="shared" si="7"/>
        <v xml:space="preserve"> </v>
      </c>
      <c r="U30" s="409" t="str">
        <f t="shared" si="7"/>
        <v xml:space="preserve"> </v>
      </c>
      <c r="V30" s="409" t="str">
        <f t="shared" si="7"/>
        <v xml:space="preserve"> </v>
      </c>
      <c r="W30" s="409" t="str">
        <f t="shared" si="7"/>
        <v xml:space="preserve"> </v>
      </c>
      <c r="X30" s="409" t="str">
        <f t="shared" si="7"/>
        <v xml:space="preserve"> </v>
      </c>
      <c r="Y30" s="409" t="str">
        <f t="shared" si="7"/>
        <v xml:space="preserve"> </v>
      </c>
      <c r="Z30" s="409" t="str">
        <f t="shared" si="7"/>
        <v xml:space="preserve"> </v>
      </c>
      <c r="AA30" s="409" t="str">
        <f t="shared" si="7"/>
        <v xml:space="preserve"> </v>
      </c>
      <c r="AB30" s="409" t="str">
        <f t="shared" si="7"/>
        <v xml:space="preserve"> </v>
      </c>
      <c r="AC30" s="409" t="str">
        <f t="shared" si="7"/>
        <v xml:space="preserve"> </v>
      </c>
      <c r="AD30" s="409" t="str">
        <f t="shared" si="7"/>
        <v xml:space="preserve"> </v>
      </c>
      <c r="AE30" s="409" t="str">
        <f t="shared" si="7"/>
        <v xml:space="preserve"> </v>
      </c>
      <c r="AF30" s="409">
        <f t="shared" si="7"/>
        <v>2.2328809522235207</v>
      </c>
      <c r="AG30"/>
    </row>
    <row r="31" spans="1:33">
      <c r="A31" s="11"/>
      <c r="B31" s="385"/>
      <c r="C31" s="53"/>
      <c r="AG31"/>
    </row>
    <row r="32" spans="1:33">
      <c r="A32" s="407" t="s">
        <v>417</v>
      </c>
      <c r="B32" s="395">
        <v>37165</v>
      </c>
      <c r="C32" s="395">
        <v>37530</v>
      </c>
      <c r="D32" s="395">
        <v>37895</v>
      </c>
      <c r="E32" s="395">
        <v>38261</v>
      </c>
      <c r="F32" s="395">
        <v>38626</v>
      </c>
      <c r="G32" s="395">
        <v>38991</v>
      </c>
      <c r="H32" s="395">
        <v>39356</v>
      </c>
      <c r="I32" s="395">
        <v>39722</v>
      </c>
      <c r="J32" s="395">
        <v>40087</v>
      </c>
      <c r="K32" s="395">
        <v>40452</v>
      </c>
      <c r="L32" s="395">
        <v>40817</v>
      </c>
      <c r="M32" s="395">
        <v>41183</v>
      </c>
      <c r="N32" s="395">
        <v>41548</v>
      </c>
      <c r="O32" s="395">
        <v>41913</v>
      </c>
      <c r="P32" s="395">
        <v>42278</v>
      </c>
      <c r="Q32" s="395">
        <v>42644</v>
      </c>
      <c r="R32" s="395">
        <v>43009</v>
      </c>
      <c r="S32" s="395">
        <v>43374</v>
      </c>
      <c r="T32" s="395">
        <v>43739</v>
      </c>
      <c r="U32" s="395">
        <v>44105</v>
      </c>
      <c r="V32" s="395">
        <v>44470</v>
      </c>
      <c r="W32" s="395">
        <v>44835</v>
      </c>
      <c r="X32" s="395">
        <v>45200</v>
      </c>
      <c r="Y32" s="395">
        <v>45566</v>
      </c>
      <c r="Z32" s="395">
        <v>45931</v>
      </c>
      <c r="AA32" s="395">
        <v>46296</v>
      </c>
      <c r="AB32" s="395">
        <v>46661</v>
      </c>
      <c r="AC32" s="395">
        <v>47027</v>
      </c>
      <c r="AD32" s="395">
        <v>47392</v>
      </c>
      <c r="AE32" s="395">
        <v>47757</v>
      </c>
      <c r="AF32" s="395">
        <v>47969</v>
      </c>
      <c r="AG32"/>
    </row>
    <row r="33" spans="1:39">
      <c r="A33" s="48" t="s">
        <v>56</v>
      </c>
      <c r="B33" s="386">
        <f>B19</f>
        <v>74290.854647447763</v>
      </c>
      <c r="C33" s="48">
        <f>C28</f>
        <v>66731.516985260532</v>
      </c>
      <c r="D33" s="48">
        <f t="shared" ref="D33:AF33" si="8">D28</f>
        <v>60675.955989815047</v>
      </c>
      <c r="E33" s="48">
        <f t="shared" si="8"/>
        <v>54920.294232065266</v>
      </c>
      <c r="F33" s="48">
        <f t="shared" si="8"/>
        <v>48614.459542364129</v>
      </c>
      <c r="G33" s="48">
        <f t="shared" si="8"/>
        <v>41742.280915880998</v>
      </c>
      <c r="H33" s="48">
        <f t="shared" si="8"/>
        <v>34167.889387534749</v>
      </c>
      <c r="I33" s="48">
        <f t="shared" si="8"/>
        <v>25833.685391077794</v>
      </c>
      <c r="J33" s="48">
        <f t="shared" si="8"/>
        <v>16815.542503541077</v>
      </c>
      <c r="K33" s="48">
        <f t="shared" si="8"/>
        <v>7110.5763290956047</v>
      </c>
      <c r="L33" s="48">
        <f t="shared" si="8"/>
        <v>0</v>
      </c>
      <c r="M33" s="48">
        <f t="shared" si="8"/>
        <v>0</v>
      </c>
      <c r="N33" s="48">
        <f t="shared" si="8"/>
        <v>0</v>
      </c>
      <c r="O33" s="48">
        <f t="shared" si="8"/>
        <v>0</v>
      </c>
      <c r="P33" s="48">
        <f t="shared" si="8"/>
        <v>0</v>
      </c>
      <c r="Q33" s="48">
        <f t="shared" si="8"/>
        <v>0</v>
      </c>
      <c r="R33" s="48">
        <f t="shared" si="8"/>
        <v>0</v>
      </c>
      <c r="S33" s="48">
        <f t="shared" si="8"/>
        <v>0</v>
      </c>
      <c r="T33" s="48">
        <f t="shared" si="8"/>
        <v>0</v>
      </c>
      <c r="U33" s="48">
        <f t="shared" si="8"/>
        <v>0</v>
      </c>
      <c r="V33" s="48">
        <f t="shared" si="8"/>
        <v>0</v>
      </c>
      <c r="W33" s="48">
        <f t="shared" si="8"/>
        <v>0</v>
      </c>
      <c r="X33" s="48">
        <f t="shared" si="8"/>
        <v>0</v>
      </c>
      <c r="Y33" s="48">
        <f t="shared" si="8"/>
        <v>0</v>
      </c>
      <c r="Z33" s="48">
        <f t="shared" si="8"/>
        <v>0</v>
      </c>
      <c r="AA33" s="48">
        <f t="shared" si="8"/>
        <v>0</v>
      </c>
      <c r="AB33" s="48">
        <f t="shared" si="8"/>
        <v>0</v>
      </c>
      <c r="AC33" s="48">
        <f t="shared" si="8"/>
        <v>0</v>
      </c>
      <c r="AD33" s="48">
        <f t="shared" si="8"/>
        <v>0</v>
      </c>
      <c r="AE33" s="48">
        <f t="shared" si="8"/>
        <v>0</v>
      </c>
      <c r="AF33" s="48">
        <f t="shared" si="8"/>
        <v>2817.5309878764178</v>
      </c>
      <c r="AG33"/>
    </row>
    <row r="34" spans="1:39">
      <c r="A34" s="48" t="s">
        <v>329</v>
      </c>
      <c r="B34" s="386">
        <v>0</v>
      </c>
      <c r="C34" s="386">
        <v>0</v>
      </c>
      <c r="D34" s="386">
        <v>0</v>
      </c>
      <c r="E34" s="386">
        <v>0</v>
      </c>
      <c r="F34" s="386">
        <v>0</v>
      </c>
      <c r="G34" s="386">
        <v>0</v>
      </c>
      <c r="H34" s="386">
        <v>0</v>
      </c>
      <c r="I34" s="386">
        <v>0</v>
      </c>
      <c r="J34" s="386">
        <v>0</v>
      </c>
      <c r="K34" s="386">
        <v>0</v>
      </c>
      <c r="L34" s="386">
        <v>0</v>
      </c>
      <c r="M34" s="386">
        <v>0</v>
      </c>
      <c r="N34" s="386">
        <v>0</v>
      </c>
      <c r="O34" s="386">
        <v>0</v>
      </c>
      <c r="P34" s="386">
        <v>0</v>
      </c>
      <c r="Q34" s="386">
        <v>0</v>
      </c>
      <c r="R34" s="386">
        <v>0</v>
      </c>
      <c r="S34" s="386">
        <v>0</v>
      </c>
      <c r="T34" s="386">
        <v>0</v>
      </c>
      <c r="U34" s="386">
        <v>0</v>
      </c>
      <c r="V34" s="386">
        <v>0</v>
      </c>
      <c r="W34" s="386">
        <v>0</v>
      </c>
      <c r="X34" s="386">
        <v>0</v>
      </c>
      <c r="Y34" s="386">
        <v>0</v>
      </c>
      <c r="Z34" s="386">
        <v>0</v>
      </c>
      <c r="AA34" s="386">
        <v>0</v>
      </c>
      <c r="AB34" s="386">
        <v>0</v>
      </c>
      <c r="AC34" s="386">
        <v>0</v>
      </c>
      <c r="AD34" s="386">
        <v>0</v>
      </c>
      <c r="AE34" s="386">
        <v>0</v>
      </c>
      <c r="AF34" s="386">
        <v>0</v>
      </c>
      <c r="AG34"/>
    </row>
    <row r="35" spans="1:39">
      <c r="A35" s="48" t="s">
        <v>57</v>
      </c>
      <c r="B35" s="48">
        <f>B33-B37</f>
        <v>4334.0140786151314</v>
      </c>
      <c r="C35" s="48">
        <f>C33-C37</f>
        <v>3345.4693453987711</v>
      </c>
      <c r="D35" s="48">
        <f t="shared" ref="D35:AF35" si="9">D33-D37</f>
        <v>2810.8249694085971</v>
      </c>
      <c r="E35" s="48">
        <f t="shared" si="9"/>
        <v>3073.3428031402655</v>
      </c>
      <c r="F35" s="48">
        <f t="shared" si="9"/>
        <v>3355.1732377539229</v>
      </c>
      <c r="G35" s="48">
        <f t="shared" si="9"/>
        <v>3656.3477982793192</v>
      </c>
      <c r="H35" s="48">
        <f t="shared" si="9"/>
        <v>4076.1474722756866</v>
      </c>
      <c r="I35" s="48">
        <f t="shared" si="9"/>
        <v>4440.7662696262378</v>
      </c>
      <c r="J35" s="48">
        <f t="shared" si="9"/>
        <v>4766.2275214320907</v>
      </c>
      <c r="K35" s="48">
        <f t="shared" si="9"/>
        <v>5146.4040995178839</v>
      </c>
      <c r="L35" s="48">
        <f t="shared" si="9"/>
        <v>0</v>
      </c>
      <c r="M35" s="48">
        <f t="shared" si="9"/>
        <v>0</v>
      </c>
      <c r="N35" s="48">
        <f t="shared" si="9"/>
        <v>0</v>
      </c>
      <c r="O35" s="48">
        <f t="shared" si="9"/>
        <v>0</v>
      </c>
      <c r="P35" s="48">
        <f t="shared" si="9"/>
        <v>0</v>
      </c>
      <c r="Q35" s="48">
        <f t="shared" si="9"/>
        <v>0</v>
      </c>
      <c r="R35" s="48">
        <f t="shared" si="9"/>
        <v>0</v>
      </c>
      <c r="S35" s="48">
        <f t="shared" si="9"/>
        <v>0</v>
      </c>
      <c r="T35" s="48">
        <f t="shared" si="9"/>
        <v>0</v>
      </c>
      <c r="U35" s="48">
        <f t="shared" si="9"/>
        <v>0</v>
      </c>
      <c r="V35" s="48">
        <f t="shared" si="9"/>
        <v>0</v>
      </c>
      <c r="W35" s="48">
        <f t="shared" si="9"/>
        <v>0</v>
      </c>
      <c r="X35" s="48">
        <f t="shared" si="9"/>
        <v>0</v>
      </c>
      <c r="Y35" s="48">
        <f t="shared" si="9"/>
        <v>0</v>
      </c>
      <c r="Z35" s="48">
        <f t="shared" si="9"/>
        <v>0</v>
      </c>
      <c r="AA35" s="48">
        <f t="shared" si="9"/>
        <v>0</v>
      </c>
      <c r="AB35" s="48">
        <f t="shared" si="9"/>
        <v>0</v>
      </c>
      <c r="AC35" s="48">
        <f t="shared" si="9"/>
        <v>0</v>
      </c>
      <c r="AD35" s="48">
        <f t="shared" si="9"/>
        <v>0</v>
      </c>
      <c r="AE35" s="48">
        <f t="shared" si="9"/>
        <v>0</v>
      </c>
      <c r="AF35" s="48">
        <f t="shared" si="9"/>
        <v>-2837.2151084766506</v>
      </c>
      <c r="AG35"/>
    </row>
    <row r="36" spans="1:39">
      <c r="A36" s="48" t="s">
        <v>58</v>
      </c>
      <c r="B36" s="389">
        <f>B33*(B32-Assumptions!H17)/365.25*$E$64</f>
        <v>2645.1815597263744</v>
      </c>
      <c r="C36" s="389">
        <f t="shared" ref="C36:AF36" si="10">C33*(C32-C23)/(C41-B41)*$E$64</f>
        <v>2843.8595800156918</v>
      </c>
      <c r="D36" s="389">
        <f t="shared" si="10"/>
        <v>2585.7931381412964</v>
      </c>
      <c r="E36" s="389">
        <f t="shared" si="10"/>
        <v>2334.1125048627741</v>
      </c>
      <c r="F36" s="389">
        <f t="shared" si="10"/>
        <v>2071.7751183054083</v>
      </c>
      <c r="G36" s="389">
        <f t="shared" si="10"/>
        <v>1778.9073414973395</v>
      </c>
      <c r="H36" s="389">
        <f t="shared" si="10"/>
        <v>1456.113751844118</v>
      </c>
      <c r="I36" s="389">
        <f t="shared" si="10"/>
        <v>1097.9316291208063</v>
      </c>
      <c r="J36" s="389">
        <f t="shared" si="10"/>
        <v>716.61853052762035</v>
      </c>
      <c r="K36" s="389">
        <f t="shared" si="10"/>
        <v>303.02743780570449</v>
      </c>
      <c r="L36" s="389">
        <f t="shared" si="10"/>
        <v>0</v>
      </c>
      <c r="M36" s="389">
        <f t="shared" si="10"/>
        <v>0</v>
      </c>
      <c r="N36" s="389">
        <f t="shared" si="10"/>
        <v>0</v>
      </c>
      <c r="O36" s="389">
        <f t="shared" si="10"/>
        <v>0</v>
      </c>
      <c r="P36" s="389">
        <f t="shared" si="10"/>
        <v>0</v>
      </c>
      <c r="Q36" s="389">
        <f t="shared" si="10"/>
        <v>0</v>
      </c>
      <c r="R36" s="389">
        <f t="shared" si="10"/>
        <v>0</v>
      </c>
      <c r="S36" s="389">
        <f t="shared" si="10"/>
        <v>0</v>
      </c>
      <c r="T36" s="389">
        <f t="shared" si="10"/>
        <v>0</v>
      </c>
      <c r="U36" s="389">
        <f t="shared" si="10"/>
        <v>0</v>
      </c>
      <c r="V36" s="389">
        <f t="shared" si="10"/>
        <v>0</v>
      </c>
      <c r="W36" s="389">
        <f t="shared" si="10"/>
        <v>0</v>
      </c>
      <c r="X36" s="389">
        <f t="shared" si="10"/>
        <v>0</v>
      </c>
      <c r="Y36" s="389">
        <f t="shared" si="10"/>
        <v>0</v>
      </c>
      <c r="Z36" s="389">
        <f t="shared" si="10"/>
        <v>0</v>
      </c>
      <c r="AA36" s="389">
        <f t="shared" si="10"/>
        <v>0</v>
      </c>
      <c r="AB36" s="389">
        <f t="shared" si="10"/>
        <v>0</v>
      </c>
      <c r="AC36" s="389">
        <f t="shared" si="10"/>
        <v>0</v>
      </c>
      <c r="AD36" s="389">
        <f t="shared" si="10"/>
        <v>0</v>
      </c>
      <c r="AE36" s="389">
        <f t="shared" si="10"/>
        <v>0</v>
      </c>
      <c r="AF36" s="389">
        <f t="shared" si="10"/>
        <v>19.684120600232511</v>
      </c>
      <c r="AG36"/>
    </row>
    <row r="37" spans="1:39">
      <c r="A37" s="48" t="s">
        <v>59</v>
      </c>
      <c r="B37" s="163">
        <f>MAX(B33+B34+B36-B13,0)</f>
        <v>69956.840568832631</v>
      </c>
      <c r="C37" s="163">
        <f>MAX(C33+C34+C36-0.5*C13,0)</f>
        <v>63386.047639861761</v>
      </c>
      <c r="D37" s="163">
        <f t="shared" ref="D37:AF37" si="11">MAX(D33+D34+D36-0.5*D13,0)</f>
        <v>57865.13102040645</v>
      </c>
      <c r="E37" s="163">
        <f t="shared" si="11"/>
        <v>51846.951428925</v>
      </c>
      <c r="F37" s="163">
        <f t="shared" si="11"/>
        <v>45259.286304610207</v>
      </c>
      <c r="G37" s="163">
        <f t="shared" si="11"/>
        <v>38085.933117601679</v>
      </c>
      <c r="H37" s="163">
        <f t="shared" si="11"/>
        <v>30091.741915259063</v>
      </c>
      <c r="I37" s="163">
        <f t="shared" si="11"/>
        <v>21392.919121451556</v>
      </c>
      <c r="J37" s="163">
        <f t="shared" si="11"/>
        <v>12049.314982108986</v>
      </c>
      <c r="K37" s="163">
        <f t="shared" si="11"/>
        <v>1964.1722295777208</v>
      </c>
      <c r="L37" s="163">
        <f t="shared" si="11"/>
        <v>0</v>
      </c>
      <c r="M37" s="163">
        <f t="shared" si="11"/>
        <v>0</v>
      </c>
      <c r="N37" s="163">
        <f t="shared" si="11"/>
        <v>0</v>
      </c>
      <c r="O37" s="163">
        <f t="shared" si="11"/>
        <v>0</v>
      </c>
      <c r="P37" s="163">
        <f t="shared" si="11"/>
        <v>0</v>
      </c>
      <c r="Q37" s="163">
        <f t="shared" si="11"/>
        <v>0</v>
      </c>
      <c r="R37" s="163">
        <f t="shared" si="11"/>
        <v>0</v>
      </c>
      <c r="S37" s="163">
        <f t="shared" si="11"/>
        <v>0</v>
      </c>
      <c r="T37" s="163">
        <f t="shared" si="11"/>
        <v>0</v>
      </c>
      <c r="U37" s="163">
        <f t="shared" si="11"/>
        <v>0</v>
      </c>
      <c r="V37" s="163">
        <f t="shared" si="11"/>
        <v>0</v>
      </c>
      <c r="W37" s="163">
        <f t="shared" si="11"/>
        <v>0</v>
      </c>
      <c r="X37" s="163">
        <f t="shared" si="11"/>
        <v>0</v>
      </c>
      <c r="Y37" s="163">
        <f t="shared" si="11"/>
        <v>0</v>
      </c>
      <c r="Z37" s="163">
        <f t="shared" si="11"/>
        <v>0</v>
      </c>
      <c r="AA37" s="163">
        <f t="shared" si="11"/>
        <v>0</v>
      </c>
      <c r="AB37" s="163">
        <f t="shared" si="11"/>
        <v>0</v>
      </c>
      <c r="AC37" s="163">
        <f t="shared" si="11"/>
        <v>0</v>
      </c>
      <c r="AD37" s="163">
        <f t="shared" si="11"/>
        <v>0</v>
      </c>
      <c r="AE37" s="163">
        <f t="shared" si="11"/>
        <v>0</v>
      </c>
      <c r="AF37" s="163">
        <f t="shared" si="11"/>
        <v>5654.7460963530684</v>
      </c>
      <c r="AG37"/>
    </row>
    <row r="38" spans="1:39">
      <c r="A38" s="48" t="s">
        <v>331</v>
      </c>
      <c r="B38" s="163">
        <f>(B32-Assumptions!H17)/(Debt!B41-Assumptions!H17)*IS!C34</f>
        <v>10468.79345751226</v>
      </c>
      <c r="C38" s="163">
        <f>(C32-C23)/(C41-B41)*IS!D34</f>
        <v>8242.6469228588139</v>
      </c>
      <c r="D38" s="163">
        <f>(D32-D23)/(D41-C41)*IS!E34</f>
        <v>8075.4104783384537</v>
      </c>
      <c r="E38" s="163">
        <f>(E32-E23)/(E41-D41)*IS!F34</f>
        <v>8123.0204020540659</v>
      </c>
      <c r="F38" s="163">
        <f>(F32-F23)/(F41-E41)*IS!G34</f>
        <v>8175.9116455826734</v>
      </c>
      <c r="G38" s="163">
        <f>(G32-G23)/(G41-F41)*IS!H34</f>
        <v>8174.9894598151859</v>
      </c>
      <c r="H38" s="163">
        <f>(H32-H23)/(H41-G41)*IS!I34</f>
        <v>8369.6619386809834</v>
      </c>
      <c r="I38" s="163">
        <f>(I32-I23)/(I41-H41)*IS!J34</f>
        <v>8287.6578545169323</v>
      </c>
      <c r="J38" s="163">
        <f>(J32-J23)/(J41-I41)*IS!K34</f>
        <v>8233.2321816235035</v>
      </c>
      <c r="K38" s="163">
        <f>(K32-K23)/(K41-J41)*IS!L34</f>
        <v>8184.3568812515023</v>
      </c>
      <c r="L38" s="163">
        <f>(L32-L23)/(L41-K41)*IS!M34</f>
        <v>1384.1517056716821</v>
      </c>
      <c r="M38" s="163">
        <f>(M32-M23)/(M41-L41)*IS!N34</f>
        <v>1347.0803584399455</v>
      </c>
      <c r="N38" s="163">
        <f>(N32-N23)/(N41-M41)*IS!O34</f>
        <v>1316.3230547113262</v>
      </c>
      <c r="O38" s="163">
        <f>(O32-O23)/(O41-N41)*IS!P34</f>
        <v>1280.7768624340379</v>
      </c>
      <c r="P38" s="163">
        <f>(P32-P23)/(P41-O41)*IS!Q34</f>
        <v>1244.1004624288596</v>
      </c>
      <c r="Q38" s="163">
        <f>(Q32-Q23)/(Q41-P41)*IS!R34</f>
        <v>1202.9651708484694</v>
      </c>
      <c r="R38" s="163">
        <f>(R32-R23)/(R41-Q41)*IS!S34</f>
        <v>1167.2245174817551</v>
      </c>
      <c r="S38" s="163">
        <f>(S32-S23)/(S41-R41)*IS!T34</f>
        <v>1126.9562672849504</v>
      </c>
      <c r="T38" s="163">
        <f>(T32-T23)/(T41-S41)*IS!U34</f>
        <v>1085.4203408359563</v>
      </c>
      <c r="U38" s="163">
        <f>(U32-U23)/(U41-T41)*IS!V34</f>
        <v>1039.7312303712697</v>
      </c>
      <c r="V38" s="163">
        <f>(V32-V23)/(V41-U41)*IS!W34</f>
        <v>998.35487631209924</v>
      </c>
      <c r="W38" s="163">
        <f>(W32-W23)/(W41-V41)*IS!X34</f>
        <v>952.72730005078881</v>
      </c>
      <c r="X38" s="163">
        <f>(X32-X23)/(X41-W41)*IS!Y34</f>
        <v>905.67768676125684</v>
      </c>
      <c r="Y38" s="163">
        <f>(Y32-Y23)/(Y41-X41)*IS!Z34</f>
        <v>854.82258765523693</v>
      </c>
      <c r="Z38" s="163">
        <f>(Z32-Z23)/(Z41-Y41)*IS!AA34</f>
        <v>807.1452524807047</v>
      </c>
      <c r="AA38" s="163">
        <f>(AA32-AA23)/(AA41-Z41)*IS!AB34</f>
        <v>755.57579646963802</v>
      </c>
      <c r="AB38" s="163">
        <f>(AB32-AB23)/(AB41-AA41)*IS!AC34</f>
        <v>702.41096005554232</v>
      </c>
      <c r="AC38" s="163">
        <f>(AC32-AC23)/(AC41-AB41)*IS!AD34</f>
        <v>645.83476179518129</v>
      </c>
      <c r="AD38" s="163">
        <f>(AD32-AD23)/(AD41-AC41)*IS!AE34</f>
        <v>591.10749014186194</v>
      </c>
      <c r="AE38" s="163">
        <f>(AE32-AE23)/(AE41-AD41)*IS!AF34</f>
        <v>532.87155975881342</v>
      </c>
      <c r="AF38" s="163">
        <f>(AF32-AF23)/(AG23-AE41)*IS!AG34</f>
        <v>-2161.3816885004817</v>
      </c>
      <c r="AG38"/>
    </row>
    <row r="39" spans="1:39">
      <c r="A39" s="408" t="s">
        <v>0</v>
      </c>
      <c r="B39" s="409">
        <f t="shared" ref="B39:AF39" si="12">IF(B37&gt;0.1,B38/(B36+B35)," ")</f>
        <v>1.5000000000000002</v>
      </c>
      <c r="C39" s="409">
        <f t="shared" si="12"/>
        <v>1.3317513129756393</v>
      </c>
      <c r="D39" s="409">
        <f t="shared" si="12"/>
        <v>1.49638353454007</v>
      </c>
      <c r="E39" s="409">
        <f t="shared" si="12"/>
        <v>1.5021890962338582</v>
      </c>
      <c r="F39" s="409">
        <f t="shared" si="12"/>
        <v>1.5065394231095</v>
      </c>
      <c r="G39" s="409">
        <f t="shared" si="12"/>
        <v>1.5040672883943231</v>
      </c>
      <c r="H39" s="409">
        <f t="shared" si="12"/>
        <v>1.5128826350770548</v>
      </c>
      <c r="I39" s="409">
        <f t="shared" si="12"/>
        <v>1.4963188110316965</v>
      </c>
      <c r="J39" s="409">
        <f t="shared" si="12"/>
        <v>1.5016347538484567</v>
      </c>
      <c r="K39" s="409">
        <f t="shared" si="12"/>
        <v>1.5018735119794042</v>
      </c>
      <c r="L39" s="409" t="str">
        <f t="shared" si="12"/>
        <v xml:space="preserve"> </v>
      </c>
      <c r="M39" s="409" t="str">
        <f t="shared" si="12"/>
        <v xml:space="preserve"> </v>
      </c>
      <c r="N39" s="409" t="str">
        <f t="shared" si="12"/>
        <v xml:space="preserve"> </v>
      </c>
      <c r="O39" s="409" t="str">
        <f t="shared" si="12"/>
        <v xml:space="preserve"> </v>
      </c>
      <c r="P39" s="409" t="str">
        <f t="shared" si="12"/>
        <v xml:space="preserve"> </v>
      </c>
      <c r="Q39" s="409" t="str">
        <f t="shared" si="12"/>
        <v xml:space="preserve"> </v>
      </c>
      <c r="R39" s="409" t="str">
        <f t="shared" si="12"/>
        <v xml:space="preserve"> </v>
      </c>
      <c r="S39" s="409" t="str">
        <f t="shared" si="12"/>
        <v xml:space="preserve"> </v>
      </c>
      <c r="T39" s="409" t="str">
        <f t="shared" si="12"/>
        <v xml:space="preserve"> </v>
      </c>
      <c r="U39" s="409" t="str">
        <f t="shared" si="12"/>
        <v xml:space="preserve"> </v>
      </c>
      <c r="V39" s="409" t="str">
        <f t="shared" si="12"/>
        <v xml:space="preserve"> </v>
      </c>
      <c r="W39" s="409" t="str">
        <f t="shared" si="12"/>
        <v xml:space="preserve"> </v>
      </c>
      <c r="X39" s="409" t="str">
        <f t="shared" si="12"/>
        <v xml:space="preserve"> </v>
      </c>
      <c r="Y39" s="409" t="str">
        <f t="shared" si="12"/>
        <v xml:space="preserve"> </v>
      </c>
      <c r="Z39" s="409" t="str">
        <f t="shared" si="12"/>
        <v xml:space="preserve"> </v>
      </c>
      <c r="AA39" s="409" t="str">
        <f t="shared" si="12"/>
        <v xml:space="preserve"> </v>
      </c>
      <c r="AB39" s="409" t="str">
        <f t="shared" si="12"/>
        <v xml:space="preserve"> </v>
      </c>
      <c r="AC39" s="409" t="str">
        <f t="shared" si="12"/>
        <v xml:space="preserve"> </v>
      </c>
      <c r="AD39" s="409" t="str">
        <f t="shared" si="12"/>
        <v xml:space="preserve"> </v>
      </c>
      <c r="AE39" s="409" t="str">
        <f t="shared" si="12"/>
        <v xml:space="preserve"> </v>
      </c>
      <c r="AF39" s="409">
        <f t="shared" si="12"/>
        <v>0.76711904777647955</v>
      </c>
    </row>
    <row r="40" spans="1:39">
      <c r="A40" s="48"/>
      <c r="B40" s="163"/>
      <c r="C40" s="163"/>
      <c r="D40" s="163"/>
      <c r="E40" s="163"/>
      <c r="F40" s="163"/>
      <c r="G40" s="163"/>
      <c r="H40" s="163"/>
      <c r="I40" s="163"/>
      <c r="J40" s="163"/>
      <c r="K40" s="163"/>
      <c r="L40" s="163"/>
      <c r="M40" s="163"/>
      <c r="N40" s="163"/>
      <c r="O40" s="163"/>
      <c r="P40" s="163"/>
      <c r="Q40" s="163"/>
      <c r="R40" s="163"/>
      <c r="S40" s="163"/>
      <c r="T40" s="163"/>
      <c r="U40" s="163"/>
      <c r="V40" s="163"/>
      <c r="W40" s="163"/>
      <c r="X40" s="163"/>
      <c r="Y40" s="163"/>
      <c r="Z40" s="163"/>
      <c r="AA40" s="163"/>
      <c r="AB40" s="163"/>
      <c r="AC40" s="163"/>
      <c r="AD40" s="163"/>
      <c r="AE40" s="163"/>
      <c r="AF40" s="163"/>
    </row>
    <row r="41" spans="1:39">
      <c r="A41"/>
      <c r="B41" s="398">
        <f>B8</f>
        <v>37256</v>
      </c>
      <c r="C41" s="398">
        <f t="shared" ref="C41:AF41" si="13">C8</f>
        <v>37621</v>
      </c>
      <c r="D41" s="398">
        <f t="shared" si="13"/>
        <v>37986</v>
      </c>
      <c r="E41" s="398">
        <f t="shared" si="13"/>
        <v>38352</v>
      </c>
      <c r="F41" s="398">
        <f t="shared" si="13"/>
        <v>38717</v>
      </c>
      <c r="G41" s="398">
        <f t="shared" si="13"/>
        <v>39082</v>
      </c>
      <c r="H41" s="398">
        <f t="shared" si="13"/>
        <v>39447</v>
      </c>
      <c r="I41" s="398">
        <f t="shared" si="13"/>
        <v>39813</v>
      </c>
      <c r="J41" s="398">
        <f t="shared" si="13"/>
        <v>40178</v>
      </c>
      <c r="K41" s="398">
        <f t="shared" si="13"/>
        <v>40543</v>
      </c>
      <c r="L41" s="398">
        <f t="shared" si="13"/>
        <v>40908</v>
      </c>
      <c r="M41" s="398">
        <f t="shared" si="13"/>
        <v>41274</v>
      </c>
      <c r="N41" s="398">
        <f t="shared" si="13"/>
        <v>41639</v>
      </c>
      <c r="O41" s="398">
        <f t="shared" si="13"/>
        <v>42004</v>
      </c>
      <c r="P41" s="398">
        <f t="shared" si="13"/>
        <v>42369</v>
      </c>
      <c r="Q41" s="398">
        <f t="shared" si="13"/>
        <v>42735</v>
      </c>
      <c r="R41" s="398">
        <f t="shared" si="13"/>
        <v>43100</v>
      </c>
      <c r="S41" s="398">
        <f t="shared" si="13"/>
        <v>43465</v>
      </c>
      <c r="T41" s="398">
        <f t="shared" si="13"/>
        <v>43830</v>
      </c>
      <c r="U41" s="398">
        <f t="shared" si="13"/>
        <v>44196</v>
      </c>
      <c r="V41" s="398">
        <f t="shared" si="13"/>
        <v>44561</v>
      </c>
      <c r="W41" s="398">
        <f t="shared" si="13"/>
        <v>44926</v>
      </c>
      <c r="X41" s="398">
        <f t="shared" si="13"/>
        <v>45291</v>
      </c>
      <c r="Y41" s="398">
        <f t="shared" si="13"/>
        <v>45657</v>
      </c>
      <c r="Z41" s="398">
        <f t="shared" si="13"/>
        <v>46022</v>
      </c>
      <c r="AA41" s="398">
        <f t="shared" si="13"/>
        <v>46387</v>
      </c>
      <c r="AB41" s="398">
        <f t="shared" si="13"/>
        <v>46752</v>
      </c>
      <c r="AC41" s="398">
        <f t="shared" si="13"/>
        <v>47118</v>
      </c>
      <c r="AD41" s="398">
        <f t="shared" si="13"/>
        <v>47483</v>
      </c>
      <c r="AE41" s="398">
        <f t="shared" si="13"/>
        <v>47848</v>
      </c>
      <c r="AF41" s="398">
        <f t="shared" si="13"/>
        <v>48213</v>
      </c>
    </row>
    <row r="42" spans="1:39">
      <c r="A42" s="48" t="s">
        <v>56</v>
      </c>
      <c r="B42" s="48">
        <f>B37</f>
        <v>69956.840568832631</v>
      </c>
      <c r="C42" s="48">
        <f>C37</f>
        <v>63386.047639861761</v>
      </c>
      <c r="D42" s="48">
        <f t="shared" ref="D42:AF42" si="14">D37</f>
        <v>57865.13102040645</v>
      </c>
      <c r="E42" s="48">
        <f t="shared" si="14"/>
        <v>51846.951428925</v>
      </c>
      <c r="F42" s="48">
        <f t="shared" si="14"/>
        <v>45259.286304610207</v>
      </c>
      <c r="G42" s="48">
        <f t="shared" si="14"/>
        <v>38085.933117601679</v>
      </c>
      <c r="H42" s="48">
        <f t="shared" si="14"/>
        <v>30091.741915259063</v>
      </c>
      <c r="I42" s="48">
        <f t="shared" si="14"/>
        <v>21392.919121451556</v>
      </c>
      <c r="J42" s="48">
        <f t="shared" si="14"/>
        <v>12049.314982108986</v>
      </c>
      <c r="K42" s="48">
        <f t="shared" si="14"/>
        <v>1964.1722295777208</v>
      </c>
      <c r="L42" s="48">
        <f t="shared" si="14"/>
        <v>0</v>
      </c>
      <c r="M42" s="48">
        <f t="shared" si="14"/>
        <v>0</v>
      </c>
      <c r="N42" s="48">
        <f t="shared" si="14"/>
        <v>0</v>
      </c>
      <c r="O42" s="48">
        <f t="shared" si="14"/>
        <v>0</v>
      </c>
      <c r="P42" s="48">
        <f t="shared" si="14"/>
        <v>0</v>
      </c>
      <c r="Q42" s="48">
        <f t="shared" si="14"/>
        <v>0</v>
      </c>
      <c r="R42" s="48">
        <f t="shared" si="14"/>
        <v>0</v>
      </c>
      <c r="S42" s="48">
        <f t="shared" si="14"/>
        <v>0</v>
      </c>
      <c r="T42" s="48">
        <f t="shared" si="14"/>
        <v>0</v>
      </c>
      <c r="U42" s="48">
        <f t="shared" si="14"/>
        <v>0</v>
      </c>
      <c r="V42" s="48">
        <f t="shared" si="14"/>
        <v>0</v>
      </c>
      <c r="W42" s="48">
        <f t="shared" si="14"/>
        <v>0</v>
      </c>
      <c r="X42" s="48">
        <f t="shared" si="14"/>
        <v>0</v>
      </c>
      <c r="Y42" s="48">
        <f t="shared" si="14"/>
        <v>0</v>
      </c>
      <c r="Z42" s="48">
        <f t="shared" si="14"/>
        <v>0</v>
      </c>
      <c r="AA42" s="48">
        <f t="shared" si="14"/>
        <v>0</v>
      </c>
      <c r="AB42" s="48">
        <f t="shared" si="14"/>
        <v>0</v>
      </c>
      <c r="AC42" s="48">
        <f t="shared" si="14"/>
        <v>0</v>
      </c>
      <c r="AD42" s="48">
        <f t="shared" si="14"/>
        <v>0</v>
      </c>
      <c r="AE42" s="48">
        <f t="shared" si="14"/>
        <v>0</v>
      </c>
      <c r="AF42" s="48">
        <f t="shared" si="14"/>
        <v>5654.7460963530684</v>
      </c>
    </row>
    <row r="43" spans="1:39">
      <c r="A43" s="48" t="s">
        <v>329</v>
      </c>
      <c r="B43" s="386">
        <v>0</v>
      </c>
      <c r="C43" s="386">
        <v>0</v>
      </c>
      <c r="D43" s="386">
        <v>0</v>
      </c>
      <c r="E43" s="386">
        <v>0</v>
      </c>
      <c r="F43" s="386">
        <v>0</v>
      </c>
      <c r="G43" s="386">
        <v>0</v>
      </c>
      <c r="H43" s="386">
        <v>0</v>
      </c>
      <c r="I43" s="386">
        <v>0</v>
      </c>
      <c r="J43" s="386">
        <v>0</v>
      </c>
      <c r="K43" s="386">
        <v>0</v>
      </c>
      <c r="L43" s="386">
        <v>0</v>
      </c>
      <c r="M43" s="386">
        <v>0</v>
      </c>
      <c r="N43" s="386">
        <v>0</v>
      </c>
      <c r="O43" s="386">
        <v>0</v>
      </c>
      <c r="P43" s="386">
        <v>0</v>
      </c>
      <c r="Q43" s="386">
        <v>0</v>
      </c>
      <c r="R43" s="386">
        <v>0</v>
      </c>
      <c r="S43" s="386">
        <v>0</v>
      </c>
      <c r="T43" s="386">
        <v>0</v>
      </c>
      <c r="U43" s="386">
        <v>0</v>
      </c>
      <c r="V43" s="386">
        <v>0</v>
      </c>
      <c r="W43" s="386">
        <v>0</v>
      </c>
      <c r="X43" s="386">
        <v>0</v>
      </c>
      <c r="Y43" s="386">
        <v>0</v>
      </c>
      <c r="Z43" s="386">
        <v>0</v>
      </c>
      <c r="AA43" s="386">
        <v>0</v>
      </c>
      <c r="AB43" s="386">
        <v>0</v>
      </c>
      <c r="AC43" s="386">
        <v>0</v>
      </c>
      <c r="AD43" s="386">
        <v>0</v>
      </c>
      <c r="AE43" s="386">
        <v>0</v>
      </c>
      <c r="AF43" s="386">
        <v>0</v>
      </c>
    </row>
    <row r="44" spans="1:39">
      <c r="A44" s="48" t="s">
        <v>58</v>
      </c>
      <c r="B44" s="389">
        <f>B42*(B41-B32)/365.25*$E$64</f>
        <v>1481.4953095138137</v>
      </c>
      <c r="C44" s="389">
        <f t="shared" ref="C44:AF44" si="15">C42*(C41-C32)/(C41-B41)*$E$64</f>
        <v>1343.2632287515912</v>
      </c>
      <c r="D44" s="389">
        <f t="shared" si="15"/>
        <v>1226.2651738160107</v>
      </c>
      <c r="E44" s="389">
        <f t="shared" si="15"/>
        <v>1095.7272385320625</v>
      </c>
      <c r="F44" s="389">
        <f t="shared" si="15"/>
        <v>959.1248755237259</v>
      </c>
      <c r="G44" s="389">
        <f t="shared" si="15"/>
        <v>807.10874702643559</v>
      </c>
      <c r="H44" s="389">
        <f t="shared" si="15"/>
        <v>637.69759921788739</v>
      </c>
      <c r="I44" s="389">
        <f t="shared" si="15"/>
        <v>452.11538088641475</v>
      </c>
      <c r="J44" s="389">
        <f t="shared" si="15"/>
        <v>255.34644215510417</v>
      </c>
      <c r="K44" s="389">
        <f t="shared" si="15"/>
        <v>41.624307385708683</v>
      </c>
      <c r="L44" s="389">
        <f t="shared" si="15"/>
        <v>0</v>
      </c>
      <c r="M44" s="389">
        <f t="shared" si="15"/>
        <v>0</v>
      </c>
      <c r="N44" s="389">
        <f t="shared" si="15"/>
        <v>0</v>
      </c>
      <c r="O44" s="389">
        <f t="shared" si="15"/>
        <v>0</v>
      </c>
      <c r="P44" s="389">
        <f t="shared" si="15"/>
        <v>0</v>
      </c>
      <c r="Q44" s="389">
        <f t="shared" si="15"/>
        <v>0</v>
      </c>
      <c r="R44" s="389">
        <f t="shared" si="15"/>
        <v>0</v>
      </c>
      <c r="S44" s="389">
        <f t="shared" si="15"/>
        <v>0</v>
      </c>
      <c r="T44" s="389">
        <f t="shared" si="15"/>
        <v>0</v>
      </c>
      <c r="U44" s="389">
        <f t="shared" si="15"/>
        <v>0</v>
      </c>
      <c r="V44" s="389">
        <f t="shared" si="15"/>
        <v>0</v>
      </c>
      <c r="W44" s="389">
        <f t="shared" si="15"/>
        <v>0</v>
      </c>
      <c r="X44" s="389">
        <f t="shared" si="15"/>
        <v>0</v>
      </c>
      <c r="Y44" s="389">
        <f t="shared" si="15"/>
        <v>0</v>
      </c>
      <c r="Z44" s="389">
        <f t="shared" si="15"/>
        <v>0</v>
      </c>
      <c r="AA44" s="389">
        <f t="shared" si="15"/>
        <v>0</v>
      </c>
      <c r="AB44" s="389">
        <f t="shared" si="15"/>
        <v>0</v>
      </c>
      <c r="AC44" s="389">
        <f t="shared" si="15"/>
        <v>0</v>
      </c>
      <c r="AD44" s="389">
        <f t="shared" si="15"/>
        <v>0</v>
      </c>
      <c r="AE44" s="389">
        <f t="shared" si="15"/>
        <v>0</v>
      </c>
      <c r="AF44" s="389">
        <f t="shared" si="15"/>
        <v>321.31351791332236</v>
      </c>
    </row>
    <row r="45" spans="1:39">
      <c r="A45" s="48" t="s">
        <v>59</v>
      </c>
      <c r="B45" s="48">
        <f>B42+B43</f>
        <v>69956.840568832631</v>
      </c>
      <c r="C45" s="48">
        <f t="shared" ref="C45:AF45" si="16">C42+C43</f>
        <v>63386.047639861761</v>
      </c>
      <c r="D45" s="48">
        <f t="shared" si="16"/>
        <v>57865.13102040645</v>
      </c>
      <c r="E45" s="48">
        <f t="shared" si="16"/>
        <v>51846.951428925</v>
      </c>
      <c r="F45" s="48">
        <f t="shared" si="16"/>
        <v>45259.286304610207</v>
      </c>
      <c r="G45" s="48">
        <f t="shared" si="16"/>
        <v>38085.933117601679</v>
      </c>
      <c r="H45" s="48">
        <f t="shared" si="16"/>
        <v>30091.741915259063</v>
      </c>
      <c r="I45" s="48">
        <f t="shared" si="16"/>
        <v>21392.919121451556</v>
      </c>
      <c r="J45" s="48">
        <f t="shared" si="16"/>
        <v>12049.314982108986</v>
      </c>
      <c r="K45" s="48">
        <f t="shared" si="16"/>
        <v>1964.1722295777208</v>
      </c>
      <c r="L45" s="48">
        <f t="shared" si="16"/>
        <v>0</v>
      </c>
      <c r="M45" s="48">
        <f t="shared" si="16"/>
        <v>0</v>
      </c>
      <c r="N45" s="48">
        <f t="shared" si="16"/>
        <v>0</v>
      </c>
      <c r="O45" s="48">
        <f t="shared" si="16"/>
        <v>0</v>
      </c>
      <c r="P45" s="48">
        <f t="shared" si="16"/>
        <v>0</v>
      </c>
      <c r="Q45" s="48">
        <f t="shared" si="16"/>
        <v>0</v>
      </c>
      <c r="R45" s="48">
        <f t="shared" si="16"/>
        <v>0</v>
      </c>
      <c r="S45" s="48">
        <f t="shared" si="16"/>
        <v>0</v>
      </c>
      <c r="T45" s="48">
        <f t="shared" si="16"/>
        <v>0</v>
      </c>
      <c r="U45" s="48">
        <f t="shared" si="16"/>
        <v>0</v>
      </c>
      <c r="V45" s="48">
        <f t="shared" si="16"/>
        <v>0</v>
      </c>
      <c r="W45" s="48">
        <f t="shared" si="16"/>
        <v>0</v>
      </c>
      <c r="X45" s="48">
        <f t="shared" si="16"/>
        <v>0</v>
      </c>
      <c r="Y45" s="48">
        <f t="shared" si="16"/>
        <v>0</v>
      </c>
      <c r="Z45" s="48">
        <f t="shared" si="16"/>
        <v>0</v>
      </c>
      <c r="AA45" s="48">
        <f t="shared" si="16"/>
        <v>0</v>
      </c>
      <c r="AB45" s="48">
        <f t="shared" si="16"/>
        <v>0</v>
      </c>
      <c r="AC45" s="48">
        <f t="shared" si="16"/>
        <v>0</v>
      </c>
      <c r="AD45" s="48">
        <f t="shared" si="16"/>
        <v>0</v>
      </c>
      <c r="AE45" s="48">
        <f t="shared" si="16"/>
        <v>0</v>
      </c>
      <c r="AF45" s="48">
        <f t="shared" si="16"/>
        <v>5654.7460963530684</v>
      </c>
    </row>
    <row r="46" spans="1:39">
      <c r="A46" s="48"/>
      <c r="B46" s="385"/>
      <c r="C46" s="385"/>
      <c r="D46" s="385"/>
      <c r="E46" s="385"/>
      <c r="F46" s="385"/>
      <c r="G46" s="385"/>
      <c r="H46" s="385"/>
      <c r="I46" s="385"/>
      <c r="J46" s="385"/>
      <c r="K46" s="385"/>
      <c r="L46" s="385"/>
      <c r="M46" s="385"/>
      <c r="N46" s="385"/>
      <c r="O46" s="385"/>
      <c r="P46" s="385"/>
      <c r="Q46" s="385"/>
      <c r="R46" s="385"/>
      <c r="S46" s="385"/>
      <c r="T46" s="385"/>
      <c r="U46" s="385"/>
      <c r="V46" s="385"/>
      <c r="W46" s="385"/>
      <c r="X46" s="385"/>
      <c r="Y46" s="385"/>
      <c r="Z46" s="385"/>
      <c r="AA46" s="385"/>
      <c r="AB46" s="385"/>
      <c r="AC46" s="385"/>
      <c r="AD46" s="385"/>
      <c r="AE46" s="385"/>
      <c r="AF46" s="385"/>
    </row>
    <row r="47" spans="1:39">
      <c r="A47" s="399" t="s">
        <v>389</v>
      </c>
      <c r="B47" s="385"/>
      <c r="C47" s="385"/>
      <c r="D47" s="385"/>
      <c r="E47" s="385"/>
      <c r="F47" s="385"/>
      <c r="G47" s="385"/>
      <c r="H47" s="385"/>
      <c r="I47" s="385"/>
      <c r="J47" s="385"/>
      <c r="K47" s="385"/>
      <c r="L47" s="385"/>
      <c r="M47" s="385"/>
      <c r="N47" s="385"/>
      <c r="O47" s="385"/>
      <c r="P47" s="385"/>
      <c r="Q47" s="385"/>
      <c r="R47" s="385"/>
      <c r="S47" s="385"/>
      <c r="T47" s="385"/>
      <c r="U47" s="385"/>
      <c r="V47" s="385"/>
      <c r="W47" s="385"/>
      <c r="X47" s="385"/>
      <c r="Y47" s="385"/>
      <c r="Z47" s="385"/>
      <c r="AA47" s="385"/>
      <c r="AB47" s="385"/>
      <c r="AC47" s="385"/>
      <c r="AD47" s="385"/>
      <c r="AE47" s="385"/>
      <c r="AF47" s="385"/>
      <c r="AG47" s="49"/>
      <c r="AH47" s="49"/>
      <c r="AI47" s="49"/>
      <c r="AJ47" s="49"/>
      <c r="AK47" s="49"/>
      <c r="AL47" s="49"/>
      <c r="AM47" s="49"/>
    </row>
    <row r="48" spans="1:39">
      <c r="A48" s="48" t="s">
        <v>136</v>
      </c>
      <c r="B48" s="163">
        <f>SUM(B35,B26)</f>
        <v>4334.0140786151314</v>
      </c>
      <c r="C48" s="163">
        <f t="shared" ref="C48:AF48" si="17">SUM(C35,C26)</f>
        <v>6570.79292897087</v>
      </c>
      <c r="D48" s="163">
        <f t="shared" si="17"/>
        <v>5520.9166194553109</v>
      </c>
      <c r="E48" s="163">
        <f t="shared" si="17"/>
        <v>6018.1795914814502</v>
      </c>
      <c r="F48" s="163">
        <f t="shared" si="17"/>
        <v>6587.6651243147935</v>
      </c>
      <c r="G48" s="163">
        <f t="shared" si="17"/>
        <v>7173.353187008528</v>
      </c>
      <c r="H48" s="163">
        <f t="shared" si="17"/>
        <v>7994.1912023426157</v>
      </c>
      <c r="I48" s="163">
        <f t="shared" si="17"/>
        <v>8698.822793807507</v>
      </c>
      <c r="J48" s="163">
        <f t="shared" si="17"/>
        <v>9343.6041393425694</v>
      </c>
      <c r="K48" s="163">
        <f t="shared" si="17"/>
        <v>10085.142752531265</v>
      </c>
      <c r="L48" s="163">
        <f t="shared" si="17"/>
        <v>1964.1722295777208</v>
      </c>
      <c r="M48" s="163">
        <f t="shared" si="17"/>
        <v>0</v>
      </c>
      <c r="N48" s="163">
        <f t="shared" si="17"/>
        <v>0</v>
      </c>
      <c r="O48" s="163">
        <f t="shared" si="17"/>
        <v>0</v>
      </c>
      <c r="P48" s="163">
        <f t="shared" si="17"/>
        <v>0</v>
      </c>
      <c r="Q48" s="163">
        <f t="shared" si="17"/>
        <v>0</v>
      </c>
      <c r="R48" s="163">
        <f t="shared" si="17"/>
        <v>0</v>
      </c>
      <c r="S48" s="163">
        <f t="shared" si="17"/>
        <v>0</v>
      </c>
      <c r="T48" s="163">
        <f t="shared" si="17"/>
        <v>0</v>
      </c>
      <c r="U48" s="163">
        <f t="shared" si="17"/>
        <v>0</v>
      </c>
      <c r="V48" s="163">
        <f t="shared" si="17"/>
        <v>0</v>
      </c>
      <c r="W48" s="163">
        <f t="shared" si="17"/>
        <v>0</v>
      </c>
      <c r="X48" s="163">
        <f t="shared" si="17"/>
        <v>0</v>
      </c>
      <c r="Y48" s="163">
        <f t="shared" si="17"/>
        <v>0</v>
      </c>
      <c r="Z48" s="163">
        <f t="shared" si="17"/>
        <v>0</v>
      </c>
      <c r="AA48" s="163">
        <f t="shared" si="17"/>
        <v>0</v>
      </c>
      <c r="AB48" s="163">
        <f t="shared" si="17"/>
        <v>0</v>
      </c>
      <c r="AC48" s="163">
        <f t="shared" si="17"/>
        <v>0</v>
      </c>
      <c r="AD48" s="163">
        <f t="shared" si="17"/>
        <v>0</v>
      </c>
      <c r="AE48" s="163">
        <f t="shared" si="17"/>
        <v>0</v>
      </c>
      <c r="AF48" s="163">
        <f t="shared" si="17"/>
        <v>-5654.7460963530684</v>
      </c>
      <c r="AG48" s="49"/>
      <c r="AH48" s="49"/>
      <c r="AI48" s="49"/>
      <c r="AJ48" s="49"/>
      <c r="AK48" s="49"/>
      <c r="AL48" s="49"/>
      <c r="AM48" s="49"/>
    </row>
    <row r="49" spans="1:39">
      <c r="A49" s="399" t="s">
        <v>135</v>
      </c>
      <c r="B49" s="389">
        <f>B36</f>
        <v>2645.1815597263744</v>
      </c>
      <c r="C49" s="389">
        <f t="shared" ref="C49:AF49" si="18">C27+C36+B44</f>
        <v>5807.864921858054</v>
      </c>
      <c r="D49" s="389">
        <f t="shared" si="18"/>
        <v>5272.3195956444788</v>
      </c>
      <c r="E49" s="389">
        <f t="shared" si="18"/>
        <v>4796.7310245246281</v>
      </c>
      <c r="F49" s="389">
        <f t="shared" si="18"/>
        <v>4266.231587803868</v>
      </c>
      <c r="G49" s="389">
        <f t="shared" si="18"/>
        <v>3697.1570925447913</v>
      </c>
      <c r="H49" s="389">
        <f t="shared" si="18"/>
        <v>3070.3312458969895</v>
      </c>
      <c r="I49" s="389">
        <f t="shared" si="18"/>
        <v>2378.5730036865784</v>
      </c>
      <c r="J49" s="389">
        <f t="shared" si="18"/>
        <v>1622.0879645768509</v>
      </c>
      <c r="K49" s="389">
        <f t="shared" si="18"/>
        <v>813.72032211591272</v>
      </c>
      <c r="L49" s="389">
        <f t="shared" si="18"/>
        <v>83.248614771417365</v>
      </c>
      <c r="M49" s="389">
        <f t="shared" si="18"/>
        <v>0</v>
      </c>
      <c r="N49" s="389">
        <f t="shared" si="18"/>
        <v>0</v>
      </c>
      <c r="O49" s="389">
        <f t="shared" si="18"/>
        <v>0</v>
      </c>
      <c r="P49" s="389">
        <f t="shared" si="18"/>
        <v>0</v>
      </c>
      <c r="Q49" s="389">
        <f t="shared" si="18"/>
        <v>0</v>
      </c>
      <c r="R49" s="389">
        <f t="shared" si="18"/>
        <v>0</v>
      </c>
      <c r="S49" s="389">
        <f t="shared" si="18"/>
        <v>0</v>
      </c>
      <c r="T49" s="389">
        <f t="shared" si="18"/>
        <v>0</v>
      </c>
      <c r="U49" s="389">
        <f t="shared" si="18"/>
        <v>0</v>
      </c>
      <c r="V49" s="389">
        <f t="shared" si="18"/>
        <v>0</v>
      </c>
      <c r="W49" s="389">
        <f t="shared" si="18"/>
        <v>0</v>
      </c>
      <c r="X49" s="389">
        <f t="shared" si="18"/>
        <v>0</v>
      </c>
      <c r="Y49" s="389">
        <f t="shared" si="18"/>
        <v>0</v>
      </c>
      <c r="Z49" s="389">
        <f t="shared" si="18"/>
        <v>0</v>
      </c>
      <c r="AA49" s="389">
        <f t="shared" si="18"/>
        <v>0</v>
      </c>
      <c r="AB49" s="389">
        <f t="shared" si="18"/>
        <v>0</v>
      </c>
      <c r="AC49" s="389">
        <f t="shared" si="18"/>
        <v>0</v>
      </c>
      <c r="AD49" s="389">
        <f t="shared" si="18"/>
        <v>0</v>
      </c>
      <c r="AE49" s="389">
        <f t="shared" si="18"/>
        <v>0</v>
      </c>
      <c r="AF49" s="389">
        <f t="shared" si="18"/>
        <v>19.684120600232511</v>
      </c>
      <c r="AG49" s="49"/>
      <c r="AH49" s="49"/>
      <c r="AI49" s="49"/>
      <c r="AJ49" s="49"/>
      <c r="AK49" s="49"/>
      <c r="AL49" s="49"/>
      <c r="AM49" s="49"/>
    </row>
    <row r="50" spans="1:39">
      <c r="A50" s="49" t="s">
        <v>60</v>
      </c>
      <c r="B50" s="49">
        <f t="shared" ref="B50:AF50" si="19">SUM(B48:B49)</f>
        <v>6979.1956383415054</v>
      </c>
      <c r="C50" s="49">
        <f t="shared" si="19"/>
        <v>12378.657850828924</v>
      </c>
      <c r="D50" s="49">
        <f t="shared" si="19"/>
        <v>10793.236215099791</v>
      </c>
      <c r="E50" s="49">
        <f t="shared" si="19"/>
        <v>10814.910616006078</v>
      </c>
      <c r="F50" s="49">
        <f t="shared" si="19"/>
        <v>10853.896712118662</v>
      </c>
      <c r="G50" s="49">
        <f t="shared" si="19"/>
        <v>10870.51027955332</v>
      </c>
      <c r="H50" s="49">
        <f t="shared" si="19"/>
        <v>11064.522448239604</v>
      </c>
      <c r="I50" s="49">
        <f t="shared" si="19"/>
        <v>11077.395797494086</v>
      </c>
      <c r="J50" s="49">
        <f t="shared" si="19"/>
        <v>10965.69210391942</v>
      </c>
      <c r="K50" s="49">
        <f t="shared" si="19"/>
        <v>10898.863074647177</v>
      </c>
      <c r="L50" s="49">
        <f t="shared" si="19"/>
        <v>2047.4208443491382</v>
      </c>
      <c r="M50" s="49">
        <f t="shared" si="19"/>
        <v>0</v>
      </c>
      <c r="N50" s="49">
        <f t="shared" si="19"/>
        <v>0</v>
      </c>
      <c r="O50" s="49">
        <f t="shared" si="19"/>
        <v>0</v>
      </c>
      <c r="P50" s="49">
        <f t="shared" si="19"/>
        <v>0</v>
      </c>
      <c r="Q50" s="49">
        <f t="shared" si="19"/>
        <v>0</v>
      </c>
      <c r="R50" s="49">
        <f t="shared" si="19"/>
        <v>0</v>
      </c>
      <c r="S50" s="49">
        <f t="shared" si="19"/>
        <v>0</v>
      </c>
      <c r="T50" s="49">
        <f t="shared" si="19"/>
        <v>0</v>
      </c>
      <c r="U50" s="49">
        <f t="shared" si="19"/>
        <v>0</v>
      </c>
      <c r="V50" s="49">
        <f t="shared" si="19"/>
        <v>0</v>
      </c>
      <c r="W50" s="49">
        <f t="shared" si="19"/>
        <v>0</v>
      </c>
      <c r="X50" s="49">
        <f t="shared" si="19"/>
        <v>0</v>
      </c>
      <c r="Y50" s="49">
        <f t="shared" si="19"/>
        <v>0</v>
      </c>
      <c r="Z50" s="49">
        <f t="shared" si="19"/>
        <v>0</v>
      </c>
      <c r="AA50" s="49">
        <f t="shared" si="19"/>
        <v>0</v>
      </c>
      <c r="AB50" s="49">
        <f t="shared" si="19"/>
        <v>0</v>
      </c>
      <c r="AC50" s="49">
        <f t="shared" si="19"/>
        <v>0</v>
      </c>
      <c r="AD50" s="49">
        <f t="shared" si="19"/>
        <v>0</v>
      </c>
      <c r="AE50" s="49">
        <f t="shared" si="19"/>
        <v>0</v>
      </c>
      <c r="AF50" s="49">
        <f t="shared" si="19"/>
        <v>-5635.0619757528357</v>
      </c>
      <c r="AG50" s="49"/>
      <c r="AH50" s="49"/>
      <c r="AI50" s="49"/>
      <c r="AJ50" s="49"/>
      <c r="AK50" s="49"/>
      <c r="AL50" s="49"/>
      <c r="AM50" s="49"/>
    </row>
    <row r="51" spans="1:39">
      <c r="A51" s="49"/>
      <c r="B51" s="49"/>
      <c r="C51" s="49"/>
      <c r="D51" s="49"/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  <c r="AA51" s="49"/>
      <c r="AB51" s="49"/>
      <c r="AC51" s="49"/>
      <c r="AD51" s="49"/>
      <c r="AE51" s="49"/>
      <c r="AF51" s="49"/>
      <c r="AG51" s="49"/>
      <c r="AH51" s="49"/>
      <c r="AI51" s="49"/>
      <c r="AJ51" s="49"/>
      <c r="AK51" s="49"/>
      <c r="AL51" s="49"/>
      <c r="AM51" s="49"/>
    </row>
    <row r="52" spans="1:39">
      <c r="A52" s="175" t="s">
        <v>404</v>
      </c>
      <c r="B52" s="406">
        <f>IF(B33&gt;0.1,(B38+B29)/B50," ")</f>
        <v>1.5000000000000002</v>
      </c>
      <c r="C52" s="406">
        <f t="shared" ref="C52:AF52" si="20">IF(C33&gt;0.1,(C38+C29)/C50," ")</f>
        <v>1.5000000000000009</v>
      </c>
      <c r="D52" s="406">
        <f t="shared" si="20"/>
        <v>1.4999999999999978</v>
      </c>
      <c r="E52" s="406">
        <f t="shared" si="20"/>
        <v>1.4999999999999993</v>
      </c>
      <c r="F52" s="406">
        <f t="shared" si="20"/>
        <v>1.4999999999999998</v>
      </c>
      <c r="G52" s="406">
        <f t="shared" si="20"/>
        <v>1.4999999999999989</v>
      </c>
      <c r="H52" s="406">
        <f t="shared" si="20"/>
        <v>1.5000000000000002</v>
      </c>
      <c r="I52" s="406">
        <f t="shared" si="20"/>
        <v>1.4999999999999998</v>
      </c>
      <c r="J52" s="406">
        <f t="shared" si="20"/>
        <v>1.4999999999999998</v>
      </c>
      <c r="K52" s="406">
        <f t="shared" si="20"/>
        <v>1.5</v>
      </c>
      <c r="L52" s="406" t="str">
        <f t="shared" si="20"/>
        <v xml:space="preserve"> </v>
      </c>
      <c r="M52" s="406" t="str">
        <f t="shared" si="20"/>
        <v xml:space="preserve"> </v>
      </c>
      <c r="N52" s="406" t="str">
        <f t="shared" si="20"/>
        <v xml:space="preserve"> </v>
      </c>
      <c r="O52" s="406" t="str">
        <f t="shared" si="20"/>
        <v xml:space="preserve"> </v>
      </c>
      <c r="P52" s="468" t="str">
        <f t="shared" si="20"/>
        <v xml:space="preserve"> </v>
      </c>
      <c r="Q52" s="406" t="str">
        <f t="shared" si="20"/>
        <v xml:space="preserve"> </v>
      </c>
      <c r="R52" s="406" t="str">
        <f t="shared" si="20"/>
        <v xml:space="preserve"> </v>
      </c>
      <c r="S52" s="406" t="str">
        <f t="shared" si="20"/>
        <v xml:space="preserve"> </v>
      </c>
      <c r="T52" s="406" t="str">
        <f t="shared" si="20"/>
        <v xml:space="preserve"> </v>
      </c>
      <c r="U52" s="406" t="str">
        <f t="shared" si="20"/>
        <v xml:space="preserve"> </v>
      </c>
      <c r="V52" s="406" t="str">
        <f t="shared" si="20"/>
        <v xml:space="preserve"> </v>
      </c>
      <c r="W52" s="406" t="str">
        <f t="shared" si="20"/>
        <v xml:space="preserve"> </v>
      </c>
      <c r="X52" s="406" t="str">
        <f t="shared" si="20"/>
        <v xml:space="preserve"> </v>
      </c>
      <c r="Y52" s="406" t="str">
        <f t="shared" si="20"/>
        <v xml:space="preserve"> </v>
      </c>
      <c r="Z52" s="406" t="str">
        <f t="shared" si="20"/>
        <v xml:space="preserve"> </v>
      </c>
      <c r="AA52" s="406" t="str">
        <f t="shared" si="20"/>
        <v xml:space="preserve"> </v>
      </c>
      <c r="AB52" s="406" t="str">
        <f t="shared" si="20"/>
        <v xml:space="preserve"> </v>
      </c>
      <c r="AC52" s="406" t="str">
        <f t="shared" si="20"/>
        <v xml:space="preserve"> </v>
      </c>
      <c r="AD52" s="406" t="str">
        <f t="shared" si="20"/>
        <v xml:space="preserve"> </v>
      </c>
      <c r="AE52" s="406" t="str">
        <f t="shared" si="20"/>
        <v xml:space="preserve"> </v>
      </c>
      <c r="AF52" s="468">
        <f t="shared" si="20"/>
        <v>1.5</v>
      </c>
      <c r="AG52" s="50"/>
      <c r="AH52" s="50"/>
      <c r="AI52" s="50"/>
      <c r="AJ52" s="50"/>
      <c r="AK52" s="50"/>
      <c r="AL52" s="50"/>
      <c r="AM52" s="50"/>
    </row>
    <row r="53" spans="1:39">
      <c r="A53" s="51"/>
      <c r="B53" s="174"/>
      <c r="C53" s="411"/>
      <c r="D53" s="411"/>
      <c r="E53" s="411"/>
      <c r="F53" s="411"/>
      <c r="G53" s="411"/>
      <c r="H53" s="411"/>
      <c r="I53" s="411"/>
      <c r="J53" s="411"/>
      <c r="K53" s="411"/>
      <c r="L53" s="411"/>
      <c r="M53" s="411"/>
      <c r="N53" s="411"/>
      <c r="O53" s="411"/>
      <c r="P53" s="411"/>
      <c r="Q53" s="411"/>
      <c r="R53" s="411"/>
      <c r="S53" s="411"/>
      <c r="T53" s="411"/>
      <c r="U53" s="411"/>
      <c r="V53" s="411"/>
      <c r="W53" s="411"/>
      <c r="X53" s="411"/>
      <c r="Y53" s="411"/>
      <c r="Z53" s="411"/>
      <c r="AA53" s="411"/>
      <c r="AB53" s="411"/>
      <c r="AC53" s="411"/>
      <c r="AD53" s="411"/>
      <c r="AE53" s="411"/>
      <c r="AF53" s="411"/>
      <c r="AG53" s="50"/>
      <c r="AH53" s="50"/>
      <c r="AI53" s="50"/>
      <c r="AJ53" s="50"/>
      <c r="AK53" s="50"/>
      <c r="AL53" s="50"/>
      <c r="AM53" s="50"/>
    </row>
    <row r="54" spans="1:39">
      <c r="A54" s="51"/>
      <c r="B54" s="174"/>
      <c r="C54" s="411"/>
      <c r="D54" s="411"/>
      <c r="E54" s="411"/>
      <c r="F54" s="411"/>
      <c r="G54" s="411"/>
      <c r="H54" s="411"/>
      <c r="I54" s="411"/>
      <c r="J54" s="411"/>
      <c r="K54" s="411"/>
      <c r="L54" s="411"/>
      <c r="M54" s="411"/>
      <c r="N54" s="411"/>
      <c r="O54" s="411"/>
      <c r="P54" s="411"/>
      <c r="Q54" s="411"/>
      <c r="R54" s="411"/>
      <c r="S54" s="411"/>
      <c r="T54" s="411"/>
      <c r="U54" s="411"/>
      <c r="V54" s="411"/>
      <c r="W54" s="411"/>
      <c r="X54" s="411"/>
      <c r="Y54" s="411"/>
      <c r="Z54" s="411"/>
      <c r="AA54" s="411"/>
      <c r="AB54" s="411"/>
      <c r="AC54" s="411"/>
      <c r="AD54" s="411"/>
      <c r="AE54" s="411"/>
      <c r="AF54" s="411"/>
      <c r="AG54" s="50"/>
      <c r="AH54" s="50"/>
      <c r="AI54" s="50"/>
      <c r="AJ54" s="50"/>
      <c r="AK54" s="50"/>
      <c r="AL54" s="50"/>
      <c r="AM54" s="50"/>
    </row>
    <row r="55" spans="1:39">
      <c r="A55" s="399" t="s">
        <v>388</v>
      </c>
      <c r="B55" s="385"/>
      <c r="C55" s="385"/>
      <c r="D55" s="385"/>
      <c r="E55" s="385"/>
      <c r="F55" s="385"/>
      <c r="G55" s="385"/>
      <c r="H55" s="385"/>
      <c r="I55" s="385"/>
      <c r="J55" s="385"/>
      <c r="K55" s="385"/>
      <c r="L55" s="385"/>
      <c r="M55" s="385"/>
      <c r="N55" s="385"/>
      <c r="O55" s="385"/>
      <c r="P55" s="385"/>
      <c r="Q55" s="385"/>
      <c r="R55" s="385"/>
      <c r="S55" s="385"/>
      <c r="T55" s="385"/>
      <c r="U55" s="385"/>
      <c r="V55" s="385"/>
      <c r="W55" s="385"/>
      <c r="X55" s="385"/>
      <c r="Y55" s="385"/>
      <c r="Z55" s="385"/>
      <c r="AA55" s="385"/>
      <c r="AB55" s="385"/>
      <c r="AC55" s="385"/>
      <c r="AD55" s="385"/>
      <c r="AE55" s="385"/>
      <c r="AF55" s="385"/>
    </row>
    <row r="56" spans="1:39">
      <c r="A56" s="48" t="s">
        <v>136</v>
      </c>
      <c r="B56" s="163">
        <f t="shared" ref="B56:AF56" si="21">B35+B26</f>
        <v>4334.0140786151314</v>
      </c>
      <c r="C56" s="163">
        <f t="shared" si="21"/>
        <v>6570.79292897087</v>
      </c>
      <c r="D56" s="163">
        <f t="shared" si="21"/>
        <v>5520.9166194553109</v>
      </c>
      <c r="E56" s="163">
        <f t="shared" si="21"/>
        <v>6018.1795914814502</v>
      </c>
      <c r="F56" s="163">
        <f t="shared" si="21"/>
        <v>6587.6651243147935</v>
      </c>
      <c r="G56" s="163">
        <f t="shared" si="21"/>
        <v>7173.353187008528</v>
      </c>
      <c r="H56" s="163">
        <f t="shared" si="21"/>
        <v>7994.1912023426157</v>
      </c>
      <c r="I56" s="163">
        <f t="shared" si="21"/>
        <v>8698.822793807507</v>
      </c>
      <c r="J56" s="163">
        <f t="shared" si="21"/>
        <v>9343.6041393425694</v>
      </c>
      <c r="K56" s="163">
        <f t="shared" si="21"/>
        <v>10085.142752531265</v>
      </c>
      <c r="L56" s="163">
        <f t="shared" si="21"/>
        <v>1964.1722295777208</v>
      </c>
      <c r="M56" s="163">
        <f t="shared" si="21"/>
        <v>0</v>
      </c>
      <c r="N56" s="163">
        <f t="shared" si="21"/>
        <v>0</v>
      </c>
      <c r="O56" s="163">
        <f t="shared" si="21"/>
        <v>0</v>
      </c>
      <c r="P56" s="163">
        <f t="shared" si="21"/>
        <v>0</v>
      </c>
      <c r="Q56" s="163">
        <f t="shared" si="21"/>
        <v>0</v>
      </c>
      <c r="R56" s="163">
        <f t="shared" si="21"/>
        <v>0</v>
      </c>
      <c r="S56" s="163">
        <f t="shared" si="21"/>
        <v>0</v>
      </c>
      <c r="T56" s="163">
        <f t="shared" si="21"/>
        <v>0</v>
      </c>
      <c r="U56" s="163">
        <f t="shared" si="21"/>
        <v>0</v>
      </c>
      <c r="V56" s="163">
        <f t="shared" si="21"/>
        <v>0</v>
      </c>
      <c r="W56" s="163">
        <f t="shared" si="21"/>
        <v>0</v>
      </c>
      <c r="X56" s="163">
        <f t="shared" si="21"/>
        <v>0</v>
      </c>
      <c r="Y56" s="163">
        <f t="shared" si="21"/>
        <v>0</v>
      </c>
      <c r="Z56" s="163">
        <f t="shared" si="21"/>
        <v>0</v>
      </c>
      <c r="AA56" s="163">
        <f t="shared" si="21"/>
        <v>0</v>
      </c>
      <c r="AB56" s="163">
        <f t="shared" si="21"/>
        <v>0</v>
      </c>
      <c r="AC56" s="163">
        <f t="shared" si="21"/>
        <v>0</v>
      </c>
      <c r="AD56" s="163">
        <f t="shared" si="21"/>
        <v>0</v>
      </c>
      <c r="AE56" s="163">
        <f t="shared" si="21"/>
        <v>0</v>
      </c>
      <c r="AF56" s="163">
        <f t="shared" si="21"/>
        <v>-5654.7460963530684</v>
      </c>
    </row>
    <row r="57" spans="1:39">
      <c r="A57" s="399" t="s">
        <v>135</v>
      </c>
      <c r="B57" s="389">
        <f t="shared" ref="B57:AF57" si="22">B36+B44+B27</f>
        <v>4126.6768692401884</v>
      </c>
      <c r="C57" s="389">
        <f t="shared" si="22"/>
        <v>5669.6328410958322</v>
      </c>
      <c r="D57" s="389">
        <f t="shared" si="22"/>
        <v>5155.3215407088983</v>
      </c>
      <c r="E57" s="389">
        <f t="shared" si="22"/>
        <v>4666.1930892406799</v>
      </c>
      <c r="F57" s="389">
        <f t="shared" si="22"/>
        <v>4129.6292247955316</v>
      </c>
      <c r="G57" s="389">
        <f t="shared" si="22"/>
        <v>3545.1409640475013</v>
      </c>
      <c r="H57" s="389">
        <f t="shared" si="22"/>
        <v>2900.9200980884411</v>
      </c>
      <c r="I57" s="389">
        <f t="shared" si="22"/>
        <v>2192.9907853551063</v>
      </c>
      <c r="J57" s="389">
        <f t="shared" si="22"/>
        <v>1425.3190258455404</v>
      </c>
      <c r="K57" s="389">
        <f t="shared" si="22"/>
        <v>599.9981873465174</v>
      </c>
      <c r="L57" s="389">
        <f t="shared" si="22"/>
        <v>41.624307385708683</v>
      </c>
      <c r="M57" s="389">
        <f t="shared" si="22"/>
        <v>0</v>
      </c>
      <c r="N57" s="389">
        <f t="shared" si="22"/>
        <v>0</v>
      </c>
      <c r="O57" s="389">
        <f t="shared" si="22"/>
        <v>0</v>
      </c>
      <c r="P57" s="389">
        <f t="shared" si="22"/>
        <v>0</v>
      </c>
      <c r="Q57" s="389">
        <f t="shared" si="22"/>
        <v>0</v>
      </c>
      <c r="R57" s="389">
        <f t="shared" si="22"/>
        <v>0</v>
      </c>
      <c r="S57" s="389">
        <f t="shared" si="22"/>
        <v>0</v>
      </c>
      <c r="T57" s="389">
        <f t="shared" si="22"/>
        <v>0</v>
      </c>
      <c r="U57" s="389">
        <f t="shared" si="22"/>
        <v>0</v>
      </c>
      <c r="V57" s="389">
        <f t="shared" si="22"/>
        <v>0</v>
      </c>
      <c r="W57" s="389">
        <f t="shared" si="22"/>
        <v>0</v>
      </c>
      <c r="X57" s="389">
        <f t="shared" si="22"/>
        <v>0</v>
      </c>
      <c r="Y57" s="389">
        <f t="shared" si="22"/>
        <v>0</v>
      </c>
      <c r="Z57" s="389">
        <f t="shared" si="22"/>
        <v>0</v>
      </c>
      <c r="AA57" s="389">
        <f t="shared" si="22"/>
        <v>0</v>
      </c>
      <c r="AB57" s="389">
        <f t="shared" si="22"/>
        <v>0</v>
      </c>
      <c r="AC57" s="389">
        <f t="shared" si="22"/>
        <v>0</v>
      </c>
      <c r="AD57" s="389">
        <f t="shared" si="22"/>
        <v>0</v>
      </c>
      <c r="AE57" s="389">
        <f t="shared" si="22"/>
        <v>0</v>
      </c>
      <c r="AF57" s="389">
        <f t="shared" si="22"/>
        <v>340.99763851355488</v>
      </c>
    </row>
    <row r="58" spans="1:39">
      <c r="A58" s="49" t="s">
        <v>60</v>
      </c>
      <c r="B58" s="49">
        <f>SUM(B56:B57)</f>
        <v>8460.6909478553207</v>
      </c>
      <c r="C58" s="49">
        <f t="shared" ref="C58:AF58" si="23">SUM(C56:C57)</f>
        <v>12240.425770066702</v>
      </c>
      <c r="D58" s="49">
        <f t="shared" si="23"/>
        <v>10676.238160164208</v>
      </c>
      <c r="E58" s="49">
        <f t="shared" si="23"/>
        <v>10684.37268072213</v>
      </c>
      <c r="F58" s="49">
        <f t="shared" si="23"/>
        <v>10717.294349110325</v>
      </c>
      <c r="G58" s="49">
        <f t="shared" si="23"/>
        <v>10718.494151056029</v>
      </c>
      <c r="H58" s="49">
        <f t="shared" si="23"/>
        <v>10895.111300431057</v>
      </c>
      <c r="I58" s="49">
        <f t="shared" si="23"/>
        <v>10891.813579162614</v>
      </c>
      <c r="J58" s="49">
        <f t="shared" si="23"/>
        <v>10768.923165188109</v>
      </c>
      <c r="K58" s="49">
        <f t="shared" si="23"/>
        <v>10685.140939877781</v>
      </c>
      <c r="L58" s="49">
        <f t="shared" si="23"/>
        <v>2005.7965369634296</v>
      </c>
      <c r="M58" s="49">
        <f t="shared" si="23"/>
        <v>0</v>
      </c>
      <c r="N58" s="49">
        <f t="shared" si="23"/>
        <v>0</v>
      </c>
      <c r="O58" s="49">
        <f t="shared" si="23"/>
        <v>0</v>
      </c>
      <c r="P58" s="49">
        <f t="shared" si="23"/>
        <v>0</v>
      </c>
      <c r="Q58" s="49">
        <f t="shared" si="23"/>
        <v>0</v>
      </c>
      <c r="R58" s="49">
        <f t="shared" si="23"/>
        <v>0</v>
      </c>
      <c r="S58" s="49">
        <f t="shared" si="23"/>
        <v>0</v>
      </c>
      <c r="T58" s="49">
        <f t="shared" si="23"/>
        <v>0</v>
      </c>
      <c r="U58" s="49">
        <f t="shared" si="23"/>
        <v>0</v>
      </c>
      <c r="V58" s="49">
        <f t="shared" si="23"/>
        <v>0</v>
      </c>
      <c r="W58" s="49">
        <f t="shared" si="23"/>
        <v>0</v>
      </c>
      <c r="X58" s="49">
        <f t="shared" si="23"/>
        <v>0</v>
      </c>
      <c r="Y58" s="49">
        <f t="shared" si="23"/>
        <v>0</v>
      </c>
      <c r="Z58" s="49">
        <f t="shared" si="23"/>
        <v>0</v>
      </c>
      <c r="AA58" s="49">
        <f t="shared" si="23"/>
        <v>0</v>
      </c>
      <c r="AB58" s="49">
        <f t="shared" si="23"/>
        <v>0</v>
      </c>
      <c r="AC58" s="49">
        <f t="shared" si="23"/>
        <v>0</v>
      </c>
      <c r="AD58" s="49">
        <f t="shared" si="23"/>
        <v>0</v>
      </c>
      <c r="AE58" s="49">
        <f t="shared" si="23"/>
        <v>0</v>
      </c>
      <c r="AF58" s="49">
        <f t="shared" si="23"/>
        <v>-5313.7484578395133</v>
      </c>
      <c r="AG58" s="49"/>
      <c r="AH58" s="49"/>
      <c r="AI58" s="49"/>
      <c r="AJ58" s="49"/>
      <c r="AK58" s="49"/>
      <c r="AL58" s="49"/>
      <c r="AM58" s="49"/>
    </row>
    <row r="59" spans="1:39">
      <c r="A59" s="51"/>
      <c r="B59" s="174"/>
      <c r="C59" s="411"/>
      <c r="D59" s="411"/>
      <c r="E59" s="411"/>
      <c r="F59" s="411"/>
      <c r="G59" s="411"/>
      <c r="H59" s="411"/>
      <c r="I59" s="411"/>
      <c r="J59" s="411"/>
      <c r="K59" s="411"/>
      <c r="L59" s="411"/>
      <c r="M59" s="411"/>
      <c r="N59" s="411"/>
      <c r="O59" s="411"/>
      <c r="P59" s="411"/>
      <c r="Q59" s="411"/>
      <c r="R59" s="411"/>
      <c r="S59" s="411"/>
      <c r="T59" s="411"/>
      <c r="U59" s="411"/>
      <c r="V59" s="411"/>
      <c r="W59" s="411"/>
      <c r="X59" s="411"/>
      <c r="Y59" s="411"/>
      <c r="Z59" s="411"/>
      <c r="AA59" s="411"/>
      <c r="AB59" s="411"/>
      <c r="AC59" s="411"/>
      <c r="AD59" s="411"/>
      <c r="AE59" s="411"/>
      <c r="AF59" s="411"/>
      <c r="AG59" s="50"/>
      <c r="AH59" s="50"/>
      <c r="AI59" s="50"/>
      <c r="AJ59" s="50"/>
      <c r="AK59" s="50"/>
      <c r="AL59" s="50"/>
      <c r="AM59" s="50"/>
    </row>
    <row r="60" spans="1:39">
      <c r="A60" s="51"/>
      <c r="B60" s="412"/>
      <c r="C60" s="412"/>
      <c r="D60" s="412"/>
      <c r="E60" s="412"/>
      <c r="F60" s="412"/>
      <c r="G60" s="412"/>
      <c r="H60" s="412"/>
      <c r="I60" s="412"/>
      <c r="J60" s="412"/>
      <c r="K60" s="412"/>
      <c r="L60" s="412"/>
      <c r="M60" s="412"/>
      <c r="N60" s="412"/>
      <c r="O60" s="412"/>
      <c r="P60" s="412"/>
      <c r="Q60" s="412"/>
      <c r="R60" s="412"/>
      <c r="S60" s="412"/>
      <c r="T60" s="412"/>
      <c r="U60" s="412"/>
      <c r="V60" s="412"/>
      <c r="W60" s="412"/>
      <c r="X60" s="412"/>
      <c r="Y60" s="412"/>
      <c r="Z60" s="412"/>
      <c r="AA60" s="412"/>
      <c r="AB60" s="412"/>
      <c r="AC60" s="412"/>
      <c r="AD60" s="412"/>
      <c r="AE60" s="412"/>
      <c r="AF60" s="412"/>
      <c r="AG60" s="50"/>
      <c r="AH60" s="50"/>
      <c r="AI60" s="50"/>
      <c r="AJ60" s="50"/>
      <c r="AK60" s="50"/>
      <c r="AL60" s="50"/>
      <c r="AM60" s="50"/>
    </row>
    <row r="61" spans="1:39">
      <c r="B61" s="568" t="s">
        <v>330</v>
      </c>
      <c r="C61" s="569"/>
      <c r="D61" s="569"/>
      <c r="E61" s="570"/>
      <c r="F61" s="50"/>
      <c r="K61" s="50"/>
      <c r="L61" s="50"/>
      <c r="M61" s="52"/>
      <c r="N61" s="50"/>
      <c r="O61" s="50"/>
      <c r="P61" s="53"/>
      <c r="Q61" s="53"/>
      <c r="R61" s="53"/>
      <c r="S61" s="50"/>
      <c r="T61" s="50"/>
      <c r="U61" s="50"/>
      <c r="V61" s="50"/>
      <c r="X61" s="50"/>
      <c r="Z61" s="50"/>
      <c r="AA61" s="12"/>
      <c r="AB61" s="50"/>
      <c r="AD61" s="50"/>
      <c r="AF61" s="50"/>
      <c r="AG61" s="50"/>
      <c r="AH61" s="50"/>
      <c r="AI61" s="50"/>
      <c r="AJ61" s="50"/>
      <c r="AK61" s="50"/>
      <c r="AL61" s="50"/>
      <c r="AM61" s="50"/>
    </row>
    <row r="62" spans="1:39">
      <c r="B62" s="459" t="s">
        <v>392</v>
      </c>
      <c r="C62" s="57"/>
      <c r="D62" s="57"/>
      <c r="E62" s="460">
        <f>Assumptions!G37</f>
        <v>6.5000000000000002E-2</v>
      </c>
      <c r="F62" s="51"/>
      <c r="K62" s="51"/>
      <c r="L62" s="51"/>
      <c r="M62" s="51"/>
      <c r="N62" s="51"/>
      <c r="O62" s="51"/>
      <c r="P62" s="53"/>
      <c r="Q62" s="53"/>
      <c r="R62" s="53"/>
      <c r="S62" s="50"/>
      <c r="T62" s="50"/>
      <c r="U62" s="50"/>
      <c r="V62" s="50"/>
      <c r="X62" s="50"/>
      <c r="Z62" s="50"/>
      <c r="AA62" s="12"/>
      <c r="AB62" s="50"/>
      <c r="AD62" s="50"/>
      <c r="AF62" s="50"/>
      <c r="AG62" s="50"/>
      <c r="AH62" s="50"/>
      <c r="AI62" s="50"/>
      <c r="AJ62" s="50"/>
      <c r="AK62" s="50"/>
      <c r="AL62" s="50"/>
      <c r="AM62" s="50"/>
    </row>
    <row r="63" spans="1:39">
      <c r="B63" s="55" t="s">
        <v>19</v>
      </c>
      <c r="C63" s="13"/>
      <c r="D63" s="13"/>
      <c r="E63" s="463">
        <f>Assumptions!G38</f>
        <v>0.02</v>
      </c>
      <c r="AA63" s="12"/>
      <c r="AB63" s="12"/>
    </row>
    <row r="64" spans="1:39">
      <c r="A64" s="48"/>
      <c r="B64" s="336" t="s">
        <v>393</v>
      </c>
      <c r="C64" s="58"/>
      <c r="D64" s="58"/>
      <c r="E64" s="402">
        <f>E63+E62</f>
        <v>8.5000000000000006E-2</v>
      </c>
      <c r="AA64" s="12"/>
      <c r="AB64" s="12"/>
    </row>
    <row r="65" spans="1:43">
      <c r="B65" s="404" t="s">
        <v>391</v>
      </c>
      <c r="C65" s="57"/>
      <c r="D65" s="57"/>
      <c r="E65" s="403">
        <f>Assumptions!G33</f>
        <v>10</v>
      </c>
      <c r="AA65" s="12"/>
      <c r="AB65" s="12"/>
    </row>
    <row r="66" spans="1:43">
      <c r="B66" s="446" t="s">
        <v>390</v>
      </c>
      <c r="C66" s="13"/>
      <c r="D66" s="13"/>
      <c r="E66" s="461">
        <f>B77</f>
        <v>3.2603098536813477</v>
      </c>
      <c r="AA66" s="12"/>
      <c r="AB66" s="12"/>
    </row>
    <row r="67" spans="1:43">
      <c r="B67" s="336" t="s">
        <v>55</v>
      </c>
      <c r="C67" s="58"/>
      <c r="D67" s="58"/>
      <c r="E67" s="447">
        <f>B19</f>
        <v>74290.854647447763</v>
      </c>
      <c r="AA67" s="12"/>
      <c r="AB67" s="12"/>
    </row>
    <row r="68" spans="1:43">
      <c r="B68" s="333" t="s">
        <v>0</v>
      </c>
      <c r="C68" s="57"/>
      <c r="D68" s="57" t="s">
        <v>386</v>
      </c>
      <c r="E68" s="464">
        <f>AVERAGE(B52:AF52)</f>
        <v>1.4999999999999998</v>
      </c>
      <c r="AA68" s="12"/>
      <c r="AB68" s="12"/>
    </row>
    <row r="69" spans="1:43">
      <c r="B69" s="462"/>
      <c r="C69" s="58"/>
      <c r="D69" s="58" t="s">
        <v>387</v>
      </c>
      <c r="E69" s="465">
        <f>MIN(B52:AF52)</f>
        <v>1.4999999999999978</v>
      </c>
      <c r="AA69" s="12"/>
      <c r="AB69" s="12"/>
    </row>
    <row r="70" spans="1:43">
      <c r="B70" s="48"/>
      <c r="AA70" s="12"/>
      <c r="AB70" s="12"/>
    </row>
    <row r="71" spans="1:43">
      <c r="B71" s="48"/>
      <c r="AA71" s="12"/>
      <c r="AB71" s="12"/>
    </row>
    <row r="72" spans="1:43" ht="13.5" thickBot="1">
      <c r="A72" s="42"/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  <c r="AF72" s="42"/>
    </row>
    <row r="73" spans="1:43">
      <c r="AA73" s="12"/>
      <c r="AB73" s="12"/>
    </row>
    <row r="74" spans="1:43">
      <c r="A74" s="11" t="s">
        <v>97</v>
      </c>
      <c r="B74" s="86">
        <v>0</v>
      </c>
      <c r="C74" s="86">
        <f>(C32-$B$32)/365.25</f>
        <v>0.99931553730321698</v>
      </c>
      <c r="D74" s="86">
        <f t="shared" ref="D74:AF74" si="24">(D32-$B$32)/365.25</f>
        <v>1.998631074606434</v>
      </c>
      <c r="E74" s="86">
        <f t="shared" si="24"/>
        <v>3.0006844626967832</v>
      </c>
      <c r="F74" s="86">
        <f t="shared" si="24"/>
        <v>4</v>
      </c>
      <c r="G74" s="86">
        <f t="shared" si="24"/>
        <v>4.9993155373032172</v>
      </c>
      <c r="H74" s="86">
        <f t="shared" si="24"/>
        <v>5.9986310746064335</v>
      </c>
      <c r="I74" s="86">
        <f t="shared" si="24"/>
        <v>7.0006844626967828</v>
      </c>
      <c r="J74" s="86">
        <f t="shared" si="24"/>
        <v>8</v>
      </c>
      <c r="K74" s="86">
        <f t="shared" si="24"/>
        <v>8.9993155373032163</v>
      </c>
      <c r="L74" s="86">
        <f t="shared" si="24"/>
        <v>9.9986310746064344</v>
      </c>
      <c r="M74" s="86">
        <f t="shared" si="24"/>
        <v>11.000684462696784</v>
      </c>
      <c r="N74" s="86">
        <f t="shared" si="24"/>
        <v>12</v>
      </c>
      <c r="O74" s="86">
        <f t="shared" si="24"/>
        <v>12.999315537303216</v>
      </c>
      <c r="P74" s="86">
        <f t="shared" si="24"/>
        <v>13.998631074606434</v>
      </c>
      <c r="Q74" s="86">
        <f t="shared" si="24"/>
        <v>15.000684462696784</v>
      </c>
      <c r="R74" s="86">
        <f t="shared" si="24"/>
        <v>16</v>
      </c>
      <c r="S74" s="86">
        <f t="shared" si="24"/>
        <v>16.999315537303218</v>
      </c>
      <c r="T74" s="86">
        <f t="shared" si="24"/>
        <v>17.998631074606433</v>
      </c>
      <c r="U74" s="86">
        <f t="shared" si="24"/>
        <v>19.000684462696782</v>
      </c>
      <c r="V74" s="86">
        <f t="shared" si="24"/>
        <v>20</v>
      </c>
      <c r="W74" s="86">
        <f t="shared" si="24"/>
        <v>20.999315537303218</v>
      </c>
      <c r="X74" s="86">
        <f t="shared" si="24"/>
        <v>21.998631074606433</v>
      </c>
      <c r="Y74" s="86">
        <f t="shared" si="24"/>
        <v>23.000684462696782</v>
      </c>
      <c r="Z74" s="86">
        <f t="shared" si="24"/>
        <v>24</v>
      </c>
      <c r="AA74" s="86">
        <f t="shared" si="24"/>
        <v>24.999315537303218</v>
      </c>
      <c r="AB74" s="86">
        <f t="shared" si="24"/>
        <v>25.998631074606433</v>
      </c>
      <c r="AC74" s="86">
        <f t="shared" si="24"/>
        <v>27.000684462696782</v>
      </c>
      <c r="AD74" s="86">
        <f t="shared" si="24"/>
        <v>28</v>
      </c>
      <c r="AE74" s="86">
        <f t="shared" si="24"/>
        <v>28.999315537303218</v>
      </c>
      <c r="AF74" s="86">
        <f t="shared" si="24"/>
        <v>29.579739904175224</v>
      </c>
      <c r="AG74" s="181"/>
      <c r="AH74" s="181"/>
      <c r="AI74" s="181"/>
      <c r="AJ74" s="181"/>
      <c r="AK74" s="181"/>
      <c r="AL74" s="181"/>
      <c r="AM74" s="181"/>
      <c r="AN74" s="181"/>
      <c r="AO74" s="181"/>
      <c r="AP74" s="181"/>
      <c r="AQ74" s="181"/>
    </row>
    <row r="75" spans="1:43">
      <c r="B75" s="86">
        <f>(C23-$B$32)/365.25</f>
        <v>0.49828884325804246</v>
      </c>
      <c r="C75" s="86">
        <f>(D23-$B$32)/365.25</f>
        <v>1.4976043805612593</v>
      </c>
      <c r="D75" s="86">
        <f t="shared" ref="D75:AF75" si="25">(E23-$B$32)/365.25</f>
        <v>2.4996577686516086</v>
      </c>
      <c r="E75" s="86">
        <f t="shared" si="25"/>
        <v>3.4989733059548254</v>
      </c>
      <c r="F75" s="86">
        <f t="shared" si="25"/>
        <v>4.4982888432580426</v>
      </c>
      <c r="G75" s="86">
        <f t="shared" si="25"/>
        <v>5.4976043805612598</v>
      </c>
      <c r="H75" s="86">
        <f t="shared" si="25"/>
        <v>6.4996577686516082</v>
      </c>
      <c r="I75" s="86">
        <f t="shared" si="25"/>
        <v>7.4989733059548254</v>
      </c>
      <c r="J75" s="86">
        <f t="shared" si="25"/>
        <v>8.4982888432580417</v>
      </c>
      <c r="K75" s="86">
        <f t="shared" si="25"/>
        <v>9.4976043805612598</v>
      </c>
      <c r="L75" s="86">
        <f t="shared" si="25"/>
        <v>10.499657768651609</v>
      </c>
      <c r="M75" s="86">
        <f t="shared" si="25"/>
        <v>11.498973305954825</v>
      </c>
      <c r="N75" s="86">
        <f t="shared" si="25"/>
        <v>12.498288843258042</v>
      </c>
      <c r="O75" s="86">
        <f t="shared" si="25"/>
        <v>13.49760438056126</v>
      </c>
      <c r="P75" s="86">
        <f t="shared" si="25"/>
        <v>14.499657768651609</v>
      </c>
      <c r="Q75" s="86">
        <f t="shared" si="25"/>
        <v>15.498973305954825</v>
      </c>
      <c r="R75" s="86">
        <f t="shared" si="25"/>
        <v>16.498288843258042</v>
      </c>
      <c r="S75" s="86">
        <f t="shared" si="25"/>
        <v>17.49760438056126</v>
      </c>
      <c r="T75" s="86">
        <f t="shared" si="25"/>
        <v>18.499657768651609</v>
      </c>
      <c r="U75" s="86">
        <f t="shared" si="25"/>
        <v>19.498973305954827</v>
      </c>
      <c r="V75" s="86">
        <f t="shared" si="25"/>
        <v>20.498288843258042</v>
      </c>
      <c r="W75" s="86">
        <f t="shared" si="25"/>
        <v>21.49760438056126</v>
      </c>
      <c r="X75" s="86">
        <f t="shared" si="25"/>
        <v>22.499657768651609</v>
      </c>
      <c r="Y75" s="86">
        <f t="shared" si="25"/>
        <v>23.498973305954827</v>
      </c>
      <c r="Z75" s="86">
        <f t="shared" si="25"/>
        <v>24.498288843258042</v>
      </c>
      <c r="AA75" s="86">
        <f t="shared" si="25"/>
        <v>25.49760438056126</v>
      </c>
      <c r="AB75" s="86">
        <f t="shared" si="25"/>
        <v>26.499657768651609</v>
      </c>
      <c r="AC75" s="86">
        <f t="shared" si="25"/>
        <v>27.498973305954827</v>
      </c>
      <c r="AD75" s="86">
        <f t="shared" si="25"/>
        <v>28.498288843258042</v>
      </c>
      <c r="AE75" s="86">
        <f t="shared" si="25"/>
        <v>29.49760438056126</v>
      </c>
      <c r="AF75" s="86">
        <f t="shared" si="25"/>
        <v>29.579739904175224</v>
      </c>
      <c r="AG75" s="86"/>
      <c r="AH75" s="86"/>
      <c r="AI75" s="86"/>
      <c r="AJ75" s="86"/>
      <c r="AK75" s="86"/>
      <c r="AL75" s="86"/>
      <c r="AM75" s="86"/>
      <c r="AN75" s="86"/>
      <c r="AO75" s="48"/>
      <c r="AP75" s="48"/>
    </row>
    <row r="76" spans="1:43">
      <c r="B76" s="86"/>
      <c r="C76" s="86"/>
      <c r="D76" s="86"/>
      <c r="E76" s="86"/>
      <c r="F76" s="86"/>
      <c r="G76" s="86"/>
      <c r="H76" s="86"/>
      <c r="I76" s="86"/>
      <c r="J76" s="86"/>
      <c r="K76" s="86"/>
      <c r="L76" s="86"/>
      <c r="M76" s="86"/>
      <c r="N76" s="86"/>
      <c r="O76" s="86"/>
      <c r="P76" s="86"/>
      <c r="Q76" s="86"/>
      <c r="R76" s="86"/>
      <c r="S76" s="86"/>
      <c r="T76" s="86"/>
      <c r="U76" s="86"/>
      <c r="V76" s="86"/>
      <c r="W76" s="86"/>
      <c r="X76" s="86"/>
      <c r="Y76" s="86"/>
      <c r="Z76" s="86"/>
      <c r="AA76" s="86"/>
      <c r="AB76" s="86"/>
      <c r="AC76" s="86"/>
      <c r="AD76" s="86"/>
      <c r="AE76" s="86"/>
      <c r="AF76" s="86"/>
      <c r="AG76" s="86"/>
      <c r="AH76" s="86"/>
      <c r="AI76" s="86"/>
      <c r="AJ76" s="86"/>
      <c r="AK76" s="86"/>
      <c r="AL76" s="86"/>
      <c r="AM76" s="86"/>
      <c r="AN76" s="86"/>
      <c r="AO76" s="48"/>
      <c r="AP76" s="48"/>
    </row>
    <row r="77" spans="1:43">
      <c r="A77" s="11" t="s">
        <v>83</v>
      </c>
      <c r="B77" s="466">
        <f>(SUMPRODUCT(B74:AF74,B35:AF35)+SUMPRODUCT(B75:AF75,B26:AF26))/E67</f>
        <v>3.2603098536813477</v>
      </c>
      <c r="C77" s="48"/>
      <c r="D77" s="48"/>
      <c r="E77" s="48"/>
      <c r="F77" s="48"/>
      <c r="G77" s="48"/>
      <c r="H77" s="48"/>
      <c r="I77" s="48"/>
      <c r="J77" s="48"/>
      <c r="K77" s="48"/>
      <c r="L77" s="48"/>
      <c r="M77" s="48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  <c r="AD77" s="48"/>
      <c r="AE77" s="48"/>
      <c r="AF77" s="48"/>
      <c r="AG77" s="48"/>
      <c r="AH77" s="48"/>
      <c r="AI77" s="48"/>
    </row>
    <row r="78" spans="1:43">
      <c r="F78" s="48"/>
      <c r="G78" s="48"/>
      <c r="H78" s="48"/>
      <c r="I78" s="48"/>
      <c r="J78" s="48"/>
      <c r="K78" s="48"/>
      <c r="L78" s="48"/>
      <c r="M78" s="48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89"/>
      <c r="AB78" s="89"/>
      <c r="AC78" s="48"/>
      <c r="AD78" s="48"/>
      <c r="AE78" s="48"/>
      <c r="AF78" s="48"/>
      <c r="AG78" s="48"/>
      <c r="AH78" s="48"/>
      <c r="AI78" s="48"/>
      <c r="AJ78" s="48"/>
      <c r="AK78" s="48"/>
      <c r="AL78" s="48"/>
      <c r="AM78" s="48"/>
      <c r="AN78" s="48"/>
      <c r="AO78" s="48"/>
      <c r="AP78" s="48"/>
    </row>
    <row r="79" spans="1:43" ht="13.5" thickBot="1">
      <c r="A79" s="42"/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  <c r="AA79" s="387"/>
      <c r="AB79" s="387"/>
      <c r="AC79" s="42"/>
      <c r="AD79" s="42"/>
      <c r="AE79" s="42"/>
      <c r="AF79" s="42"/>
    </row>
    <row r="80" spans="1:43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C80" s="13"/>
      <c r="AD80" s="13"/>
      <c r="AE80" s="13"/>
      <c r="AF80" s="13"/>
    </row>
    <row r="81" spans="27:28">
      <c r="AA81" s="12"/>
      <c r="AB81" s="12"/>
    </row>
    <row r="82" spans="27:28">
      <c r="AA82" s="12"/>
      <c r="AB82" s="12"/>
    </row>
    <row r="83" spans="27:28">
      <c r="AA83" s="12"/>
      <c r="AB83" s="12"/>
    </row>
    <row r="84" spans="27:28">
      <c r="AA84" s="12"/>
      <c r="AB84" s="12"/>
    </row>
    <row r="85" spans="27:28">
      <c r="AA85" s="12"/>
      <c r="AB85" s="12"/>
    </row>
    <row r="86" spans="27:28">
      <c r="AA86" s="12"/>
      <c r="AB86" s="12"/>
    </row>
    <row r="87" spans="27:28">
      <c r="AA87" s="12"/>
      <c r="AB87" s="12"/>
    </row>
    <row r="88" spans="27:28">
      <c r="AA88" s="12"/>
      <c r="AB88" s="12"/>
    </row>
    <row r="89" spans="27:28">
      <c r="AA89" s="12"/>
      <c r="AB89" s="12"/>
    </row>
    <row r="90" spans="27:28">
      <c r="AA90" s="12"/>
      <c r="AB90" s="12"/>
    </row>
    <row r="91" spans="27:28">
      <c r="AA91" s="12"/>
      <c r="AB91" s="12"/>
    </row>
    <row r="92" spans="27:28">
      <c r="AA92" s="12"/>
      <c r="AB92" s="12"/>
    </row>
    <row r="93" spans="27:28">
      <c r="AA93" s="12"/>
      <c r="AB93" s="12"/>
    </row>
    <row r="94" spans="27:28">
      <c r="AA94" s="12"/>
      <c r="AB94" s="12"/>
    </row>
    <row r="95" spans="27:28">
      <c r="AA95" s="12"/>
      <c r="AB95" s="12"/>
    </row>
    <row r="96" spans="27:28">
      <c r="AA96" s="12"/>
      <c r="AB96" s="12"/>
    </row>
    <row r="97" spans="27:28">
      <c r="AA97" s="12"/>
      <c r="AB97" s="12"/>
    </row>
    <row r="98" spans="27:28">
      <c r="AA98" s="12"/>
      <c r="AB98" s="12"/>
    </row>
    <row r="99" spans="27:28">
      <c r="AA99" s="12"/>
      <c r="AB99" s="12"/>
    </row>
    <row r="100" spans="27:28">
      <c r="AA100" s="12"/>
      <c r="AB100" s="12"/>
    </row>
    <row r="101" spans="27:28">
      <c r="AA101" s="12"/>
      <c r="AB101" s="12"/>
    </row>
    <row r="102" spans="27:28">
      <c r="AA102" s="12"/>
      <c r="AB102" s="12"/>
    </row>
    <row r="103" spans="27:28">
      <c r="AA103" s="12"/>
      <c r="AB103" s="12"/>
    </row>
  </sheetData>
  <mergeCells count="1">
    <mergeCell ref="B61:E61"/>
  </mergeCells>
  <pageMargins left="0.45" right="0.45" top="0.5" bottom="0.5" header="0.25" footer="0.25"/>
  <pageSetup scale="48" fitToWidth="2" orientation="landscape" r:id="rId1"/>
  <headerFooter alignWithMargins="0">
    <oddFooter xml:space="preserve">&amp;L&amp;T, &amp;D&amp;C&amp;F&amp;R&amp;P </oddFooter>
  </headerFooter>
  <colBreaks count="1" manualBreakCount="1">
    <brk id="16" min="1" max="62" man="1"/>
  </col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656" r:id="rId4" name="Button 464">
              <controlPr defaultSize="0" print="0" autoFill="0" autoPict="0" macro="[0]!Debt1">
                <anchor moveWithCells="1" sizeWithCells="1">
                  <from>
                    <xdr:col>0</xdr:col>
                    <xdr:colOff>342900</xdr:colOff>
                    <xdr:row>15</xdr:row>
                    <xdr:rowOff>28575</xdr:rowOff>
                  </from>
                  <to>
                    <xdr:col>0</xdr:col>
                    <xdr:colOff>1933575</xdr:colOff>
                    <xdr:row>17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13</vt:i4>
      </vt:variant>
      <vt:variant>
        <vt:lpstr>Charts</vt:lpstr>
      </vt:variant>
      <vt:variant>
        <vt:i4>2</vt:i4>
      </vt:variant>
      <vt:variant>
        <vt:lpstr>Named Ranges</vt:lpstr>
      </vt:variant>
      <vt:variant>
        <vt:i4>16</vt:i4>
      </vt:variant>
    </vt:vector>
  </HeadingPairs>
  <TitlesOfParts>
    <vt:vector size="31" baseType="lpstr">
      <vt:lpstr>Notes</vt:lpstr>
      <vt:lpstr>Tracking Sheet</vt:lpstr>
      <vt:lpstr>Assumptions</vt:lpstr>
      <vt:lpstr>Price_Technical Assumption</vt:lpstr>
      <vt:lpstr>Options</vt:lpstr>
      <vt:lpstr>IS</vt:lpstr>
      <vt:lpstr>BS</vt:lpstr>
      <vt:lpstr>Returns Analysis</vt:lpstr>
      <vt:lpstr>Debt</vt:lpstr>
      <vt:lpstr>Depreciation</vt:lpstr>
      <vt:lpstr>Taxes</vt:lpstr>
      <vt:lpstr>IDC</vt:lpstr>
      <vt:lpstr>NY East</vt:lpstr>
      <vt:lpstr>Chart_4 Hour Block</vt:lpstr>
      <vt:lpstr>Chart_Monthly</vt:lpstr>
      <vt:lpstr>Deg_Rate</vt:lpstr>
      <vt:lpstr>ISO_MW</vt:lpstr>
      <vt:lpstr>Assumptions!Print_Area</vt:lpstr>
      <vt:lpstr>BS!Print_Area</vt:lpstr>
      <vt:lpstr>Debt!Print_Area</vt:lpstr>
      <vt:lpstr>Depreciation!Print_Area</vt:lpstr>
      <vt:lpstr>IDC!Print_Area</vt:lpstr>
      <vt:lpstr>IS!Print_Area</vt:lpstr>
      <vt:lpstr>Taxes!Print_Area</vt:lpstr>
      <vt:lpstr>BS!Print_Titles</vt:lpstr>
      <vt:lpstr>Debt!Print_Titles</vt:lpstr>
      <vt:lpstr>Depreciation!Print_Titles</vt:lpstr>
      <vt:lpstr>IS!Print_Titles</vt:lpstr>
      <vt:lpstr>'Price_Technical Assumption'!Print_Titles</vt:lpstr>
      <vt:lpstr>'Returns Analysis'!Print_Titles</vt:lpstr>
      <vt:lpstr>Taxes!Print_Titles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</dc:creator>
  <cp:lastModifiedBy>Felienne</cp:lastModifiedBy>
  <cp:lastPrinted>2000-02-24T19:51:04Z</cp:lastPrinted>
  <dcterms:created xsi:type="dcterms:W3CDTF">1999-04-02T01:38:38Z</dcterms:created>
  <dcterms:modified xsi:type="dcterms:W3CDTF">2014-09-03T11:32:17Z</dcterms:modified>
</cp:coreProperties>
</file>