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23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Options!$A$2:$L$35</definedName>
    <definedName name="_xlnm.Print_Area" localSheetId="5">Scenarios!$M$32:$R$54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AA13" i="2" l="1"/>
  <c r="U14" i="2"/>
  <c r="V14" i="2"/>
  <c r="W14" i="2"/>
  <c r="X14" i="2"/>
  <c r="Y14" i="2"/>
  <c r="Z14" i="2"/>
  <c r="AA14" i="2"/>
  <c r="AB14" i="2"/>
  <c r="N17" i="2"/>
  <c r="P17" i="2"/>
  <c r="H61" i="2" s="1"/>
  <c r="H18" i="2"/>
  <c r="C19" i="2"/>
  <c r="C20" i="2"/>
  <c r="C21" i="2"/>
  <c r="N26" i="2"/>
  <c r="N30" i="2"/>
  <c r="C34" i="2"/>
  <c r="H35" i="2"/>
  <c r="H39" i="2"/>
  <c r="C8" i="18" s="1"/>
  <c r="D8" i="18" s="1"/>
  <c r="C48" i="2"/>
  <c r="D48" i="2"/>
  <c r="G48" i="2"/>
  <c r="C56" i="2"/>
  <c r="H58" i="2"/>
  <c r="H67" i="2"/>
  <c r="H69" i="2" s="1"/>
  <c r="O25" i="2" s="1"/>
  <c r="A69" i="2"/>
  <c r="A70" i="2"/>
  <c r="A71" i="2"/>
  <c r="A2" i="19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A2" i="6"/>
  <c r="B8" i="6"/>
  <c r="B41" i="6" s="1"/>
  <c r="C8" i="6"/>
  <c r="D8" i="6"/>
  <c r="E8" i="6"/>
  <c r="F8" i="6"/>
  <c r="G8" i="6"/>
  <c r="H8" i="6"/>
  <c r="I8" i="6"/>
  <c r="J8" i="6"/>
  <c r="J41" i="6" s="1"/>
  <c r="K8" i="6"/>
  <c r="L8" i="6"/>
  <c r="M8" i="6"/>
  <c r="N8" i="6"/>
  <c r="O8" i="6"/>
  <c r="P8" i="6"/>
  <c r="Q8" i="6"/>
  <c r="R8" i="6"/>
  <c r="R41" i="6" s="1"/>
  <c r="S8" i="6"/>
  <c r="T8" i="6"/>
  <c r="U8" i="6"/>
  <c r="V8" i="6"/>
  <c r="W8" i="6"/>
  <c r="X8" i="6"/>
  <c r="Y8" i="6"/>
  <c r="Z8" i="6"/>
  <c r="Z41" i="6" s="1"/>
  <c r="AA8" i="6"/>
  <c r="AB8" i="6"/>
  <c r="AC8" i="6"/>
  <c r="AD8" i="6"/>
  <c r="AD41" i="6" s="1"/>
  <c r="AE8" i="6"/>
  <c r="AF8" i="6"/>
  <c r="AN11" i="6"/>
  <c r="AN12" i="6"/>
  <c r="C41" i="6"/>
  <c r="D41" i="6"/>
  <c r="E41" i="6"/>
  <c r="F41" i="6"/>
  <c r="G41" i="6"/>
  <c r="H41" i="6"/>
  <c r="I41" i="6"/>
  <c r="K41" i="6"/>
  <c r="L41" i="6"/>
  <c r="M41" i="6"/>
  <c r="N41" i="6"/>
  <c r="O41" i="6"/>
  <c r="P41" i="6"/>
  <c r="Q41" i="6"/>
  <c r="S41" i="6"/>
  <c r="T41" i="6"/>
  <c r="U41" i="6"/>
  <c r="V41" i="6"/>
  <c r="W41" i="6"/>
  <c r="X41" i="6"/>
  <c r="Y41" i="6"/>
  <c r="AA41" i="6"/>
  <c r="AB41" i="6"/>
  <c r="AC41" i="6"/>
  <c r="AE41" i="6"/>
  <c r="AF41" i="6"/>
  <c r="E62" i="6"/>
  <c r="E63" i="6"/>
  <c r="E64" i="6"/>
  <c r="G39" i="2" s="1"/>
  <c r="E65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G8" i="8" s="1"/>
  <c r="J8" i="7"/>
  <c r="K8" i="7"/>
  <c r="L8" i="7"/>
  <c r="M8" i="7"/>
  <c r="N8" i="7"/>
  <c r="O8" i="7"/>
  <c r="P8" i="7"/>
  <c r="Q8" i="7"/>
  <c r="O8" i="8" s="1"/>
  <c r="R8" i="7"/>
  <c r="S8" i="7"/>
  <c r="T8" i="7"/>
  <c r="U8" i="7"/>
  <c r="V8" i="7"/>
  <c r="W8" i="7"/>
  <c r="X8" i="7"/>
  <c r="Y8" i="7"/>
  <c r="W8" i="8" s="1"/>
  <c r="Z8" i="7"/>
  <c r="AA8" i="7"/>
  <c r="AB8" i="7"/>
  <c r="AC8" i="7"/>
  <c r="AD8" i="7"/>
  <c r="AE8" i="7"/>
  <c r="AF8" i="7"/>
  <c r="AG8" i="7"/>
  <c r="AE8" i="8" s="1"/>
  <c r="AH8" i="7"/>
  <c r="B12" i="7"/>
  <c r="B13" i="7"/>
  <c r="E13" i="7"/>
  <c r="F13" i="7"/>
  <c r="G13" i="7"/>
  <c r="H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E27" i="7"/>
  <c r="F27" i="7"/>
  <c r="G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E42" i="7"/>
  <c r="F42" i="7"/>
  <c r="G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A2" i="18"/>
  <c r="C15" i="18"/>
  <c r="E15" i="18"/>
  <c r="A16" i="18"/>
  <c r="C16" i="18"/>
  <c r="E16" i="18" s="1"/>
  <c r="F16" i="18" s="1"/>
  <c r="C17" i="18"/>
  <c r="E17" i="18" s="1"/>
  <c r="F17" i="18" s="1"/>
  <c r="C18" i="18"/>
  <c r="E18" i="18"/>
  <c r="F18" i="18" s="1"/>
  <c r="C19" i="18"/>
  <c r="E19" i="18" s="1"/>
  <c r="F19" i="18"/>
  <c r="C20" i="18"/>
  <c r="E20" i="18" s="1"/>
  <c r="F20" i="18" s="1"/>
  <c r="C21" i="18"/>
  <c r="E21" i="18"/>
  <c r="F21" i="18" s="1"/>
  <c r="C22" i="18"/>
  <c r="E22" i="18" s="1"/>
  <c r="F22" i="18" s="1"/>
  <c r="C23" i="18"/>
  <c r="E23" i="18"/>
  <c r="F23" i="18"/>
  <c r="C24" i="18"/>
  <c r="E24" i="18" s="1"/>
  <c r="F24" i="18"/>
  <c r="C25" i="18"/>
  <c r="E25" i="18" s="1"/>
  <c r="F25" i="18" s="1"/>
  <c r="C26" i="18"/>
  <c r="E26" i="18"/>
  <c r="F26" i="18" s="1"/>
  <c r="C27" i="18"/>
  <c r="E27" i="18" s="1"/>
  <c r="F27" i="18"/>
  <c r="C28" i="18"/>
  <c r="E28" i="18" s="1"/>
  <c r="F28" i="18" s="1"/>
  <c r="C29" i="18"/>
  <c r="E29" i="18"/>
  <c r="F29" i="18" s="1"/>
  <c r="E30" i="18"/>
  <c r="F30" i="18" s="1"/>
  <c r="E31" i="18"/>
  <c r="F31" i="18" s="1"/>
  <c r="E32" i="18"/>
  <c r="F32" i="18"/>
  <c r="E33" i="18"/>
  <c r="F33" i="18" s="1"/>
  <c r="H57" i="18"/>
  <c r="I57" i="18"/>
  <c r="J57" i="18"/>
  <c r="K57" i="18"/>
  <c r="L57" i="18"/>
  <c r="D59" i="18"/>
  <c r="D15" i="18" s="1"/>
  <c r="D34" i="18" s="1"/>
  <c r="A2" i="4"/>
  <c r="D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2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 s="1"/>
  <c r="F17" i="4" s="1"/>
  <c r="G17" i="4" s="1"/>
  <c r="H17" i="4"/>
  <c r="I17" i="4" s="1"/>
  <c r="J17" i="4" s="1"/>
  <c r="K17" i="4" s="1"/>
  <c r="L17" i="4" s="1"/>
  <c r="M17" i="4" s="1"/>
  <c r="C18" i="4"/>
  <c r="D18" i="4"/>
  <c r="E18" i="4"/>
  <c r="F18" i="4" s="1"/>
  <c r="G18" i="4" s="1"/>
  <c r="H18" i="4" s="1"/>
  <c r="I18" i="4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C19" i="4"/>
  <c r="D19" i="4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0" i="4"/>
  <c r="D20" i="4"/>
  <c r="E20" i="4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D21" i="4"/>
  <c r="E21" i="4"/>
  <c r="F21" i="4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D24" i="4"/>
  <c r="E24" i="4"/>
  <c r="F24" i="4"/>
  <c r="G24" i="4"/>
  <c r="H24" i="4"/>
  <c r="I24" i="4"/>
  <c r="J24" i="4"/>
  <c r="K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7" i="4"/>
  <c r="D27" i="4"/>
  <c r="E27" i="4" s="1"/>
  <c r="F27" i="4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B40" i="4"/>
  <c r="B41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C34" i="26" s="1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G34" i="26" s="1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E35" i="26" s="1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M35" i="26" s="1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E36" i="26" s="1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H36" i="26" s="1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M36" i="26" s="1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E37" i="26" s="1"/>
  <c r="AI22" i="26"/>
  <c r="AJ22" i="26"/>
  <c r="AK22" i="26"/>
  <c r="AL22" i="26"/>
  <c r="AM22" i="26"/>
  <c r="AN22" i="26"/>
  <c r="AO22" i="26"/>
  <c r="AP22" i="26"/>
  <c r="F37" i="26" s="1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K37" i="26" s="1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C38" i="26" s="1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I38" i="26" s="1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K38" i="26" s="1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E39" i="26" s="1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L39" i="26" s="1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I40" i="26" s="1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L40" i="26" s="1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M40" i="26" s="1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G41" i="26" s="1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D42" i="26" s="1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F42" i="26" s="1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I42" i="26" s="1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N42" i="26" s="1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G43" i="26" s="1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L43" i="26" s="1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J33" i="26"/>
  <c r="K33" i="26"/>
  <c r="L33" i="26"/>
  <c r="N33" i="26"/>
  <c r="I34" i="26"/>
  <c r="J34" i="26"/>
  <c r="L34" i="26"/>
  <c r="M34" i="26"/>
  <c r="H35" i="26"/>
  <c r="I35" i="26"/>
  <c r="L35" i="26"/>
  <c r="I36" i="26"/>
  <c r="J36" i="26"/>
  <c r="K36" i="26"/>
  <c r="G37" i="26"/>
  <c r="J37" i="26"/>
  <c r="F38" i="26"/>
  <c r="G38" i="26"/>
  <c r="H38" i="26"/>
  <c r="C39" i="26"/>
  <c r="D39" i="26"/>
  <c r="M39" i="26"/>
  <c r="N39" i="26"/>
  <c r="C40" i="26"/>
  <c r="K40" i="26"/>
  <c r="H41" i="26"/>
  <c r="I41" i="26"/>
  <c r="J41" i="26"/>
  <c r="E42" i="26"/>
  <c r="E43" i="26"/>
  <c r="F43" i="26"/>
  <c r="N43" i="26"/>
  <c r="C10" i="29"/>
  <c r="D10" i="29"/>
  <c r="E10" i="29"/>
  <c r="F10" i="29"/>
  <c r="G10" i="29"/>
  <c r="H10" i="29"/>
  <c r="I10" i="29"/>
  <c r="J10" i="29"/>
  <c r="K10" i="29"/>
  <c r="L10" i="29"/>
  <c r="C11" i="29"/>
  <c r="C10" i="4" s="1"/>
  <c r="C13" i="4" s="1"/>
  <c r="D11" i="29"/>
  <c r="E11" i="29"/>
  <c r="E10" i="4" s="1"/>
  <c r="F11" i="29"/>
  <c r="F10" i="4" s="1"/>
  <c r="G11" i="29"/>
  <c r="G10" i="4" s="1"/>
  <c r="H11" i="29"/>
  <c r="H10" i="4" s="1"/>
  <c r="I11" i="29"/>
  <c r="I10" i="4" s="1"/>
  <c r="J11" i="29"/>
  <c r="J10" i="4" s="1"/>
  <c r="K11" i="29"/>
  <c r="K10" i="4" s="1"/>
  <c r="L11" i="29"/>
  <c r="B29" i="29"/>
  <c r="D29" i="29" s="1"/>
  <c r="D16" i="4" s="1"/>
  <c r="E29" i="29"/>
  <c r="E16" i="4" s="1"/>
  <c r="F29" i="29"/>
  <c r="F16" i="4" s="1"/>
  <c r="G29" i="29"/>
  <c r="G16" i="4" s="1"/>
  <c r="H29" i="29"/>
  <c r="H16" i="4" s="1"/>
  <c r="I29" i="29"/>
  <c r="I16" i="4" s="1"/>
  <c r="C31" i="29"/>
  <c r="D31" i="29"/>
  <c r="E31" i="29"/>
  <c r="F31" i="29"/>
  <c r="G31" i="29"/>
  <c r="H31" i="29"/>
  <c r="I31" i="29"/>
  <c r="J31" i="29"/>
  <c r="K31" i="29"/>
  <c r="L31" i="29"/>
  <c r="C34" i="29"/>
  <c r="D34" i="29"/>
  <c r="E34" i="29"/>
  <c r="F34" i="29"/>
  <c r="G34" i="29"/>
  <c r="H34" i="29"/>
  <c r="I34" i="29"/>
  <c r="J34" i="29"/>
  <c r="K34" i="29"/>
  <c r="L34" i="29"/>
  <c r="B2" i="3"/>
  <c r="D7" i="3"/>
  <c r="D8" i="3"/>
  <c r="E8" i="3"/>
  <c r="D7" i="25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L19" i="3"/>
  <c r="M19" i="3"/>
  <c r="N19" i="3"/>
  <c r="P19" i="3"/>
  <c r="V19" i="3"/>
  <c r="X19" i="3"/>
  <c r="Y19" i="3"/>
  <c r="Z19" i="3"/>
  <c r="AF19" i="3"/>
  <c r="AG19" i="3"/>
  <c r="AH19" i="3"/>
  <c r="D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N34" i="3" s="1"/>
  <c r="O30" i="3"/>
  <c r="P30" i="3"/>
  <c r="Q30" i="3"/>
  <c r="R30" i="3"/>
  <c r="S30" i="3"/>
  <c r="T30" i="3"/>
  <c r="U30" i="3"/>
  <c r="V30" i="3"/>
  <c r="V34" i="3" s="1"/>
  <c r="W30" i="3"/>
  <c r="X30" i="3"/>
  <c r="Y30" i="3"/>
  <c r="Z30" i="3"/>
  <c r="AA30" i="3"/>
  <c r="AB30" i="3"/>
  <c r="AC30" i="3"/>
  <c r="AD30" i="3"/>
  <c r="AD34" i="3" s="1"/>
  <c r="AE30" i="3"/>
  <c r="AF30" i="3"/>
  <c r="AG30" i="3"/>
  <c r="AH30" i="3"/>
  <c r="G34" i="3"/>
  <c r="O34" i="3"/>
  <c r="P34" i="3"/>
  <c r="U34" i="3"/>
  <c r="AB34" i="3"/>
  <c r="AC34" i="3"/>
  <c r="AF34" i="3"/>
  <c r="A38" i="3"/>
  <c r="D41" i="3"/>
  <c r="C11" i="4" s="1"/>
  <c r="E41" i="3"/>
  <c r="D44" i="3"/>
  <c r="E44" i="3"/>
  <c r="F44" i="3"/>
  <c r="F46" i="3" s="1"/>
  <c r="G44" i="3"/>
  <c r="H44" i="3"/>
  <c r="H46" i="3" s="1"/>
  <c r="H34" i="3" s="1"/>
  <c r="I44" i="3"/>
  <c r="J44" i="3"/>
  <c r="K44" i="3"/>
  <c r="K46" i="3" s="1"/>
  <c r="K34" i="3" s="1"/>
  <c r="L44" i="3"/>
  <c r="L46" i="3" s="1"/>
  <c r="L34" i="3" s="1"/>
  <c r="M44" i="3"/>
  <c r="N44" i="3"/>
  <c r="N46" i="3" s="1"/>
  <c r="O44" i="3"/>
  <c r="P44" i="3"/>
  <c r="P46" i="3" s="1"/>
  <c r="Q44" i="3"/>
  <c r="R44" i="3"/>
  <c r="S44" i="3"/>
  <c r="S46" i="3" s="1"/>
  <c r="S34" i="3" s="1"/>
  <c r="T44" i="3"/>
  <c r="U44" i="3"/>
  <c r="V44" i="3"/>
  <c r="V46" i="3" s="1"/>
  <c r="W44" i="3"/>
  <c r="X44" i="3"/>
  <c r="X46" i="3" s="1"/>
  <c r="X34" i="3" s="1"/>
  <c r="Y44" i="3"/>
  <c r="Z44" i="3"/>
  <c r="AA44" i="3"/>
  <c r="AA46" i="3" s="1"/>
  <c r="AA34" i="3" s="1"/>
  <c r="AB44" i="3"/>
  <c r="AB46" i="3" s="1"/>
  <c r="AC44" i="3"/>
  <c r="AD44" i="3"/>
  <c r="AD46" i="3" s="1"/>
  <c r="AE44" i="3"/>
  <c r="AF44" i="3"/>
  <c r="AF46" i="3" s="1"/>
  <c r="AG44" i="3"/>
  <c r="AH44" i="3"/>
  <c r="D46" i="3"/>
  <c r="D34" i="3" s="1"/>
  <c r="E46" i="3"/>
  <c r="E34" i="3" s="1"/>
  <c r="G46" i="3"/>
  <c r="I46" i="3"/>
  <c r="I34" i="3" s="1"/>
  <c r="J46" i="3"/>
  <c r="J34" i="3" s="1"/>
  <c r="M46" i="3"/>
  <c r="M34" i="3" s="1"/>
  <c r="O46" i="3"/>
  <c r="Q46" i="3"/>
  <c r="Q34" i="3" s="1"/>
  <c r="R46" i="3"/>
  <c r="R34" i="3" s="1"/>
  <c r="T46" i="3"/>
  <c r="T34" i="3" s="1"/>
  <c r="U46" i="3"/>
  <c r="W46" i="3"/>
  <c r="W34" i="3" s="1"/>
  <c r="Y46" i="3"/>
  <c r="Y34" i="3" s="1"/>
  <c r="Z46" i="3"/>
  <c r="Z34" i="3" s="1"/>
  <c r="AC46" i="3"/>
  <c r="AE46" i="3"/>
  <c r="AE34" i="3" s="1"/>
  <c r="AG46" i="3"/>
  <c r="AG34" i="3" s="1"/>
  <c r="AH46" i="3"/>
  <c r="AH34" i="3" s="1"/>
  <c r="A2" i="25"/>
  <c r="C6" i="25"/>
  <c r="C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 s="1"/>
  <c r="B21" i="25" s="1"/>
  <c r="B57" i="25" s="1"/>
  <c r="B27" i="25"/>
  <c r="B37" i="25"/>
  <c r="A41" i="25"/>
  <c r="A48" i="25"/>
  <c r="A55" i="25"/>
  <c r="AG58" i="25"/>
  <c r="L58" i="25" s="1"/>
  <c r="A2" i="8"/>
  <c r="B8" i="8"/>
  <c r="C8" i="8"/>
  <c r="D8" i="8"/>
  <c r="E8" i="8"/>
  <c r="F8" i="8"/>
  <c r="H8" i="8"/>
  <c r="I8" i="8"/>
  <c r="J8" i="8"/>
  <c r="K8" i="8"/>
  <c r="L8" i="8"/>
  <c r="M8" i="8"/>
  <c r="N8" i="8"/>
  <c r="P8" i="8"/>
  <c r="Q8" i="8"/>
  <c r="R8" i="8"/>
  <c r="S8" i="8"/>
  <c r="T8" i="8"/>
  <c r="U8" i="8"/>
  <c r="V8" i="8"/>
  <c r="X8" i="8"/>
  <c r="Y8" i="8"/>
  <c r="Z8" i="8"/>
  <c r="AA8" i="8"/>
  <c r="AB8" i="8"/>
  <c r="AC8" i="8"/>
  <c r="AD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F34" i="3" l="1"/>
  <c r="D6" i="19"/>
  <c r="D6" i="7"/>
  <c r="C6" i="4"/>
  <c r="E7" i="3"/>
  <c r="E21" i="3" s="1"/>
  <c r="D35" i="3"/>
  <c r="D36" i="3" s="1"/>
  <c r="D38" i="3" s="1"/>
  <c r="B6" i="8"/>
  <c r="N17" i="4"/>
  <c r="E7" i="19"/>
  <c r="E7" i="7"/>
  <c r="D7" i="4"/>
  <c r="C73" i="2" s="1"/>
  <c r="F8" i="3"/>
  <c r="D4" i="29"/>
  <c r="C7" i="8"/>
  <c r="D7" i="19"/>
  <c r="D7" i="7"/>
  <c r="C7" i="4"/>
  <c r="B7" i="8"/>
  <c r="I43" i="26"/>
  <c r="M42" i="26"/>
  <c r="K42" i="26"/>
  <c r="C42" i="26"/>
  <c r="C41" i="26"/>
  <c r="O41" i="26" s="1"/>
  <c r="G40" i="26"/>
  <c r="E40" i="26"/>
  <c r="K39" i="26"/>
  <c r="I39" i="26"/>
  <c r="M38" i="26"/>
  <c r="M37" i="26"/>
  <c r="D11" i="4"/>
  <c r="D13" i="4" s="1"/>
  <c r="F41" i="3"/>
  <c r="J43" i="26"/>
  <c r="H43" i="26"/>
  <c r="D43" i="26"/>
  <c r="L42" i="26"/>
  <c r="J42" i="26"/>
  <c r="N41" i="26"/>
  <c r="L41" i="26"/>
  <c r="F41" i="26"/>
  <c r="D41" i="26"/>
  <c r="N40" i="26"/>
  <c r="H40" i="26"/>
  <c r="F40" i="26"/>
  <c r="D40" i="26"/>
  <c r="O40" i="26" s="1"/>
  <c r="J39" i="26"/>
  <c r="O39" i="26" s="1"/>
  <c r="H39" i="26"/>
  <c r="F39" i="26"/>
  <c r="N38" i="26"/>
  <c r="O38" i="26" s="1"/>
  <c r="L38" i="26"/>
  <c r="J38" i="26"/>
  <c r="D38" i="26"/>
  <c r="N37" i="26"/>
  <c r="L37" i="26"/>
  <c r="H37" i="26"/>
  <c r="D37" i="26"/>
  <c r="N36" i="26"/>
  <c r="L36" i="26"/>
  <c r="F36" i="26"/>
  <c r="D36" i="26"/>
  <c r="N35" i="26"/>
  <c r="J35" i="26"/>
  <c r="F35" i="26"/>
  <c r="D35" i="26"/>
  <c r="N34" i="26"/>
  <c r="H34" i="26"/>
  <c r="F34" i="26"/>
  <c r="D34" i="26"/>
  <c r="H33" i="26"/>
  <c r="F33" i="26"/>
  <c r="D33" i="26"/>
  <c r="C29" i="26"/>
  <c r="C30" i="26"/>
  <c r="G19" i="3"/>
  <c r="O19" i="3"/>
  <c r="W19" i="3"/>
  <c r="AE19" i="3"/>
  <c r="H19" i="3"/>
  <c r="Q19" i="3"/>
  <c r="J19" i="3"/>
  <c r="T19" i="3"/>
  <c r="AC19" i="3"/>
  <c r="K19" i="3"/>
  <c r="U19" i="3"/>
  <c r="AD19" i="3"/>
  <c r="F19" i="3"/>
  <c r="R19" i="3"/>
  <c r="AA19" i="3"/>
  <c r="I19" i="3"/>
  <c r="S19" i="3"/>
  <c r="AB19" i="3"/>
  <c r="C4" i="29"/>
  <c r="B43" i="25"/>
  <c r="B50" i="25"/>
  <c r="L29" i="29"/>
  <c r="L16" i="4" s="1"/>
  <c r="F15" i="18"/>
  <c r="E34" i="18"/>
  <c r="M43" i="26"/>
  <c r="K43" i="26"/>
  <c r="C43" i="26"/>
  <c r="O43" i="26" s="1"/>
  <c r="G42" i="26"/>
  <c r="M41" i="26"/>
  <c r="K41" i="26"/>
  <c r="E41" i="26"/>
  <c r="G39" i="26"/>
  <c r="E38" i="26"/>
  <c r="I37" i="26"/>
  <c r="C37" i="26"/>
  <c r="O37" i="26" s="1"/>
  <c r="G36" i="26"/>
  <c r="C36" i="26"/>
  <c r="K35" i="26"/>
  <c r="G35" i="26"/>
  <c r="C35" i="26"/>
  <c r="K34" i="26"/>
  <c r="E34" i="26"/>
  <c r="O34" i="26" s="1"/>
  <c r="M33" i="26"/>
  <c r="I33" i="26"/>
  <c r="G33" i="26"/>
  <c r="E33" i="26"/>
  <c r="C33" i="26"/>
  <c r="H42" i="7"/>
  <c r="H27" i="7"/>
  <c r="C29" i="29"/>
  <c r="C16" i="4" s="1"/>
  <c r="K29" i="29"/>
  <c r="K16" i="4" s="1"/>
  <c r="J29" i="29"/>
  <c r="J16" i="4" s="1"/>
  <c r="H42" i="26"/>
  <c r="J40" i="26"/>
  <c r="C34" i="18"/>
  <c r="A17" i="18"/>
  <c r="O24" i="2"/>
  <c r="D22" i="2"/>
  <c r="D27" i="2"/>
  <c r="D39" i="2"/>
  <c r="D42" i="2"/>
  <c r="D53" i="2"/>
  <c r="D20" i="2"/>
  <c r="O22" i="2"/>
  <c r="D25" i="2"/>
  <c r="D23" i="2"/>
  <c r="D33" i="2"/>
  <c r="D47" i="2"/>
  <c r="D49" i="2"/>
  <c r="O23" i="2"/>
  <c r="D26" i="2"/>
  <c r="D29" i="2"/>
  <c r="D37" i="2"/>
  <c r="D40" i="2"/>
  <c r="D44" i="2"/>
  <c r="D55" i="2"/>
  <c r="O19" i="2"/>
  <c r="O21" i="2"/>
  <c r="D24" i="2"/>
  <c r="D30" i="2"/>
  <c r="D32" i="2"/>
  <c r="D38" i="2"/>
  <c r="D41" i="2"/>
  <c r="D45" i="2"/>
  <c r="H63" i="2"/>
  <c r="D31" i="2"/>
  <c r="D43" i="2"/>
  <c r="D54" i="2"/>
  <c r="O20" i="2"/>
  <c r="D56" i="2"/>
  <c r="O30" i="2"/>
  <c r="D28" i="2"/>
  <c r="D21" i="2"/>
  <c r="D19" i="2"/>
  <c r="N32" i="2" l="1"/>
  <c r="O32" i="2" s="1"/>
  <c r="L24" i="4"/>
  <c r="C17" i="4"/>
  <c r="C24" i="4"/>
  <c r="N33" i="2" s="1"/>
  <c r="O33" i="2" s="1"/>
  <c r="O36" i="26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3" i="2"/>
  <c r="D14" i="7"/>
  <c r="D13" i="7"/>
  <c r="D41" i="7"/>
  <c r="D43" i="7"/>
  <c r="D47" i="7" s="1"/>
  <c r="O17" i="4"/>
  <c r="G15" i="18"/>
  <c r="F34" i="18"/>
  <c r="E11" i="4"/>
  <c r="E13" i="4" s="1"/>
  <c r="G41" i="3"/>
  <c r="A18" i="18"/>
  <c r="O42" i="26"/>
  <c r="E25" i="4"/>
  <c r="M25" i="4"/>
  <c r="U25" i="4"/>
  <c r="AC25" i="4"/>
  <c r="F25" i="4"/>
  <c r="N25" i="4"/>
  <c r="V25" i="4"/>
  <c r="AD25" i="4"/>
  <c r="G25" i="4"/>
  <c r="O25" i="4"/>
  <c r="W25" i="4"/>
  <c r="AE25" i="4"/>
  <c r="C25" i="4"/>
  <c r="K25" i="4"/>
  <c r="S25" i="4"/>
  <c r="AA25" i="4"/>
  <c r="D25" i="4"/>
  <c r="T25" i="4"/>
  <c r="P25" i="4"/>
  <c r="AF25" i="4"/>
  <c r="Q25" i="4"/>
  <c r="AG25" i="4"/>
  <c r="R25" i="4"/>
  <c r="X25" i="4"/>
  <c r="Y25" i="4"/>
  <c r="AB25" i="4"/>
  <c r="J25" i="4"/>
  <c r="L25" i="4"/>
  <c r="H25" i="4"/>
  <c r="I25" i="4"/>
  <c r="Z25" i="4"/>
  <c r="O35" i="26"/>
  <c r="D34" i="2"/>
  <c r="O26" i="2"/>
  <c r="O33" i="26"/>
  <c r="F7" i="19"/>
  <c r="F7" i="7"/>
  <c r="E7" i="4"/>
  <c r="D73" i="2" s="1"/>
  <c r="G8" i="3"/>
  <c r="E4" i="29"/>
  <c r="D7" i="8"/>
  <c r="E7" i="25"/>
  <c r="E6" i="19"/>
  <c r="E6" i="7"/>
  <c r="D6" i="4"/>
  <c r="F7" i="3"/>
  <c r="F21" i="3"/>
  <c r="E35" i="3"/>
  <c r="E36" i="3" s="1"/>
  <c r="E38" i="3" s="1"/>
  <c r="D6" i="25"/>
  <c r="C6" i="8"/>
  <c r="F11" i="4" l="1"/>
  <c r="F13" i="4" s="1"/>
  <c r="H41" i="3"/>
  <c r="P17" i="4"/>
  <c r="E14" i="7"/>
  <c r="E41" i="7"/>
  <c r="E43" i="7"/>
  <c r="E47" i="7" s="1"/>
  <c r="A19" i="18"/>
  <c r="H16" i="18"/>
  <c r="G16" i="18" s="1"/>
  <c r="G7" i="19"/>
  <c r="G7" i="7"/>
  <c r="F7" i="4"/>
  <c r="F4" i="29"/>
  <c r="H8" i="3"/>
  <c r="F7" i="25"/>
  <c r="E7" i="8"/>
  <c r="D27" i="7"/>
  <c r="D42" i="7"/>
  <c r="I13" i="7"/>
  <c r="D28" i="7"/>
  <c r="D33" i="7" s="1"/>
  <c r="D18" i="7"/>
  <c r="F6" i="19"/>
  <c r="E6" i="4"/>
  <c r="F6" i="7"/>
  <c r="G7" i="3"/>
  <c r="E6" i="25"/>
  <c r="D6" i="8"/>
  <c r="F35" i="3"/>
  <c r="F36" i="3" s="1"/>
  <c r="F38" i="3" s="1"/>
  <c r="G17" i="18" l="1"/>
  <c r="H17" i="18"/>
  <c r="A20" i="18"/>
  <c r="G6" i="19"/>
  <c r="F6" i="4"/>
  <c r="H21" i="3"/>
  <c r="G6" i="7"/>
  <c r="H7" i="3"/>
  <c r="E6" i="8"/>
  <c r="G35" i="3"/>
  <c r="G36" i="3" s="1"/>
  <c r="G38" i="3" s="1"/>
  <c r="F6" i="25"/>
  <c r="E28" i="7"/>
  <c r="E33" i="7" s="1"/>
  <c r="E18" i="7"/>
  <c r="Q17" i="4"/>
  <c r="G21" i="3"/>
  <c r="I16" i="18"/>
  <c r="I42" i="7"/>
  <c r="I27" i="7"/>
  <c r="F14" i="7"/>
  <c r="F43" i="7"/>
  <c r="F47" i="7" s="1"/>
  <c r="F41" i="7"/>
  <c r="H7" i="19"/>
  <c r="G7" i="4"/>
  <c r="H7" i="7"/>
  <c r="G4" i="29"/>
  <c r="I8" i="3"/>
  <c r="G7" i="25"/>
  <c r="F7" i="8"/>
  <c r="G11" i="4"/>
  <c r="G13" i="4" s="1"/>
  <c r="I41" i="3"/>
  <c r="I7" i="19" l="1"/>
  <c r="I7" i="7"/>
  <c r="H7" i="4"/>
  <c r="H4" i="29"/>
  <c r="J8" i="3"/>
  <c r="H7" i="25"/>
  <c r="G7" i="8"/>
  <c r="R17" i="4"/>
  <c r="G14" i="7"/>
  <c r="G43" i="7"/>
  <c r="G47" i="7" s="1"/>
  <c r="G41" i="7"/>
  <c r="H18" i="18"/>
  <c r="H11" i="4"/>
  <c r="H13" i="4" s="1"/>
  <c r="J41" i="3"/>
  <c r="A21" i="18"/>
  <c r="F28" i="7"/>
  <c r="F33" i="7" s="1"/>
  <c r="F18" i="7"/>
  <c r="H6" i="19"/>
  <c r="H6" i="7"/>
  <c r="G6" i="4"/>
  <c r="I7" i="3"/>
  <c r="I21" i="3"/>
  <c r="G6" i="25"/>
  <c r="F6" i="8"/>
  <c r="H35" i="3"/>
  <c r="H36" i="3" s="1"/>
  <c r="H38" i="3" s="1"/>
  <c r="I17" i="18"/>
  <c r="S17" i="4" l="1"/>
  <c r="I18" i="18"/>
  <c r="A22" i="18"/>
  <c r="G18" i="18"/>
  <c r="I6" i="19"/>
  <c r="I6" i="7"/>
  <c r="H6" i="4"/>
  <c r="J7" i="3"/>
  <c r="J21" i="3"/>
  <c r="H6" i="25"/>
  <c r="I35" i="3"/>
  <c r="I36" i="3" s="1"/>
  <c r="I38" i="3" s="1"/>
  <c r="G6" i="8"/>
  <c r="J7" i="19"/>
  <c r="J7" i="7"/>
  <c r="I7" i="4"/>
  <c r="I4" i="29"/>
  <c r="K8" i="3"/>
  <c r="I7" i="25"/>
  <c r="H7" i="8"/>
  <c r="H14" i="7"/>
  <c r="H43" i="7"/>
  <c r="H47" i="7" s="1"/>
  <c r="H41" i="7"/>
  <c r="I11" i="4"/>
  <c r="I13" i="4" s="1"/>
  <c r="K41" i="3"/>
  <c r="G28" i="7"/>
  <c r="G33" i="7" s="1"/>
  <c r="G18" i="7"/>
  <c r="H28" i="7" l="1"/>
  <c r="H33" i="7" s="1"/>
  <c r="H18" i="7"/>
  <c r="H19" i="18"/>
  <c r="A23" i="18"/>
  <c r="K7" i="19"/>
  <c r="K7" i="7"/>
  <c r="J7" i="4"/>
  <c r="L8" i="3"/>
  <c r="I7" i="8"/>
  <c r="J4" i="29"/>
  <c r="J7" i="25"/>
  <c r="I41" i="7"/>
  <c r="I43" i="7"/>
  <c r="I47" i="7" s="1"/>
  <c r="I14" i="7"/>
  <c r="J11" i="4"/>
  <c r="J13" i="4" s="1"/>
  <c r="L41" i="3"/>
  <c r="J6" i="19"/>
  <c r="J6" i="7"/>
  <c r="I6" i="4"/>
  <c r="J35" i="3"/>
  <c r="J36" i="3" s="1"/>
  <c r="J38" i="3" s="1"/>
  <c r="I6" i="25"/>
  <c r="H6" i="8"/>
  <c r="K7" i="3"/>
  <c r="T17" i="4"/>
  <c r="L7" i="19" l="1"/>
  <c r="L7" i="7"/>
  <c r="J7" i="8"/>
  <c r="K7" i="25"/>
  <c r="M8" i="3"/>
  <c r="K7" i="4"/>
  <c r="K4" i="29"/>
  <c r="I19" i="18"/>
  <c r="K6" i="19"/>
  <c r="K6" i="7"/>
  <c r="J6" i="4"/>
  <c r="K35" i="3"/>
  <c r="K36" i="3" s="1"/>
  <c r="K38" i="3" s="1"/>
  <c r="I6" i="8"/>
  <c r="J6" i="25"/>
  <c r="L7" i="3"/>
  <c r="A24" i="18"/>
  <c r="I18" i="7"/>
  <c r="I28" i="7"/>
  <c r="I33" i="7" s="1"/>
  <c r="G19" i="18"/>
  <c r="J14" i="7"/>
  <c r="J41" i="7"/>
  <c r="J43" i="7"/>
  <c r="J47" i="7" s="1"/>
  <c r="U17" i="4"/>
  <c r="K11" i="4"/>
  <c r="K13" i="4" s="1"/>
  <c r="M41" i="3"/>
  <c r="K21" i="3"/>
  <c r="M7" i="19" l="1"/>
  <c r="L7" i="4"/>
  <c r="N8" i="3"/>
  <c r="M7" i="7"/>
  <c r="L7" i="25"/>
  <c r="K7" i="8"/>
  <c r="L4" i="29"/>
  <c r="H20" i="18"/>
  <c r="L11" i="4"/>
  <c r="L13" i="4" s="1"/>
  <c r="N41" i="3"/>
  <c r="A25" i="18"/>
  <c r="H24" i="18"/>
  <c r="V17" i="4"/>
  <c r="L6" i="19"/>
  <c r="K6" i="4"/>
  <c r="L6" i="7"/>
  <c r="M7" i="3"/>
  <c r="L35" i="3"/>
  <c r="L36" i="3" s="1"/>
  <c r="L38" i="3" s="1"/>
  <c r="K6" i="25"/>
  <c r="M21" i="3"/>
  <c r="J6" i="8"/>
  <c r="K14" i="7"/>
  <c r="K41" i="7"/>
  <c r="K43" i="7"/>
  <c r="K47" i="7" s="1"/>
  <c r="J18" i="7"/>
  <c r="J28" i="7"/>
  <c r="J33" i="7" s="1"/>
  <c r="L21" i="3"/>
  <c r="I20" i="18" l="1"/>
  <c r="G20" i="18"/>
  <c r="L14" i="7"/>
  <c r="L41" i="7"/>
  <c r="L43" i="7"/>
  <c r="L47" i="7" s="1"/>
  <c r="W17" i="4"/>
  <c r="M6" i="19"/>
  <c r="M6" i="7"/>
  <c r="L6" i="4"/>
  <c r="L6" i="25"/>
  <c r="M35" i="3"/>
  <c r="M36" i="3" s="1"/>
  <c r="M38" i="3" s="1"/>
  <c r="N7" i="3"/>
  <c r="K6" i="8"/>
  <c r="K18" i="7"/>
  <c r="K28" i="7"/>
  <c r="K33" i="7" s="1"/>
  <c r="M11" i="4"/>
  <c r="M13" i="4" s="1"/>
  <c r="O41" i="3"/>
  <c r="N7" i="19"/>
  <c r="N7" i="7"/>
  <c r="M7" i="4"/>
  <c r="O8" i="3"/>
  <c r="M7" i="25"/>
  <c r="L7" i="8"/>
  <c r="M4" i="29"/>
  <c r="A26" i="18"/>
  <c r="H25" i="18"/>
  <c r="O7" i="19" l="1"/>
  <c r="O7" i="7"/>
  <c r="N4" i="29"/>
  <c r="N7" i="4"/>
  <c r="N7" i="25"/>
  <c r="P8" i="3"/>
  <c r="M7" i="8"/>
  <c r="N6" i="19"/>
  <c r="N6" i="7"/>
  <c r="O7" i="3"/>
  <c r="M6" i="4"/>
  <c r="O21" i="3"/>
  <c r="M6" i="25"/>
  <c r="N35" i="3"/>
  <c r="N36" i="3" s="1"/>
  <c r="N38" i="3" s="1"/>
  <c r="L6" i="8"/>
  <c r="X17" i="4"/>
  <c r="N21" i="3"/>
  <c r="L28" i="7"/>
  <c r="L33" i="7" s="1"/>
  <c r="L18" i="7"/>
  <c r="M14" i="7"/>
  <c r="M41" i="7"/>
  <c r="M43" i="7"/>
  <c r="M47" i="7" s="1"/>
  <c r="H21" i="18"/>
  <c r="A27" i="18"/>
  <c r="H26" i="18"/>
  <c r="P41" i="3"/>
  <c r="N11" i="4"/>
  <c r="N13" i="4" s="1"/>
  <c r="P7" i="19" l="1"/>
  <c r="P7" i="7"/>
  <c r="O7" i="4"/>
  <c r="O4" i="29"/>
  <c r="Q8" i="3"/>
  <c r="O7" i="25"/>
  <c r="N7" i="8"/>
  <c r="M28" i="7"/>
  <c r="M33" i="7" s="1"/>
  <c r="M18" i="7"/>
  <c r="N14" i="7"/>
  <c r="N41" i="7"/>
  <c r="N43" i="7"/>
  <c r="N47" i="7" s="1"/>
  <c r="Y17" i="4"/>
  <c r="H27" i="18"/>
  <c r="A28" i="18"/>
  <c r="Q41" i="3"/>
  <c r="O11" i="4"/>
  <c r="O13" i="4" s="1"/>
  <c r="I21" i="18"/>
  <c r="G21" i="18"/>
  <c r="O6" i="19"/>
  <c r="O6" i="7"/>
  <c r="N6" i="4"/>
  <c r="M6" i="8"/>
  <c r="N6" i="25"/>
  <c r="O35" i="3"/>
  <c r="O36" i="3" s="1"/>
  <c r="O38" i="3" s="1"/>
  <c r="P7" i="3"/>
  <c r="H22" i="18" l="1"/>
  <c r="I22" i="18" s="1"/>
  <c r="Z17" i="4"/>
  <c r="Q7" i="19"/>
  <c r="Q7" i="7"/>
  <c r="P7" i="4"/>
  <c r="P7" i="25"/>
  <c r="P4" i="29"/>
  <c r="R8" i="3"/>
  <c r="O7" i="8"/>
  <c r="P6" i="19"/>
  <c r="P6" i="7"/>
  <c r="O6" i="4"/>
  <c r="Q21" i="3"/>
  <c r="O6" i="25"/>
  <c r="Q7" i="3"/>
  <c r="P35" i="3"/>
  <c r="P36" i="3" s="1"/>
  <c r="P38" i="3" s="1"/>
  <c r="N6" i="8"/>
  <c r="P21" i="3"/>
  <c r="N28" i="7"/>
  <c r="N33" i="7" s="1"/>
  <c r="N18" i="7"/>
  <c r="P11" i="4"/>
  <c r="P13" i="4" s="1"/>
  <c r="R41" i="3"/>
  <c r="O14" i="7"/>
  <c r="O41" i="7"/>
  <c r="O43" i="7"/>
  <c r="O47" i="7" s="1"/>
  <c r="H28" i="18"/>
  <c r="A29" i="18"/>
  <c r="P14" i="7" l="1"/>
  <c r="P41" i="7"/>
  <c r="P43" i="7"/>
  <c r="P47" i="7" s="1"/>
  <c r="AA17" i="4"/>
  <c r="A30" i="18"/>
  <c r="H29" i="18"/>
  <c r="O28" i="7"/>
  <c r="O33" i="7" s="1"/>
  <c r="O18" i="7"/>
  <c r="Q11" i="4"/>
  <c r="Q13" i="4" s="1"/>
  <c r="S41" i="3"/>
  <c r="Q6" i="19"/>
  <c r="Q6" i="7"/>
  <c r="P6" i="4"/>
  <c r="R7" i="3"/>
  <c r="Q35" i="3"/>
  <c r="Q36" i="3" s="1"/>
  <c r="Q38" i="3" s="1"/>
  <c r="O6" i="8"/>
  <c r="P6" i="25"/>
  <c r="R7" i="19"/>
  <c r="R7" i="7"/>
  <c r="Q7" i="4"/>
  <c r="Q4" i="29"/>
  <c r="S8" i="3"/>
  <c r="P7" i="8"/>
  <c r="Q7" i="25"/>
  <c r="G22" i="18"/>
  <c r="H30" i="18" l="1"/>
  <c r="A31" i="18"/>
  <c r="H23" i="18"/>
  <c r="I23" i="18" s="1"/>
  <c r="I24" i="18" s="1"/>
  <c r="I25" i="18" s="1"/>
  <c r="I26" i="18" s="1"/>
  <c r="I27" i="18" s="1"/>
  <c r="I28" i="18" s="1"/>
  <c r="I29" i="18" s="1"/>
  <c r="I30" i="18" s="1"/>
  <c r="Q14" i="7"/>
  <c r="Q41" i="7"/>
  <c r="Q43" i="7"/>
  <c r="Q47" i="7" s="1"/>
  <c r="S7" i="19"/>
  <c r="S7" i="7"/>
  <c r="R7" i="4"/>
  <c r="R4" i="29"/>
  <c r="T8" i="3"/>
  <c r="R7" i="25"/>
  <c r="Q7" i="8"/>
  <c r="AB17" i="4"/>
  <c r="R11" i="4"/>
  <c r="R13" i="4" s="1"/>
  <c r="T41" i="3"/>
  <c r="P28" i="7"/>
  <c r="P33" i="7" s="1"/>
  <c r="P18" i="7"/>
  <c r="R6" i="19"/>
  <c r="R6" i="7"/>
  <c r="Q6" i="4"/>
  <c r="S7" i="3"/>
  <c r="R35" i="3"/>
  <c r="R36" i="3" s="1"/>
  <c r="R38" i="3" s="1"/>
  <c r="S21" i="3"/>
  <c r="Q6" i="25"/>
  <c r="P6" i="8"/>
  <c r="R21" i="3"/>
  <c r="R14" i="7" l="1"/>
  <c r="R41" i="7"/>
  <c r="R43" i="7"/>
  <c r="R47" i="7" s="1"/>
  <c r="T7" i="19"/>
  <c r="T7" i="7"/>
  <c r="S7" i="4"/>
  <c r="S4" i="29"/>
  <c r="U8" i="3"/>
  <c r="R7" i="8"/>
  <c r="S7" i="25"/>
  <c r="G23" i="18"/>
  <c r="G24" i="18" s="1"/>
  <c r="G25" i="18" s="1"/>
  <c r="G26" i="18" s="1"/>
  <c r="G27" i="18" s="1"/>
  <c r="G28" i="18" s="1"/>
  <c r="G29" i="18" s="1"/>
  <c r="G30" i="18" s="1"/>
  <c r="G31" i="18" s="1"/>
  <c r="S11" i="4"/>
  <c r="S13" i="4" s="1"/>
  <c r="U41" i="3"/>
  <c r="A32" i="18"/>
  <c r="H31" i="18"/>
  <c r="I31" i="18"/>
  <c r="S6" i="19"/>
  <c r="S6" i="7"/>
  <c r="R6" i="4"/>
  <c r="S35" i="3"/>
  <c r="S36" i="3" s="1"/>
  <c r="S38" i="3" s="1"/>
  <c r="T7" i="3"/>
  <c r="Q6" i="8"/>
  <c r="R6" i="25"/>
  <c r="Q18" i="7"/>
  <c r="Q28" i="7"/>
  <c r="Q33" i="7" s="1"/>
  <c r="AC17" i="4"/>
  <c r="S41" i="7" l="1"/>
  <c r="S43" i="7"/>
  <c r="S47" i="7" s="1"/>
  <c r="S14" i="7"/>
  <c r="T6" i="19"/>
  <c r="T6" i="7"/>
  <c r="S6" i="4"/>
  <c r="U7" i="3"/>
  <c r="T35" i="3"/>
  <c r="T36" i="3" s="1"/>
  <c r="T38" i="3" s="1"/>
  <c r="R6" i="8"/>
  <c r="S6" i="25"/>
  <c r="U21" i="3"/>
  <c r="H32" i="18"/>
  <c r="G32" i="18" s="1"/>
  <c r="I32" i="18"/>
  <c r="A33" i="18"/>
  <c r="T11" i="4"/>
  <c r="T13" i="4" s="1"/>
  <c r="V41" i="3"/>
  <c r="AD17" i="4"/>
  <c r="T21" i="3"/>
  <c r="U7" i="19"/>
  <c r="U7" i="7"/>
  <c r="T7" i="4"/>
  <c r="V8" i="3"/>
  <c r="S7" i="8"/>
  <c r="T4" i="29"/>
  <c r="T7" i="25"/>
  <c r="R28" i="7"/>
  <c r="R33" i="7" s="1"/>
  <c r="R18" i="7"/>
  <c r="U6" i="19" l="1"/>
  <c r="T6" i="4"/>
  <c r="U6" i="7"/>
  <c r="V7" i="3"/>
  <c r="T6" i="25"/>
  <c r="U35" i="3"/>
  <c r="U36" i="3" s="1"/>
  <c r="U38" i="3" s="1"/>
  <c r="S6" i="8"/>
  <c r="I33" i="18"/>
  <c r="H33" i="18"/>
  <c r="H34" i="18" s="1"/>
  <c r="C46" i="2" s="1"/>
  <c r="T41" i="7"/>
  <c r="T43" i="7"/>
  <c r="T47" i="7" s="1"/>
  <c r="T14" i="7"/>
  <c r="S18" i="7"/>
  <c r="S28" i="7"/>
  <c r="S33" i="7" s="1"/>
  <c r="V7" i="19"/>
  <c r="V7" i="7"/>
  <c r="U7" i="4"/>
  <c r="U7" i="25"/>
  <c r="T7" i="8"/>
  <c r="U4" i="29"/>
  <c r="W8" i="3"/>
  <c r="AE17" i="4"/>
  <c r="U11" i="4"/>
  <c r="U13" i="4" s="1"/>
  <c r="W41" i="3"/>
  <c r="D46" i="2" l="1"/>
  <c r="C50" i="2"/>
  <c r="B16" i="7"/>
  <c r="T28" i="7"/>
  <c r="T33" i="7" s="1"/>
  <c r="T18" i="7"/>
  <c r="V6" i="19"/>
  <c r="V6" i="7"/>
  <c r="U6" i="4"/>
  <c r="U6" i="25"/>
  <c r="W7" i="3"/>
  <c r="T6" i="8"/>
  <c r="V35" i="3"/>
  <c r="V36" i="3" s="1"/>
  <c r="V38" i="3" s="1"/>
  <c r="W7" i="19"/>
  <c r="W7" i="7"/>
  <c r="V7" i="4"/>
  <c r="V4" i="29"/>
  <c r="V7" i="25"/>
  <c r="U7" i="8"/>
  <c r="X8" i="3"/>
  <c r="V21" i="3"/>
  <c r="V11" i="4"/>
  <c r="V13" i="4" s="1"/>
  <c r="X41" i="3"/>
  <c r="U41" i="7"/>
  <c r="U43" i="7"/>
  <c r="U47" i="7" s="1"/>
  <c r="U14" i="7"/>
  <c r="AF17" i="4"/>
  <c r="G33" i="18"/>
  <c r="W11" i="4" l="1"/>
  <c r="W13" i="4" s="1"/>
  <c r="Y41" i="3"/>
  <c r="U28" i="7"/>
  <c r="U33" i="7" s="1"/>
  <c r="U18" i="7"/>
  <c r="W6" i="19"/>
  <c r="W6" i="7"/>
  <c r="V6" i="4"/>
  <c r="X7" i="3"/>
  <c r="V6" i="25"/>
  <c r="U6" i="8"/>
  <c r="W35" i="3"/>
  <c r="W36" i="3" s="1"/>
  <c r="W38" i="3" s="1"/>
  <c r="V14" i="7"/>
  <c r="V43" i="7"/>
  <c r="V47" i="7" s="1"/>
  <c r="V41" i="7"/>
  <c r="AG17" i="4"/>
  <c r="X7" i="19"/>
  <c r="X7" i="7"/>
  <c r="W7" i="4"/>
  <c r="W4" i="29"/>
  <c r="W7" i="25"/>
  <c r="Y8" i="3"/>
  <c r="V7" i="8"/>
  <c r="W21" i="3"/>
  <c r="C58" i="2"/>
  <c r="D50" i="2"/>
  <c r="B17" i="7"/>
  <c r="J16" i="7"/>
  <c r="R16" i="7"/>
  <c r="Z16" i="7"/>
  <c r="AH16" i="7"/>
  <c r="K16" i="7"/>
  <c r="S16" i="7"/>
  <c r="AA16" i="7"/>
  <c r="G16" i="7"/>
  <c r="O16" i="7"/>
  <c r="W16" i="7"/>
  <c r="AE16" i="7"/>
  <c r="H16" i="7"/>
  <c r="P16" i="7"/>
  <c r="X16" i="7"/>
  <c r="AF16" i="7"/>
  <c r="M16" i="7"/>
  <c r="AC16" i="7"/>
  <c r="B45" i="7"/>
  <c r="U45" i="7" s="1"/>
  <c r="N16" i="7"/>
  <c r="AD16" i="7"/>
  <c r="Q16" i="7"/>
  <c r="AG16" i="7"/>
  <c r="I16" i="7"/>
  <c r="Y16" i="7"/>
  <c r="L16" i="7"/>
  <c r="AB16" i="7"/>
  <c r="B31" i="7"/>
  <c r="D16" i="7"/>
  <c r="E16" i="7"/>
  <c r="F16" i="7"/>
  <c r="V16" i="7"/>
  <c r="U16" i="7"/>
  <c r="T16" i="7"/>
  <c r="J17" i="7" l="1"/>
  <c r="R17" i="7"/>
  <c r="R19" i="7" s="1"/>
  <c r="Z17" i="7"/>
  <c r="AH17" i="7"/>
  <c r="K17" i="7"/>
  <c r="S17" i="7"/>
  <c r="AA17" i="7"/>
  <c r="G17" i="7"/>
  <c r="O17" i="7"/>
  <c r="W17" i="7"/>
  <c r="AE17" i="7"/>
  <c r="H17" i="7"/>
  <c r="H19" i="7" s="1"/>
  <c r="P17" i="7"/>
  <c r="X17" i="7"/>
  <c r="AF17" i="7"/>
  <c r="M17" i="7"/>
  <c r="AC17" i="7"/>
  <c r="B46" i="7"/>
  <c r="N17" i="7"/>
  <c r="N19" i="7" s="1"/>
  <c r="AD17" i="7"/>
  <c r="Q17" i="7"/>
  <c r="AG17" i="7"/>
  <c r="I17" i="7"/>
  <c r="I19" i="7" s="1"/>
  <c r="Y17" i="7"/>
  <c r="L17" i="7"/>
  <c r="AB17" i="7"/>
  <c r="B32" i="7"/>
  <c r="B34" i="7" s="1"/>
  <c r="F17" i="7"/>
  <c r="T17" i="7"/>
  <c r="U17" i="7"/>
  <c r="D17" i="7"/>
  <c r="D19" i="7" s="1"/>
  <c r="E17" i="7"/>
  <c r="V17" i="7"/>
  <c r="V19" i="7" s="1"/>
  <c r="T19" i="7"/>
  <c r="L19" i="7"/>
  <c r="B19" i="7"/>
  <c r="Y7" i="7"/>
  <c r="Y7" i="19"/>
  <c r="X7" i="4"/>
  <c r="X7" i="25"/>
  <c r="X4" i="29"/>
  <c r="W7" i="8"/>
  <c r="Z8" i="3"/>
  <c r="V45" i="7"/>
  <c r="X6" i="19"/>
  <c r="X6" i="7"/>
  <c r="W6" i="4"/>
  <c r="Y21" i="3"/>
  <c r="W6" i="25"/>
  <c r="V6" i="8"/>
  <c r="Y7" i="3"/>
  <c r="X35" i="3"/>
  <c r="X36" i="3" s="1"/>
  <c r="X38" i="3" s="1"/>
  <c r="V18" i="7"/>
  <c r="V28" i="7"/>
  <c r="V33" i="7" s="1"/>
  <c r="U19" i="7"/>
  <c r="O19" i="7"/>
  <c r="J19" i="7"/>
  <c r="E19" i="7"/>
  <c r="B22" i="2"/>
  <c r="B27" i="2"/>
  <c r="B25" i="2"/>
  <c r="B28" i="2"/>
  <c r="B31" i="2"/>
  <c r="B43" i="2"/>
  <c r="B54" i="2"/>
  <c r="C12" i="2"/>
  <c r="C11" i="2" s="1"/>
  <c r="B26" i="2"/>
  <c r="B29" i="2"/>
  <c r="B37" i="2"/>
  <c r="B40" i="2"/>
  <c r="B44" i="2"/>
  <c r="B55" i="2"/>
  <c r="B24" i="2"/>
  <c r="B30" i="2"/>
  <c r="B32" i="2"/>
  <c r="B38" i="2"/>
  <c r="B41" i="2"/>
  <c r="B45" i="2"/>
  <c r="B23" i="2"/>
  <c r="D58" i="2"/>
  <c r="C62" i="2" s="1"/>
  <c r="B39" i="2"/>
  <c r="C18" i="19"/>
  <c r="C20" i="19" s="1"/>
  <c r="C25" i="19" s="1"/>
  <c r="B33" i="2"/>
  <c r="B47" i="2"/>
  <c r="B49" i="2"/>
  <c r="B42" i="2"/>
  <c r="B53" i="2"/>
  <c r="AG51" i="25"/>
  <c r="L51" i="25" s="1"/>
  <c r="B19" i="2"/>
  <c r="B20" i="2"/>
  <c r="B48" i="2"/>
  <c r="B21" i="2"/>
  <c r="B46" i="2"/>
  <c r="M19" i="7"/>
  <c r="W14" i="7"/>
  <c r="W43" i="7"/>
  <c r="W47" i="7" s="1"/>
  <c r="W41" i="7"/>
  <c r="W45" i="7" s="1"/>
  <c r="F19" i="7"/>
  <c r="Q19" i="7"/>
  <c r="P19" i="7"/>
  <c r="K19" i="7"/>
  <c r="D31" i="7"/>
  <c r="L31" i="7"/>
  <c r="T31" i="7"/>
  <c r="AB31" i="7"/>
  <c r="E31" i="7"/>
  <c r="M31" i="7"/>
  <c r="U31" i="7"/>
  <c r="AC31" i="7"/>
  <c r="F31" i="7"/>
  <c r="N31" i="7"/>
  <c r="V31" i="7"/>
  <c r="AD31" i="7"/>
  <c r="J31" i="7"/>
  <c r="R31" i="7"/>
  <c r="Z31" i="7"/>
  <c r="AH31" i="7"/>
  <c r="K31" i="7"/>
  <c r="S31" i="7"/>
  <c r="AA31" i="7"/>
  <c r="I31" i="7"/>
  <c r="AF31" i="7"/>
  <c r="O31" i="7"/>
  <c r="AG31" i="7"/>
  <c r="P31" i="7"/>
  <c r="X31" i="7"/>
  <c r="G31" i="7"/>
  <c r="Y31" i="7"/>
  <c r="Q31" i="7"/>
  <c r="H31" i="7"/>
  <c r="AE31" i="7"/>
  <c r="W31" i="7"/>
  <c r="X11" i="4"/>
  <c r="X13" i="4" s="1"/>
  <c r="Z41" i="3"/>
  <c r="G19" i="7"/>
  <c r="S19" i="7"/>
  <c r="B48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X21" i="3"/>
  <c r="B36" i="7" l="1"/>
  <c r="D11" i="2"/>
  <c r="H48" i="2"/>
  <c r="I41" i="19"/>
  <c r="Q41" i="19"/>
  <c r="Y41" i="19"/>
  <c r="AG41" i="19"/>
  <c r="H47" i="2"/>
  <c r="D41" i="19"/>
  <c r="L41" i="19"/>
  <c r="T41" i="19"/>
  <c r="AB41" i="19"/>
  <c r="E41" i="19"/>
  <c r="M41" i="19"/>
  <c r="U41" i="19"/>
  <c r="AC41" i="19"/>
  <c r="C14" i="2"/>
  <c r="B11" i="2" s="1"/>
  <c r="J41" i="19"/>
  <c r="F41" i="19"/>
  <c r="R41" i="19"/>
  <c r="AE41" i="19"/>
  <c r="G41" i="19"/>
  <c r="S41" i="19"/>
  <c r="AF41" i="19"/>
  <c r="H41" i="19"/>
  <c r="V41" i="19"/>
  <c r="AH41" i="19"/>
  <c r="Z41" i="19"/>
  <c r="C41" i="19"/>
  <c r="C43" i="19" s="1"/>
  <c r="AA41" i="19"/>
  <c r="K41" i="19"/>
  <c r="AD41" i="19"/>
  <c r="W41" i="19"/>
  <c r="X41" i="19"/>
  <c r="P41" i="19"/>
  <c r="O41" i="19"/>
  <c r="N41" i="19"/>
  <c r="B25" i="25"/>
  <c r="B42" i="25"/>
  <c r="B45" i="25" s="1"/>
  <c r="B56" i="25"/>
  <c r="B59" i="25" s="1"/>
  <c r="B36" i="25"/>
  <c r="B38" i="25" s="1"/>
  <c r="B49" i="25"/>
  <c r="B52" i="25" s="1"/>
  <c r="L48" i="7"/>
  <c r="K32" i="4" s="1"/>
  <c r="J11" i="8" s="1"/>
  <c r="N34" i="7"/>
  <c r="L12" i="8" s="1"/>
  <c r="Y11" i="4"/>
  <c r="Y13" i="4" s="1"/>
  <c r="AA41" i="3"/>
  <c r="B21" i="7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48" i="7"/>
  <c r="V32" i="4" s="1"/>
  <c r="U11" i="8" s="1"/>
  <c r="H34" i="7"/>
  <c r="F12" i="8" s="1"/>
  <c r="B50" i="2"/>
  <c r="Y6" i="19"/>
  <c r="X6" i="4"/>
  <c r="Y6" i="7"/>
  <c r="Z21" i="3"/>
  <c r="W6" i="8"/>
  <c r="X6" i="25"/>
  <c r="Y35" i="3"/>
  <c r="Y36" i="3" s="1"/>
  <c r="Y38" i="3" s="1"/>
  <c r="Z7" i="3"/>
  <c r="F48" i="7"/>
  <c r="E32" i="4" s="1"/>
  <c r="D11" i="8" s="1"/>
  <c r="S48" i="7"/>
  <c r="R32" i="4" s="1"/>
  <c r="Q11" i="8" s="1"/>
  <c r="P34" i="7"/>
  <c r="N12" i="8" s="1"/>
  <c r="X14" i="7"/>
  <c r="X43" i="7"/>
  <c r="X47" i="7" s="1"/>
  <c r="X41" i="7"/>
  <c r="X45" i="7" s="1"/>
  <c r="X48" i="7" s="1"/>
  <c r="W32" i="4" s="1"/>
  <c r="V11" i="8" s="1"/>
  <c r="K46" i="7"/>
  <c r="S46" i="7"/>
  <c r="AA46" i="7"/>
  <c r="L46" i="7"/>
  <c r="T46" i="7"/>
  <c r="AB46" i="7"/>
  <c r="E46" i="7"/>
  <c r="E48" i="7" s="1"/>
  <c r="D32" i="4" s="1"/>
  <c r="C11" i="8" s="1"/>
  <c r="M46" i="7"/>
  <c r="M48" i="7" s="1"/>
  <c r="L32" i="4" s="1"/>
  <c r="K11" i="8" s="1"/>
  <c r="U46" i="7"/>
  <c r="U48" i="7" s="1"/>
  <c r="T32" i="4" s="1"/>
  <c r="S11" i="8" s="1"/>
  <c r="AC46" i="7"/>
  <c r="Q46" i="7"/>
  <c r="Y46" i="7"/>
  <c r="AG46" i="7"/>
  <c r="J46" i="7"/>
  <c r="J48" i="7" s="1"/>
  <c r="I32" i="4" s="1"/>
  <c r="H11" i="8" s="1"/>
  <c r="R46" i="7"/>
  <c r="Z46" i="7"/>
  <c r="AH46" i="7"/>
  <c r="AD46" i="7"/>
  <c r="V46" i="7"/>
  <c r="W46" i="7"/>
  <c r="AF46" i="7"/>
  <c r="O46" i="7"/>
  <c r="O48" i="7" s="1"/>
  <c r="N32" i="4" s="1"/>
  <c r="M11" i="8" s="1"/>
  <c r="N46" i="7"/>
  <c r="N48" i="7" s="1"/>
  <c r="M32" i="4" s="1"/>
  <c r="L11" i="8" s="1"/>
  <c r="P46" i="7"/>
  <c r="P48" i="7" s="1"/>
  <c r="O32" i="4" s="1"/>
  <c r="N11" i="8" s="1"/>
  <c r="G46" i="7"/>
  <c r="G48" i="7" s="1"/>
  <c r="F32" i="4" s="1"/>
  <c r="E11" i="8" s="1"/>
  <c r="F46" i="7"/>
  <c r="AE46" i="7"/>
  <c r="X46" i="7"/>
  <c r="H46" i="7"/>
  <c r="H48" i="7" s="1"/>
  <c r="G32" i="4" s="1"/>
  <c r="F11" i="8" s="1"/>
  <c r="D46" i="7"/>
  <c r="D48" i="7" s="1"/>
  <c r="I46" i="7"/>
  <c r="R48" i="7"/>
  <c r="Q32" i="4" s="1"/>
  <c r="P11" i="8" s="1"/>
  <c r="W18" i="7"/>
  <c r="W19" i="7" s="1"/>
  <c r="W28" i="7"/>
  <c r="W33" i="7" s="1"/>
  <c r="B56" i="2"/>
  <c r="D12" i="2"/>
  <c r="C34" i="19"/>
  <c r="C37" i="19" s="1"/>
  <c r="B19" i="6"/>
  <c r="L32" i="7"/>
  <c r="L34" i="7" s="1"/>
  <c r="J12" i="8" s="1"/>
  <c r="T32" i="7"/>
  <c r="T34" i="7" s="1"/>
  <c r="R12" i="8" s="1"/>
  <c r="AB32" i="7"/>
  <c r="E32" i="7"/>
  <c r="E34" i="7" s="1"/>
  <c r="C12" i="8" s="1"/>
  <c r="M32" i="7"/>
  <c r="M34" i="7" s="1"/>
  <c r="K12" i="8" s="1"/>
  <c r="U32" i="7"/>
  <c r="AC32" i="7"/>
  <c r="F32" i="7"/>
  <c r="N32" i="7"/>
  <c r="V32" i="7"/>
  <c r="V34" i="7" s="1"/>
  <c r="T12" i="8" s="1"/>
  <c r="AD32" i="7"/>
  <c r="J32" i="7"/>
  <c r="J34" i="7" s="1"/>
  <c r="H12" i="8" s="1"/>
  <c r="R32" i="7"/>
  <c r="R34" i="7" s="1"/>
  <c r="P12" i="8" s="1"/>
  <c r="Z32" i="7"/>
  <c r="AH32" i="7"/>
  <c r="K32" i="7"/>
  <c r="K34" i="7" s="1"/>
  <c r="I12" i="8" s="1"/>
  <c r="S32" i="7"/>
  <c r="AA32" i="7"/>
  <c r="W32" i="7"/>
  <c r="W34" i="7" s="1"/>
  <c r="U12" i="8" s="1"/>
  <c r="G32" i="7"/>
  <c r="G34" i="7" s="1"/>
  <c r="E12" i="8" s="1"/>
  <c r="O32" i="7"/>
  <c r="P32" i="7"/>
  <c r="AE32" i="7"/>
  <c r="AF32" i="7"/>
  <c r="X32" i="7"/>
  <c r="AG32" i="7"/>
  <c r="Q32" i="7"/>
  <c r="Q34" i="7" s="1"/>
  <c r="O12" i="8" s="1"/>
  <c r="Y32" i="7"/>
  <c r="H32" i="7"/>
  <c r="D32" i="7"/>
  <c r="I32" i="7"/>
  <c r="I34" i="7" s="1"/>
  <c r="G12" i="8" s="1"/>
  <c r="K48" i="7"/>
  <c r="J32" i="4" s="1"/>
  <c r="I11" i="8" s="1"/>
  <c r="F34" i="7"/>
  <c r="D12" i="8" s="1"/>
  <c r="Q48" i="7"/>
  <c r="P32" i="4" s="1"/>
  <c r="O11" i="8" s="1"/>
  <c r="I48" i="7"/>
  <c r="H32" i="4" s="1"/>
  <c r="G11" i="8" s="1"/>
  <c r="O34" i="7"/>
  <c r="M12" i="8" s="1"/>
  <c r="U34" i="7"/>
  <c r="S12" i="8" s="1"/>
  <c r="V48" i="7"/>
  <c r="U32" i="4" s="1"/>
  <c r="T11" i="8" s="1"/>
  <c r="T48" i="7"/>
  <c r="S32" i="4" s="1"/>
  <c r="R11" i="8" s="1"/>
  <c r="S34" i="7"/>
  <c r="Q12" i="8" s="1"/>
  <c r="B34" i="2"/>
  <c r="F18" i="19"/>
  <c r="N18" i="19"/>
  <c r="V18" i="19"/>
  <c r="AD18" i="19"/>
  <c r="I18" i="19"/>
  <c r="Q18" i="19"/>
  <c r="Y18" i="19"/>
  <c r="AG18" i="19"/>
  <c r="J18" i="19"/>
  <c r="R18" i="19"/>
  <c r="Z18" i="19"/>
  <c r="AH18" i="19"/>
  <c r="G18" i="19"/>
  <c r="T18" i="19"/>
  <c r="AF18" i="19"/>
  <c r="K18" i="19"/>
  <c r="W18" i="19"/>
  <c r="O18" i="19"/>
  <c r="AB18" i="19"/>
  <c r="D18" i="19"/>
  <c r="P18" i="19"/>
  <c r="AC18" i="19"/>
  <c r="E18" i="19"/>
  <c r="S18" i="19"/>
  <c r="AE18" i="19"/>
  <c r="U18" i="19"/>
  <c r="X18" i="19"/>
  <c r="AA18" i="19"/>
  <c r="L18" i="19"/>
  <c r="M18" i="19"/>
  <c r="H18" i="19"/>
  <c r="B50" i="7"/>
  <c r="D34" i="7"/>
  <c r="B12" i="8" s="1"/>
  <c r="Z7" i="19"/>
  <c r="Z7" i="7"/>
  <c r="Y7" i="4"/>
  <c r="Y4" i="29"/>
  <c r="AA8" i="3"/>
  <c r="Y7" i="25"/>
  <c r="X7" i="8"/>
  <c r="G19" i="19" l="1"/>
  <c r="O19" i="19"/>
  <c r="O20" i="19" s="1"/>
  <c r="O25" i="19" s="1"/>
  <c r="W19" i="19"/>
  <c r="W20" i="19" s="1"/>
  <c r="W25" i="19" s="1"/>
  <c r="J19" i="19"/>
  <c r="R19" i="19"/>
  <c r="R20" i="19" s="1"/>
  <c r="R25" i="19" s="1"/>
  <c r="K19" i="19"/>
  <c r="S19" i="19"/>
  <c r="S20" i="19" s="1"/>
  <c r="S25" i="19" s="1"/>
  <c r="N19" i="19"/>
  <c r="E19" i="19"/>
  <c r="Q19" i="19"/>
  <c r="I19" i="19"/>
  <c r="I20" i="19" s="1"/>
  <c r="I25" i="19" s="1"/>
  <c r="V19" i="19"/>
  <c r="V20" i="19" s="1"/>
  <c r="V25" i="19" s="1"/>
  <c r="L19" i="19"/>
  <c r="L20" i="19" s="1"/>
  <c r="L25" i="19" s="1"/>
  <c r="X19" i="19"/>
  <c r="M19" i="19"/>
  <c r="U19" i="19"/>
  <c r="P19" i="19"/>
  <c r="P20" i="19" s="1"/>
  <c r="P25" i="19" s="1"/>
  <c r="T19" i="19"/>
  <c r="T20" i="19" s="1"/>
  <c r="T25" i="19" s="1"/>
  <c r="H19" i="19"/>
  <c r="C32" i="4"/>
  <c r="B11" i="8" s="1"/>
  <c r="D19" i="19"/>
  <c r="F19" i="19"/>
  <c r="D50" i="7"/>
  <c r="AA7" i="19"/>
  <c r="Z7" i="4"/>
  <c r="Z4" i="29"/>
  <c r="AB8" i="3"/>
  <c r="AA7" i="7"/>
  <c r="Y7" i="8"/>
  <c r="Z7" i="25"/>
  <c r="Z11" i="4"/>
  <c r="Z13" i="4" s="1"/>
  <c r="AB41" i="3"/>
  <c r="X28" i="7"/>
  <c r="X33" i="7" s="1"/>
  <c r="X34" i="7" s="1"/>
  <c r="V12" i="8" s="1"/>
  <c r="X18" i="7"/>
  <c r="X19" i="7" s="1"/>
  <c r="Y14" i="7"/>
  <c r="Y41" i="7"/>
  <c r="Y45" i="7" s="1"/>
  <c r="Y43" i="7"/>
  <c r="Y47" i="7" s="1"/>
  <c r="D20" i="19"/>
  <c r="D25" i="19" s="1"/>
  <c r="U20" i="19"/>
  <c r="U25" i="19" s="1"/>
  <c r="N20" i="19"/>
  <c r="N25" i="19" s="1"/>
  <c r="Z6" i="19"/>
  <c r="Z6" i="7"/>
  <c r="Y6" i="4"/>
  <c r="AA7" i="3"/>
  <c r="Z35" i="3"/>
  <c r="Z36" i="3" s="1"/>
  <c r="Z38" i="3" s="1"/>
  <c r="AA21" i="3"/>
  <c r="X6" i="8"/>
  <c r="Y6" i="25"/>
  <c r="B58" i="2"/>
  <c r="M20" i="19"/>
  <c r="M25" i="19" s="1"/>
  <c r="Q20" i="19"/>
  <c r="Q25" i="19" s="1"/>
  <c r="G20" i="19"/>
  <c r="G25" i="19" s="1"/>
  <c r="J20" i="19"/>
  <c r="J25" i="19" s="1"/>
  <c r="F20" i="19"/>
  <c r="F25" i="19" s="1"/>
  <c r="E20" i="19"/>
  <c r="E25" i="19" s="1"/>
  <c r="D14" i="2"/>
  <c r="B14" i="2"/>
  <c r="W21" i="7"/>
  <c r="X21" i="7" s="1"/>
  <c r="G32" i="2"/>
  <c r="B33" i="6"/>
  <c r="E67" i="6"/>
  <c r="C26" i="25"/>
  <c r="B29" i="25"/>
  <c r="C25" i="25" s="1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H20" i="19"/>
  <c r="H25" i="19" s="1"/>
  <c r="K20" i="19"/>
  <c r="K25" i="19" s="1"/>
  <c r="X20" i="19"/>
  <c r="X25" i="19" s="1"/>
  <c r="C45" i="19"/>
  <c r="C47" i="19" s="1"/>
  <c r="Y18" i="7" l="1"/>
  <c r="Y19" i="7" s="1"/>
  <c r="Y28" i="7"/>
  <c r="Y33" i="7" s="1"/>
  <c r="Y34" i="7" s="1"/>
  <c r="W12" i="8" s="1"/>
  <c r="AA6" i="19"/>
  <c r="AA6" i="7"/>
  <c r="AA35" i="3"/>
  <c r="AA36" i="3" s="1"/>
  <c r="AA38" i="3" s="1"/>
  <c r="Z6" i="4"/>
  <c r="AB7" i="3"/>
  <c r="Y6" i="8"/>
  <c r="Z6" i="25"/>
  <c r="Z14" i="7"/>
  <c r="Z41" i="7"/>
  <c r="Z45" i="7" s="1"/>
  <c r="Z43" i="7"/>
  <c r="Z47" i="7" s="1"/>
  <c r="AA11" i="4"/>
  <c r="AA13" i="4" s="1"/>
  <c r="AC41" i="3"/>
  <c r="E50" i="7"/>
  <c r="C22" i="4"/>
  <c r="Y21" i="7"/>
  <c r="Y36" i="7"/>
  <c r="B36" i="6"/>
  <c r="AB7" i="19"/>
  <c r="AB7" i="7"/>
  <c r="AA4" i="29"/>
  <c r="AC8" i="3"/>
  <c r="AA7" i="4"/>
  <c r="Z7" i="8"/>
  <c r="AA7" i="25"/>
  <c r="Y48" i="7"/>
  <c r="AB6" i="7" l="1"/>
  <c r="AA6" i="4"/>
  <c r="AB6" i="19"/>
  <c r="AC7" i="3"/>
  <c r="AC21" i="3" s="1"/>
  <c r="AB35" i="3"/>
  <c r="AB36" i="3" s="1"/>
  <c r="AB38" i="3" s="1"/>
  <c r="AA6" i="25"/>
  <c r="Z6" i="8"/>
  <c r="N31" i="2"/>
  <c r="O31" i="2" s="1"/>
  <c r="C28" i="4"/>
  <c r="C30" i="4" s="1"/>
  <c r="D22" i="4"/>
  <c r="D28" i="4" s="1"/>
  <c r="D30" i="4" s="1"/>
  <c r="F50" i="7"/>
  <c r="AB21" i="3"/>
  <c r="X32" i="4"/>
  <c r="W11" i="8" s="1"/>
  <c r="Z19" i="19"/>
  <c r="Z20" i="19" s="1"/>
  <c r="Z25" i="19" s="1"/>
  <c r="Y19" i="19"/>
  <c r="Y20" i="19" s="1"/>
  <c r="Y25" i="19" s="1"/>
  <c r="AC7" i="19"/>
  <c r="AC7" i="7"/>
  <c r="AB7" i="4"/>
  <c r="AD8" i="3"/>
  <c r="AB4" i="29"/>
  <c r="AB7" i="25"/>
  <c r="AA7" i="8"/>
  <c r="B49" i="6"/>
  <c r="C12" i="25"/>
  <c r="AB11" i="4"/>
  <c r="AB13" i="4" s="1"/>
  <c r="AD41" i="3"/>
  <c r="Z48" i="7"/>
  <c r="Y32" i="4" s="1"/>
  <c r="X11" i="8" s="1"/>
  <c r="AA14" i="7"/>
  <c r="AA41" i="7"/>
  <c r="AA45" i="7" s="1"/>
  <c r="AA48" i="7" s="1"/>
  <c r="Z32" i="4" s="1"/>
  <c r="Y11" i="8" s="1"/>
  <c r="AA43" i="7"/>
  <c r="AA47" i="7" s="1"/>
  <c r="Z18" i="7"/>
  <c r="Z19" i="7" s="1"/>
  <c r="Z21" i="7" s="1"/>
  <c r="Z28" i="7"/>
  <c r="Z33" i="7" s="1"/>
  <c r="Z34" i="7" s="1"/>
  <c r="X12" i="8" s="1"/>
  <c r="AA21" i="7" l="1"/>
  <c r="Z36" i="7"/>
  <c r="AA18" i="7"/>
  <c r="AA19" i="7" s="1"/>
  <c r="AA28" i="7"/>
  <c r="AA33" i="7" s="1"/>
  <c r="AA34" i="7" s="1"/>
  <c r="Y12" i="8" s="1"/>
  <c r="AA19" i="19"/>
  <c r="AA20" i="19" s="1"/>
  <c r="AA25" i="19" s="1"/>
  <c r="AC6" i="19"/>
  <c r="AC6" i="7"/>
  <c r="AB6" i="4"/>
  <c r="AD7" i="3"/>
  <c r="AD21" i="3" s="1"/>
  <c r="AB6" i="25"/>
  <c r="AA6" i="8"/>
  <c r="AC35" i="3"/>
  <c r="AC36" i="3" s="1"/>
  <c r="AC38" i="3" s="1"/>
  <c r="B74" i="2"/>
  <c r="C34" i="4"/>
  <c r="C11" i="25"/>
  <c r="C13" i="25" s="1"/>
  <c r="B38" i="6"/>
  <c r="AC11" i="4"/>
  <c r="AC13" i="4" s="1"/>
  <c r="AE41" i="3"/>
  <c r="AD7" i="19"/>
  <c r="AC7" i="4"/>
  <c r="AD7" i="7"/>
  <c r="AE8" i="3"/>
  <c r="AC4" i="29"/>
  <c r="AB7" i="8"/>
  <c r="AC7" i="25"/>
  <c r="E22" i="4"/>
  <c r="E28" i="4" s="1"/>
  <c r="E30" i="4" s="1"/>
  <c r="G50" i="7"/>
  <c r="C74" i="2"/>
  <c r="D34" i="4"/>
  <c r="D11" i="25"/>
  <c r="C38" i="6"/>
  <c r="C29" i="6"/>
  <c r="AB41" i="7"/>
  <c r="AB45" i="7" s="1"/>
  <c r="AB43" i="7"/>
  <c r="AB47" i="7" s="1"/>
  <c r="AB14" i="7"/>
  <c r="AE7" i="19" l="1"/>
  <c r="AD4" i="29"/>
  <c r="AE7" i="7"/>
  <c r="AD7" i="4"/>
  <c r="AF8" i="3"/>
  <c r="AD7" i="25"/>
  <c r="AC7" i="8"/>
  <c r="B76" i="2"/>
  <c r="F22" i="4"/>
  <c r="F28" i="4" s="1"/>
  <c r="F30" i="4" s="1"/>
  <c r="H50" i="7"/>
  <c r="AB28" i="7"/>
  <c r="AB33" i="7" s="1"/>
  <c r="AB34" i="7" s="1"/>
  <c r="Z12" i="8" s="1"/>
  <c r="AB18" i="7"/>
  <c r="AB19" i="7" s="1"/>
  <c r="AB21" i="7" s="1"/>
  <c r="AD6" i="19"/>
  <c r="AD6" i="7"/>
  <c r="AC6" i="4"/>
  <c r="AE7" i="3"/>
  <c r="AE21" i="3"/>
  <c r="AC6" i="25"/>
  <c r="AD35" i="3"/>
  <c r="AD36" i="3" s="1"/>
  <c r="AD38" i="3" s="1"/>
  <c r="AB6" i="8"/>
  <c r="D74" i="2"/>
  <c r="D38" i="6"/>
  <c r="E34" i="4"/>
  <c r="E11" i="25"/>
  <c r="D29" i="6"/>
  <c r="D11" i="6" s="1"/>
  <c r="D13" i="6" s="1"/>
  <c r="AD11" i="4"/>
  <c r="AD13" i="4" s="1"/>
  <c r="AF41" i="3"/>
  <c r="AC14" i="7"/>
  <c r="AC41" i="7"/>
  <c r="AC45" i="7" s="1"/>
  <c r="AC48" i="7" s="1"/>
  <c r="AB32" i="4" s="1"/>
  <c r="AA11" i="8" s="1"/>
  <c r="AC43" i="7"/>
  <c r="AC47" i="7" s="1"/>
  <c r="AA36" i="7"/>
  <c r="AB36" i="7" s="1"/>
  <c r="AB48" i="7"/>
  <c r="C11" i="6"/>
  <c r="C13" i="6" s="1"/>
  <c r="B11" i="6"/>
  <c r="B13" i="6" s="1"/>
  <c r="B37" i="6" s="1"/>
  <c r="AC21" i="7" l="1"/>
  <c r="AC28" i="7"/>
  <c r="AC33" i="7" s="1"/>
  <c r="AC34" i="7" s="1"/>
  <c r="AA12" i="8" s="1"/>
  <c r="AC18" i="7"/>
  <c r="AC19" i="7" s="1"/>
  <c r="AE11" i="4"/>
  <c r="AE13" i="4" s="1"/>
  <c r="AG41" i="3"/>
  <c r="B42" i="6"/>
  <c r="B35" i="6"/>
  <c r="I50" i="7"/>
  <c r="G22" i="4"/>
  <c r="G28" i="4" s="1"/>
  <c r="G30" i="4" s="1"/>
  <c r="AF7" i="19"/>
  <c r="AE7" i="4"/>
  <c r="AF7" i="7"/>
  <c r="AG8" i="3"/>
  <c r="AE4" i="29"/>
  <c r="AD7" i="8"/>
  <c r="AE7" i="25"/>
  <c r="E38" i="6"/>
  <c r="F34" i="4"/>
  <c r="F11" i="25"/>
  <c r="E29" i="6"/>
  <c r="E11" i="6" s="1"/>
  <c r="E13" i="6" s="1"/>
  <c r="AE6" i="19"/>
  <c r="AE6" i="7"/>
  <c r="AD6" i="4"/>
  <c r="AF21" i="3"/>
  <c r="AE35" i="3"/>
  <c r="AE36" i="3" s="1"/>
  <c r="AE38" i="3" s="1"/>
  <c r="AC6" i="8"/>
  <c r="AD6" i="25"/>
  <c r="AF7" i="3"/>
  <c r="AA32" i="4"/>
  <c r="Z11" i="8" s="1"/>
  <c r="AB19" i="19"/>
  <c r="AB20" i="19" s="1"/>
  <c r="AB25" i="19" s="1"/>
  <c r="AC19" i="19"/>
  <c r="AC20" i="19" s="1"/>
  <c r="AC25" i="19" s="1"/>
  <c r="AC36" i="7"/>
  <c r="AD14" i="7"/>
  <c r="AD43" i="7"/>
  <c r="AD47" i="7" s="1"/>
  <c r="AD41" i="7"/>
  <c r="AD45" i="7" s="1"/>
  <c r="AD48" i="7" s="1"/>
  <c r="AC32" i="4" s="1"/>
  <c r="AB11" i="8" s="1"/>
  <c r="B56" i="6" l="1"/>
  <c r="B48" i="6"/>
  <c r="AF6" i="19"/>
  <c r="AF6" i="7"/>
  <c r="AE6" i="4"/>
  <c r="AG7" i="3"/>
  <c r="AG21" i="3" s="1"/>
  <c r="AE6" i="25"/>
  <c r="AF35" i="3"/>
  <c r="AF36" i="3" s="1"/>
  <c r="AF38" i="3" s="1"/>
  <c r="AD6" i="8"/>
  <c r="AG7" i="7"/>
  <c r="AG7" i="19"/>
  <c r="AF7" i="4"/>
  <c r="AF7" i="25"/>
  <c r="AH8" i="3"/>
  <c r="AF4" i="29"/>
  <c r="AE7" i="8"/>
  <c r="B44" i="6"/>
  <c r="B45" i="6"/>
  <c r="C24" i="6" s="1"/>
  <c r="AF11" i="4"/>
  <c r="AF13" i="4" s="1"/>
  <c r="AH41" i="3"/>
  <c r="AG11" i="4" s="1"/>
  <c r="AG13" i="4" s="1"/>
  <c r="B39" i="6"/>
  <c r="G34" i="4"/>
  <c r="G11" i="25"/>
  <c r="F38" i="6"/>
  <c r="F29" i="6"/>
  <c r="AD19" i="19"/>
  <c r="AD20" i="19" s="1"/>
  <c r="AD25" i="19" s="1"/>
  <c r="AD28" i="7"/>
  <c r="AD33" i="7" s="1"/>
  <c r="AD34" i="7" s="1"/>
  <c r="AB12" i="8" s="1"/>
  <c r="AD18" i="7"/>
  <c r="AD19" i="7" s="1"/>
  <c r="J50" i="7"/>
  <c r="H22" i="4"/>
  <c r="H28" i="4" s="1"/>
  <c r="H30" i="4" s="1"/>
  <c r="AE14" i="7"/>
  <c r="AE43" i="7"/>
  <c r="AE47" i="7" s="1"/>
  <c r="AE41" i="7"/>
  <c r="AE45" i="7" s="1"/>
  <c r="AE48" i="7" s="1"/>
  <c r="AD32" i="4" s="1"/>
  <c r="AC11" i="8" s="1"/>
  <c r="AD21" i="7"/>
  <c r="AF14" i="7" l="1"/>
  <c r="AF41" i="7"/>
  <c r="AF45" i="7" s="1"/>
  <c r="AF43" i="7"/>
  <c r="AF47" i="7" s="1"/>
  <c r="C27" i="6"/>
  <c r="C28" i="6"/>
  <c r="C26" i="6" s="1"/>
  <c r="H34" i="4"/>
  <c r="H11" i="25"/>
  <c r="G38" i="6"/>
  <c r="G29" i="6"/>
  <c r="G11" i="6" s="1"/>
  <c r="G13" i="6" s="1"/>
  <c r="K50" i="7"/>
  <c r="I22" i="4"/>
  <c r="I28" i="4" s="1"/>
  <c r="I30" i="4" s="1"/>
  <c r="AE19" i="19"/>
  <c r="AE20" i="19" s="1"/>
  <c r="AE25" i="19" s="1"/>
  <c r="B50" i="6"/>
  <c r="B52" i="6" s="1"/>
  <c r="C16" i="25"/>
  <c r="AE18" i="7"/>
  <c r="AE19" i="7" s="1"/>
  <c r="AE21" i="7" s="1"/>
  <c r="AE28" i="7"/>
  <c r="AE33" i="7" s="1"/>
  <c r="AE34" i="7" s="1"/>
  <c r="AC12" i="8" s="1"/>
  <c r="AD36" i="7"/>
  <c r="F11" i="6"/>
  <c r="F13" i="6" s="1"/>
  <c r="AH7" i="19"/>
  <c r="AH7" i="7"/>
  <c r="AG7" i="4"/>
  <c r="AG7" i="25"/>
  <c r="AF7" i="8"/>
  <c r="B58" i="6"/>
  <c r="B57" i="6"/>
  <c r="C36" i="4" s="1"/>
  <c r="C38" i="4" s="1"/>
  <c r="AG6" i="19"/>
  <c r="AG6" i="7"/>
  <c r="AF6" i="4"/>
  <c r="AF6" i="25"/>
  <c r="AE6" i="8"/>
  <c r="AH7" i="3"/>
  <c r="AG35" i="3"/>
  <c r="AG36" i="3" s="1"/>
  <c r="AG38" i="3" s="1"/>
  <c r="AF21" i="7" l="1"/>
  <c r="AH6" i="19"/>
  <c r="AH6" i="7"/>
  <c r="AG6" i="4"/>
  <c r="AH35" i="3"/>
  <c r="AH36" i="3" s="1"/>
  <c r="AH38" i="3" s="1"/>
  <c r="AG6" i="25"/>
  <c r="AF6" i="8"/>
  <c r="AH21" i="3"/>
  <c r="C40" i="4"/>
  <c r="C41" i="4" s="1"/>
  <c r="C43" i="4" s="1"/>
  <c r="B10" i="8"/>
  <c r="B13" i="8" s="1"/>
  <c r="AE36" i="7"/>
  <c r="AF36" i="7" s="1"/>
  <c r="I34" i="4"/>
  <c r="I11" i="25"/>
  <c r="H38" i="6"/>
  <c r="H29" i="6"/>
  <c r="H11" i="6" s="1"/>
  <c r="H13" i="6" s="1"/>
  <c r="AG14" i="7"/>
  <c r="AG41" i="7"/>
  <c r="AG45" i="7" s="1"/>
  <c r="AG43" i="7"/>
  <c r="AG47" i="7" s="1"/>
  <c r="AF48" i="7"/>
  <c r="C30" i="6"/>
  <c r="C33" i="6"/>
  <c r="L50" i="7"/>
  <c r="J22" i="4"/>
  <c r="J28" i="4" s="1"/>
  <c r="J30" i="4" s="1"/>
  <c r="AF28" i="7"/>
  <c r="AF33" i="7" s="1"/>
  <c r="AF34" i="7" s="1"/>
  <c r="AD12" i="8" s="1"/>
  <c r="AF18" i="7"/>
  <c r="AF19" i="7" s="1"/>
  <c r="D42" i="19" l="1"/>
  <c r="D43" i="19" s="1"/>
  <c r="B75" i="2"/>
  <c r="AG36" i="7"/>
  <c r="AG18" i="7"/>
  <c r="AG19" i="7" s="1"/>
  <c r="AG21" i="7" s="1"/>
  <c r="AG28" i="7"/>
  <c r="AG33" i="7" s="1"/>
  <c r="AG34" i="7" s="1"/>
  <c r="AE12" i="8" s="1"/>
  <c r="M50" i="7"/>
  <c r="K22" i="4"/>
  <c r="K28" i="4" s="1"/>
  <c r="K30" i="4" s="1"/>
  <c r="B28" i="8"/>
  <c r="B16" i="8"/>
  <c r="C36" i="6"/>
  <c r="C37" i="6" s="1"/>
  <c r="AG48" i="7"/>
  <c r="J34" i="4"/>
  <c r="J11" i="25"/>
  <c r="I38" i="6"/>
  <c r="I29" i="6"/>
  <c r="I11" i="6" s="1"/>
  <c r="I13" i="6" s="1"/>
  <c r="AH14" i="7"/>
  <c r="AH41" i="7"/>
  <c r="AH45" i="7" s="1"/>
  <c r="AH43" i="7"/>
  <c r="AH47" i="7" s="1"/>
  <c r="AE32" i="4"/>
  <c r="AD11" i="8" s="1"/>
  <c r="AF19" i="19"/>
  <c r="AF20" i="19" s="1"/>
  <c r="AF25" i="19" s="1"/>
  <c r="AH21" i="7" l="1"/>
  <c r="C42" i="6"/>
  <c r="C35" i="6"/>
  <c r="N50" i="7"/>
  <c r="L22" i="4"/>
  <c r="L28" i="4" s="1"/>
  <c r="L30" i="4" s="1"/>
  <c r="AH48" i="7"/>
  <c r="AF32" i="4"/>
  <c r="AE11" i="8" s="1"/>
  <c r="AG19" i="19"/>
  <c r="AG20" i="19" s="1"/>
  <c r="AG25" i="19" s="1"/>
  <c r="AH28" i="7"/>
  <c r="AH33" i="7" s="1"/>
  <c r="AH34" i="7" s="1"/>
  <c r="AF12" i="8" s="1"/>
  <c r="AH18" i="7"/>
  <c r="AH19" i="7" s="1"/>
  <c r="K34" i="4"/>
  <c r="K11" i="25"/>
  <c r="J38" i="6"/>
  <c r="J29" i="6"/>
  <c r="J11" i="6" s="1"/>
  <c r="J13" i="6" s="1"/>
  <c r="D12" i="25"/>
  <c r="D13" i="25" s="1"/>
  <c r="C49" i="6"/>
  <c r="AH36" i="7"/>
  <c r="B19" i="8"/>
  <c r="B21" i="8"/>
  <c r="B24" i="8" s="1"/>
  <c r="B29" i="8" l="1"/>
  <c r="B30" i="8" s="1"/>
  <c r="L34" i="4"/>
  <c r="L11" i="25"/>
  <c r="L44" i="25"/>
  <c r="K29" i="6"/>
  <c r="K38" i="6"/>
  <c r="B22" i="8"/>
  <c r="C18" i="8" s="1"/>
  <c r="O50" i="7"/>
  <c r="M22" i="4"/>
  <c r="M28" i="4" s="1"/>
  <c r="M30" i="4" s="1"/>
  <c r="C56" i="6"/>
  <c r="C48" i="6"/>
  <c r="C44" i="6"/>
  <c r="C45" i="6"/>
  <c r="D24" i="6" s="1"/>
  <c r="C76" i="2"/>
  <c r="AG32" i="4"/>
  <c r="AF11" i="8" s="1"/>
  <c r="AH19" i="19"/>
  <c r="AH20" i="19" s="1"/>
  <c r="AH25" i="19" s="1"/>
  <c r="C39" i="6"/>
  <c r="D27" i="6" l="1"/>
  <c r="C57" i="6"/>
  <c r="D36" i="4" s="1"/>
  <c r="D38" i="4" s="1"/>
  <c r="C50" i="6"/>
  <c r="C52" i="6" s="1"/>
  <c r="D16" i="25"/>
  <c r="K11" i="6"/>
  <c r="K13" i="6" s="1"/>
  <c r="L38" i="6"/>
  <c r="M34" i="4"/>
  <c r="M11" i="25"/>
  <c r="L29" i="6"/>
  <c r="L11" i="6" s="1"/>
  <c r="L13" i="6" s="1"/>
  <c r="P50" i="7"/>
  <c r="N22" i="4"/>
  <c r="N28" i="4" s="1"/>
  <c r="N30" i="4" s="1"/>
  <c r="B33" i="8"/>
  <c r="B38" i="8" l="1"/>
  <c r="B41" i="8" s="1"/>
  <c r="C15" i="25" s="1"/>
  <c r="B36" i="8"/>
  <c r="D40" i="4"/>
  <c r="D41" i="4" s="1"/>
  <c r="C10" i="8"/>
  <c r="C13" i="8" s="1"/>
  <c r="M38" i="6"/>
  <c r="M29" i="6"/>
  <c r="M11" i="6" s="1"/>
  <c r="M13" i="6" s="1"/>
  <c r="N34" i="4"/>
  <c r="N11" i="25"/>
  <c r="Q50" i="7"/>
  <c r="O22" i="4"/>
  <c r="O28" i="4" s="1"/>
  <c r="O30" i="4" s="1"/>
  <c r="C58" i="6"/>
  <c r="D28" i="6"/>
  <c r="R50" i="7" l="1"/>
  <c r="P22" i="4"/>
  <c r="P28" i="4" s="1"/>
  <c r="P30" i="4" s="1"/>
  <c r="D43" i="4"/>
  <c r="C16" i="8"/>
  <c r="C28" i="8"/>
  <c r="D32" i="19"/>
  <c r="C18" i="25"/>
  <c r="C21" i="25" s="1"/>
  <c r="D33" i="6"/>
  <c r="D26" i="6"/>
  <c r="D30" i="6" s="1"/>
  <c r="B39" i="8"/>
  <c r="C35" i="8" s="1"/>
  <c r="O11" i="25"/>
  <c r="O34" i="4"/>
  <c r="N29" i="6"/>
  <c r="N11" i="6" s="1"/>
  <c r="N13" i="6" s="1"/>
  <c r="N38" i="6"/>
  <c r="B77" i="2" l="1"/>
  <c r="C27" i="25"/>
  <c r="C28" i="25" s="1"/>
  <c r="C29" i="25" s="1"/>
  <c r="D25" i="25" s="1"/>
  <c r="C37" i="25"/>
  <c r="C38" i="25" s="1"/>
  <c r="C43" i="25"/>
  <c r="C45" i="25" s="1"/>
  <c r="C50" i="25"/>
  <c r="C52" i="25" s="1"/>
  <c r="C57" i="25"/>
  <c r="C59" i="25" s="1"/>
  <c r="D37" i="19"/>
  <c r="D45" i="19" s="1"/>
  <c r="D47" i="19" s="1"/>
  <c r="Q22" i="4"/>
  <c r="Q28" i="4" s="1"/>
  <c r="Q30" i="4" s="1"/>
  <c r="S50" i="7"/>
  <c r="C19" i="8"/>
  <c r="C21" i="8"/>
  <c r="C75" i="2"/>
  <c r="E42" i="19"/>
  <c r="E43" i="19" s="1"/>
  <c r="D36" i="6"/>
  <c r="O38" i="6"/>
  <c r="P34" i="4"/>
  <c r="P11" i="25"/>
  <c r="O29" i="6"/>
  <c r="C24" i="8" l="1"/>
  <c r="C22" i="8"/>
  <c r="D18" i="8" s="1"/>
  <c r="E12" i="25"/>
  <c r="E13" i="25" s="1"/>
  <c r="D49" i="6"/>
  <c r="D37" i="6"/>
  <c r="T50" i="7"/>
  <c r="R22" i="4"/>
  <c r="R28" i="4" s="1"/>
  <c r="R30" i="4" s="1"/>
  <c r="Q34" i="4"/>
  <c r="P29" i="6"/>
  <c r="Q11" i="25"/>
  <c r="P38" i="6"/>
  <c r="O11" i="6"/>
  <c r="O13" i="6" s="1"/>
  <c r="D26" i="25"/>
  <c r="U50" i="7" l="1"/>
  <c r="S22" i="4"/>
  <c r="S28" i="4" s="1"/>
  <c r="S30" i="4" s="1"/>
  <c r="D42" i="6"/>
  <c r="D35" i="6"/>
  <c r="Q29" i="6"/>
  <c r="Q38" i="6"/>
  <c r="R34" i="4"/>
  <c r="R11" i="25"/>
  <c r="C29" i="8"/>
  <c r="C30" i="8" s="1"/>
  <c r="P11" i="6"/>
  <c r="P13" i="6" s="1"/>
  <c r="D76" i="2"/>
  <c r="T22" i="4" l="1"/>
  <c r="T28" i="4" s="1"/>
  <c r="T30" i="4" s="1"/>
  <c r="V50" i="7"/>
  <c r="D56" i="6"/>
  <c r="D48" i="6"/>
  <c r="Q11" i="6"/>
  <c r="Q13" i="6" s="1"/>
  <c r="D39" i="6"/>
  <c r="C33" i="8"/>
  <c r="D44" i="6"/>
  <c r="D45" i="6"/>
  <c r="E24" i="6" s="1"/>
  <c r="S34" i="4"/>
  <c r="S11" i="25"/>
  <c r="R29" i="6"/>
  <c r="R11" i="6" s="1"/>
  <c r="R13" i="6" s="1"/>
  <c r="R38" i="6"/>
  <c r="E27" i="6" l="1"/>
  <c r="D57" i="6"/>
  <c r="E36" i="4" s="1"/>
  <c r="E38" i="4" s="1"/>
  <c r="D50" i="6"/>
  <c r="D52" i="6" s="1"/>
  <c r="E16" i="25"/>
  <c r="C38" i="8"/>
  <c r="C36" i="8"/>
  <c r="U22" i="4"/>
  <c r="U28" i="4" s="1"/>
  <c r="U30" i="4" s="1"/>
  <c r="W50" i="7"/>
  <c r="T34" i="4"/>
  <c r="T11" i="25"/>
  <c r="S38" i="6"/>
  <c r="S29" i="6"/>
  <c r="D58" i="6" l="1"/>
  <c r="E40" i="4"/>
  <c r="E41" i="4"/>
  <c r="E43" i="4"/>
  <c r="D10" i="8"/>
  <c r="D13" i="8" s="1"/>
  <c r="C39" i="8"/>
  <c r="D35" i="8" s="1"/>
  <c r="E28" i="6"/>
  <c r="C41" i="8"/>
  <c r="D15" i="25" s="1"/>
  <c r="X50" i="7"/>
  <c r="V22" i="4"/>
  <c r="V28" i="4" s="1"/>
  <c r="V30" i="4" s="1"/>
  <c r="U34" i="4"/>
  <c r="T38" i="6"/>
  <c r="U11" i="25"/>
  <c r="T29" i="6"/>
  <c r="T11" i="6" s="1"/>
  <c r="T13" i="6" s="1"/>
  <c r="S11" i="6"/>
  <c r="S13" i="6" s="1"/>
  <c r="U38" i="6" l="1"/>
  <c r="V34" i="4"/>
  <c r="V11" i="25"/>
  <c r="U29" i="6"/>
  <c r="Y50" i="7"/>
  <c r="W22" i="4"/>
  <c r="W28" i="4" s="1"/>
  <c r="W30" i="4" s="1"/>
  <c r="D28" i="8"/>
  <c r="D16" i="8"/>
  <c r="E33" i="6"/>
  <c r="E26" i="6"/>
  <c r="E30" i="6" s="1"/>
  <c r="D75" i="2"/>
  <c r="F42" i="19"/>
  <c r="F43" i="19" s="1"/>
  <c r="D18" i="25"/>
  <c r="D21" i="25" s="1"/>
  <c r="E32" i="19"/>
  <c r="E37" i="19" l="1"/>
  <c r="E45" i="19" s="1"/>
  <c r="E47" i="19" s="1"/>
  <c r="D21" i="8"/>
  <c r="D19" i="8"/>
  <c r="C77" i="2"/>
  <c r="D27" i="25"/>
  <c r="D28" i="25" s="1"/>
  <c r="D29" i="25" s="1"/>
  <c r="E25" i="25" s="1"/>
  <c r="D37" i="25"/>
  <c r="D38" i="25" s="1"/>
  <c r="D57" i="25"/>
  <c r="D59" i="25" s="1"/>
  <c r="D50" i="25"/>
  <c r="D52" i="25" s="1"/>
  <c r="D43" i="25"/>
  <c r="D45" i="25" s="1"/>
  <c r="W34" i="4"/>
  <c r="W11" i="25"/>
  <c r="W44" i="25"/>
  <c r="V29" i="6"/>
  <c r="V38" i="6"/>
  <c r="Z50" i="7"/>
  <c r="X22" i="4"/>
  <c r="X28" i="4" s="1"/>
  <c r="X30" i="4" s="1"/>
  <c r="E36" i="6"/>
  <c r="E37" i="6"/>
  <c r="U11" i="6"/>
  <c r="U13" i="6" s="1"/>
  <c r="AA50" i="7" l="1"/>
  <c r="Y22" i="4"/>
  <c r="Y28" i="4" s="1"/>
  <c r="Y30" i="4" s="1"/>
  <c r="V11" i="6"/>
  <c r="V13" i="6" s="1"/>
  <c r="E42" i="6"/>
  <c r="D22" i="8"/>
  <c r="E18" i="8" s="1"/>
  <c r="F12" i="25"/>
  <c r="F13" i="25" s="1"/>
  <c r="E49" i="6"/>
  <c r="D24" i="8"/>
  <c r="X34" i="4"/>
  <c r="X11" i="25"/>
  <c r="W38" i="6"/>
  <c r="W29" i="6"/>
  <c r="W11" i="6" s="1"/>
  <c r="W13" i="6" s="1"/>
  <c r="E26" i="25"/>
  <c r="E35" i="6"/>
  <c r="E39" i="6" s="1"/>
  <c r="E45" i="6" l="1"/>
  <c r="F24" i="6" s="1"/>
  <c r="E44" i="6"/>
  <c r="Y34" i="4"/>
  <c r="Y11" i="25"/>
  <c r="X29" i="6"/>
  <c r="X11" i="6" s="1"/>
  <c r="X13" i="6" s="1"/>
  <c r="X38" i="6"/>
  <c r="AB50" i="7"/>
  <c r="Z22" i="4"/>
  <c r="Z28" i="4" s="1"/>
  <c r="Z30" i="4" s="1"/>
  <c r="E48" i="6"/>
  <c r="E56" i="6"/>
  <c r="D29" i="8"/>
  <c r="D30" i="8" s="1"/>
  <c r="F27" i="6" l="1"/>
  <c r="E50" i="6"/>
  <c r="E52" i="6" s="1"/>
  <c r="F16" i="25"/>
  <c r="AC50" i="7"/>
  <c r="AA22" i="4"/>
  <c r="AA28" i="4" s="1"/>
  <c r="AA30" i="4" s="1"/>
  <c r="D33" i="8"/>
  <c r="Z11" i="25"/>
  <c r="Z34" i="4"/>
  <c r="Y38" i="6"/>
  <c r="Y29" i="6"/>
  <c r="E57" i="6"/>
  <c r="F36" i="4" s="1"/>
  <c r="F38" i="4" s="1"/>
  <c r="Y11" i="6" l="1"/>
  <c r="Y13" i="6" s="1"/>
  <c r="AD50" i="7"/>
  <c r="AB22" i="4"/>
  <c r="AB28" i="4" s="1"/>
  <c r="AB30" i="4" s="1"/>
  <c r="AA34" i="4"/>
  <c r="AA11" i="25"/>
  <c r="Z29" i="6"/>
  <c r="Z11" i="6" s="1"/>
  <c r="Z13" i="6" s="1"/>
  <c r="Z38" i="6"/>
  <c r="E58" i="6"/>
  <c r="D38" i="8"/>
  <c r="D36" i="8"/>
  <c r="F28" i="6"/>
  <c r="F40" i="4"/>
  <c r="F43" i="4" s="1"/>
  <c r="G42" i="19" s="1"/>
  <c r="G43" i="19" s="1"/>
  <c r="F41" i="4"/>
  <c r="E10" i="8"/>
  <c r="E13" i="8" s="1"/>
  <c r="F33" i="6" l="1"/>
  <c r="F26" i="6"/>
  <c r="F30" i="6" s="1"/>
  <c r="E16" i="8"/>
  <c r="E28" i="8"/>
  <c r="AE50" i="7"/>
  <c r="AC22" i="4"/>
  <c r="AC28" i="4" s="1"/>
  <c r="AC30" i="4" s="1"/>
  <c r="D39" i="8"/>
  <c r="E35" i="8" s="1"/>
  <c r="D41" i="8"/>
  <c r="E15" i="25" s="1"/>
  <c r="AB34" i="4"/>
  <c r="AB11" i="25"/>
  <c r="AA29" i="6"/>
  <c r="AA38" i="6"/>
  <c r="E18" i="25" l="1"/>
  <c r="E21" i="25" s="1"/>
  <c r="F32" i="19"/>
  <c r="E21" i="8"/>
  <c r="E19" i="8"/>
  <c r="AB38" i="6"/>
  <c r="AB29" i="6"/>
  <c r="AB11" i="6" s="1"/>
  <c r="AB13" i="6" s="1"/>
  <c r="AC34" i="4"/>
  <c r="AC11" i="25"/>
  <c r="F36" i="6"/>
  <c r="AA11" i="6"/>
  <c r="AA13" i="6" s="1"/>
  <c r="AF50" i="7"/>
  <c r="AD22" i="4"/>
  <c r="AD28" i="4" s="1"/>
  <c r="AD30" i="4" s="1"/>
  <c r="E22" i="8" l="1"/>
  <c r="F18" i="8" s="1"/>
  <c r="E24" i="8"/>
  <c r="F37" i="19"/>
  <c r="F45" i="19" s="1"/>
  <c r="F47" i="19" s="1"/>
  <c r="G12" i="25"/>
  <c r="G13" i="25" s="1"/>
  <c r="F49" i="6"/>
  <c r="AC29" i="6"/>
  <c r="AC38" i="6"/>
  <c r="AD11" i="25"/>
  <c r="AD34" i="4"/>
  <c r="AG50" i="7"/>
  <c r="AE22" i="4"/>
  <c r="AE28" i="4" s="1"/>
  <c r="AE30" i="4" s="1"/>
  <c r="F37" i="6"/>
  <c r="D77" i="2"/>
  <c r="E27" i="25"/>
  <c r="E28" i="25" s="1"/>
  <c r="E29" i="25" s="1"/>
  <c r="F25" i="25" s="1"/>
  <c r="E37" i="25"/>
  <c r="E38" i="25" s="1"/>
  <c r="E57" i="25"/>
  <c r="E59" i="25" s="1"/>
  <c r="E50" i="25"/>
  <c r="E52" i="25" s="1"/>
  <c r="E43" i="25"/>
  <c r="E45" i="25" s="1"/>
  <c r="E29" i="8" l="1"/>
  <c r="E30" i="8" s="1"/>
  <c r="AC11" i="6"/>
  <c r="AC13" i="6" s="1"/>
  <c r="AD38" i="6"/>
  <c r="AE34" i="4"/>
  <c r="AE11" i="25"/>
  <c r="AD29" i="6"/>
  <c r="F26" i="25"/>
  <c r="F42" i="6"/>
  <c r="F35" i="6"/>
  <c r="F39" i="6" s="1"/>
  <c r="AH50" i="7"/>
  <c r="AG22" i="4" s="1"/>
  <c r="AG28" i="4" s="1"/>
  <c r="AG30" i="4" s="1"/>
  <c r="AF22" i="4"/>
  <c r="AF28" i="4" s="1"/>
  <c r="AF30" i="4" s="1"/>
  <c r="AG34" i="4" l="1"/>
  <c r="AG11" i="25"/>
  <c r="AF29" i="6"/>
  <c r="AF38" i="6"/>
  <c r="F44" i="6"/>
  <c r="F45" i="6"/>
  <c r="G24" i="6" s="1"/>
  <c r="F48" i="6"/>
  <c r="F56" i="6"/>
  <c r="E33" i="8"/>
  <c r="AE38" i="6"/>
  <c r="AF34" i="4"/>
  <c r="AG44" i="25"/>
  <c r="AF11" i="25"/>
  <c r="AE29" i="6"/>
  <c r="AD11" i="6"/>
  <c r="AD13" i="6" s="1"/>
  <c r="F57" i="6" l="1"/>
  <c r="G36" i="4" s="1"/>
  <c r="G38" i="4" s="1"/>
  <c r="E38" i="8"/>
  <c r="E36" i="8"/>
  <c r="AF11" i="6"/>
  <c r="AF13" i="6" s="1"/>
  <c r="AE11" i="6"/>
  <c r="AE13" i="6" s="1"/>
  <c r="G27" i="6"/>
  <c r="F58" i="6"/>
  <c r="F50" i="6"/>
  <c r="F52" i="6" s="1"/>
  <c r="G16" i="25"/>
  <c r="E39" i="8" l="1"/>
  <c r="F35" i="8" s="1"/>
  <c r="E41" i="8"/>
  <c r="F15" i="25" s="1"/>
  <c r="G28" i="6"/>
  <c r="G40" i="4"/>
  <c r="G43" i="4" s="1"/>
  <c r="H42" i="19" s="1"/>
  <c r="H43" i="19" s="1"/>
  <c r="G41" i="4"/>
  <c r="F10" i="8"/>
  <c r="F13" i="8" s="1"/>
  <c r="F16" i="8" l="1"/>
  <c r="F28" i="8"/>
  <c r="G33" i="6"/>
  <c r="G26" i="6"/>
  <c r="G30" i="6" s="1"/>
  <c r="F18" i="25"/>
  <c r="F21" i="25" s="1"/>
  <c r="G32" i="19"/>
  <c r="G36" i="6" l="1"/>
  <c r="G37" i="6" s="1"/>
  <c r="G37" i="19"/>
  <c r="G45" i="19" s="1"/>
  <c r="G47" i="19" s="1"/>
  <c r="F21" i="8"/>
  <c r="F19" i="8"/>
  <c r="F27" i="25"/>
  <c r="F28" i="25" s="1"/>
  <c r="F29" i="25" s="1"/>
  <c r="G25" i="25" s="1"/>
  <c r="F37" i="25"/>
  <c r="F38" i="25" s="1"/>
  <c r="F50" i="25"/>
  <c r="F52" i="25" s="1"/>
  <c r="F43" i="25"/>
  <c r="F45" i="25" s="1"/>
  <c r="F57" i="25"/>
  <c r="F59" i="25" s="1"/>
  <c r="G39" i="6" l="1"/>
  <c r="G42" i="6"/>
  <c r="G35" i="6"/>
  <c r="F24" i="8"/>
  <c r="G26" i="25"/>
  <c r="G49" i="6"/>
  <c r="H12" i="25"/>
  <c r="H13" i="25" s="1"/>
  <c r="F22" i="8"/>
  <c r="G18" i="8" s="1"/>
  <c r="F29" i="8" l="1"/>
  <c r="F30" i="8" s="1"/>
  <c r="G48" i="6"/>
  <c r="G56" i="6"/>
  <c r="G45" i="6"/>
  <c r="H24" i="6" s="1"/>
  <c r="G44" i="6"/>
  <c r="G57" i="6" l="1"/>
  <c r="H36" i="4" s="1"/>
  <c r="H38" i="4" s="1"/>
  <c r="H27" i="6"/>
  <c r="G58" i="6"/>
  <c r="G50" i="6"/>
  <c r="G52" i="6" s="1"/>
  <c r="H16" i="25"/>
  <c r="F33" i="8"/>
  <c r="H28" i="6" l="1"/>
  <c r="F36" i="8"/>
  <c r="F38" i="8"/>
  <c r="H43" i="4"/>
  <c r="I42" i="19" s="1"/>
  <c r="I43" i="19" s="1"/>
  <c r="H40" i="4"/>
  <c r="H41" i="4"/>
  <c r="G10" i="8"/>
  <c r="G13" i="8" s="1"/>
  <c r="G28" i="8" l="1"/>
  <c r="G16" i="8"/>
  <c r="F41" i="8"/>
  <c r="G15" i="25" s="1"/>
  <c r="F39" i="8"/>
  <c r="G35" i="8" s="1"/>
  <c r="H33" i="6"/>
  <c r="H30" i="6"/>
  <c r="H26" i="6"/>
  <c r="G19" i="8" l="1"/>
  <c r="G21" i="8"/>
  <c r="G18" i="25"/>
  <c r="G21" i="25" s="1"/>
  <c r="H32" i="19"/>
  <c r="H36" i="6"/>
  <c r="H37" i="6" s="1"/>
  <c r="H39" i="6" l="1"/>
  <c r="H42" i="6"/>
  <c r="H35" i="6"/>
  <c r="G24" i="8"/>
  <c r="G22" i="8"/>
  <c r="H18" i="8" s="1"/>
  <c r="I12" i="25"/>
  <c r="I13" i="25" s="1"/>
  <c r="H49" i="6"/>
  <c r="H37" i="19"/>
  <c r="H45" i="19" s="1"/>
  <c r="H47" i="19" s="1"/>
  <c r="G27" i="25"/>
  <c r="G28" i="25" s="1"/>
  <c r="G29" i="25" s="1"/>
  <c r="H25" i="25" s="1"/>
  <c r="G37" i="25"/>
  <c r="G38" i="25" s="1"/>
  <c r="G50" i="25"/>
  <c r="G52" i="25" s="1"/>
  <c r="G43" i="25"/>
  <c r="G45" i="25" s="1"/>
  <c r="G57" i="25"/>
  <c r="G59" i="25" s="1"/>
  <c r="H45" i="6" l="1"/>
  <c r="I24" i="6" s="1"/>
  <c r="H44" i="6"/>
  <c r="H26" i="25"/>
  <c r="G29" i="8"/>
  <c r="G30" i="8" s="1"/>
  <c r="H48" i="6"/>
  <c r="H56" i="6"/>
  <c r="H50" i="6" l="1"/>
  <c r="H52" i="6" s="1"/>
  <c r="I16" i="25"/>
  <c r="G33" i="8"/>
  <c r="I28" i="6"/>
  <c r="I27" i="6"/>
  <c r="H57" i="6"/>
  <c r="I36" i="4" s="1"/>
  <c r="I38" i="4" s="1"/>
  <c r="I33" i="6" l="1"/>
  <c r="I30" i="6"/>
  <c r="I40" i="4"/>
  <c r="I41" i="4" s="1"/>
  <c r="I43" i="4" s="1"/>
  <c r="J42" i="19" s="1"/>
  <c r="J43" i="19" s="1"/>
  <c r="H10" i="8"/>
  <c r="H13" i="8" s="1"/>
  <c r="I26" i="6"/>
  <c r="H58" i="6"/>
  <c r="G38" i="8"/>
  <c r="G36" i="8"/>
  <c r="H28" i="8" l="1"/>
  <c r="H16" i="8"/>
  <c r="G39" i="8"/>
  <c r="H35" i="8" s="1"/>
  <c r="G41" i="8"/>
  <c r="H15" i="25" s="1"/>
  <c r="I52" i="6"/>
  <c r="I36" i="6"/>
  <c r="J12" i="25" l="1"/>
  <c r="J13" i="25" s="1"/>
  <c r="I49" i="6"/>
  <c r="I37" i="6"/>
  <c r="H18" i="25"/>
  <c r="H21" i="25" s="1"/>
  <c r="I32" i="19"/>
  <c r="H21" i="8"/>
  <c r="H19" i="8"/>
  <c r="H24" i="8" l="1"/>
  <c r="H43" i="25"/>
  <c r="H45" i="25" s="1"/>
  <c r="H37" i="25"/>
  <c r="H38" i="25" s="1"/>
  <c r="H27" i="25"/>
  <c r="H28" i="25" s="1"/>
  <c r="H29" i="25" s="1"/>
  <c r="I25" i="25" s="1"/>
  <c r="H50" i="25"/>
  <c r="H52" i="25" s="1"/>
  <c r="H57" i="25"/>
  <c r="H59" i="25" s="1"/>
  <c r="I39" i="6"/>
  <c r="I42" i="6"/>
  <c r="I35" i="6"/>
  <c r="H22" i="8"/>
  <c r="I18" i="8" s="1"/>
  <c r="I37" i="19"/>
  <c r="I45" i="19" s="1"/>
  <c r="I47" i="19" s="1"/>
  <c r="I48" i="6" l="1"/>
  <c r="I56" i="6"/>
  <c r="H29" i="8"/>
  <c r="H30" i="8" s="1"/>
  <c r="I45" i="6"/>
  <c r="J24" i="6" s="1"/>
  <c r="I44" i="6"/>
  <c r="I26" i="25"/>
  <c r="I57" i="6" l="1"/>
  <c r="J36" i="4" s="1"/>
  <c r="J38" i="4" s="1"/>
  <c r="H33" i="8"/>
  <c r="I58" i="6"/>
  <c r="J27" i="6"/>
  <c r="I50" i="6"/>
  <c r="J16" i="25"/>
  <c r="H38" i="8" l="1"/>
  <c r="H36" i="8"/>
  <c r="J40" i="4"/>
  <c r="J41" i="4"/>
  <c r="J43" i="4"/>
  <c r="K42" i="19" s="1"/>
  <c r="K43" i="19" s="1"/>
  <c r="I10" i="8"/>
  <c r="I13" i="8" s="1"/>
  <c r="J28" i="6"/>
  <c r="H41" i="8" l="1"/>
  <c r="I15" i="25" s="1"/>
  <c r="J30" i="6"/>
  <c r="J33" i="6"/>
  <c r="J26" i="6"/>
  <c r="I16" i="8"/>
  <c r="I28" i="8"/>
  <c r="H39" i="8"/>
  <c r="I35" i="8" s="1"/>
  <c r="J36" i="6" l="1"/>
  <c r="J52" i="6"/>
  <c r="I18" i="25"/>
  <c r="I21" i="25" s="1"/>
  <c r="J32" i="19"/>
  <c r="I21" i="8"/>
  <c r="I19" i="8"/>
  <c r="J20" i="8" l="1"/>
  <c r="I24" i="8"/>
  <c r="J49" i="6"/>
  <c r="K12" i="25"/>
  <c r="K13" i="25" s="1"/>
  <c r="I57" i="25"/>
  <c r="I59" i="25" s="1"/>
  <c r="I50" i="25"/>
  <c r="I52" i="25" s="1"/>
  <c r="I37" i="25"/>
  <c r="I38" i="25" s="1"/>
  <c r="I43" i="25"/>
  <c r="I45" i="25" s="1"/>
  <c r="I27" i="25"/>
  <c r="I28" i="25" s="1"/>
  <c r="I29" i="25" s="1"/>
  <c r="J25" i="25" s="1"/>
  <c r="I22" i="8"/>
  <c r="J18" i="8" s="1"/>
  <c r="J37" i="19"/>
  <c r="J45" i="19" s="1"/>
  <c r="J47" i="19" s="1"/>
  <c r="J37" i="6"/>
  <c r="J26" i="25" l="1"/>
  <c r="I29" i="8"/>
  <c r="I30" i="8" s="1"/>
  <c r="J42" i="6"/>
  <c r="J39" i="6"/>
  <c r="J35" i="6"/>
  <c r="J56" i="6" l="1"/>
  <c r="J48" i="6"/>
  <c r="J45" i="6"/>
  <c r="K24" i="6" s="1"/>
  <c r="J44" i="6"/>
  <c r="I33" i="8"/>
  <c r="J58" i="6" l="1"/>
  <c r="I36" i="8"/>
  <c r="I38" i="8"/>
  <c r="J57" i="6"/>
  <c r="K36" i="4" s="1"/>
  <c r="K38" i="4" s="1"/>
  <c r="K28" i="6"/>
  <c r="K27" i="6"/>
  <c r="J50" i="6"/>
  <c r="K16" i="25"/>
  <c r="I39" i="8" l="1"/>
  <c r="J35" i="8" s="1"/>
  <c r="K30" i="6"/>
  <c r="K33" i="6"/>
  <c r="B20" i="6"/>
  <c r="K26" i="6"/>
  <c r="K40" i="4"/>
  <c r="K43" i="4" s="1"/>
  <c r="L42" i="19" s="1"/>
  <c r="L43" i="19" s="1"/>
  <c r="K41" i="4"/>
  <c r="J10" i="8"/>
  <c r="J13" i="8" s="1"/>
  <c r="I41" i="8"/>
  <c r="J15" i="25" s="1"/>
  <c r="J18" i="25" l="1"/>
  <c r="J21" i="25" s="1"/>
  <c r="K32" i="19"/>
  <c r="K36" i="6"/>
  <c r="K37" i="6"/>
  <c r="K52" i="6"/>
  <c r="J16" i="8"/>
  <c r="J28" i="8"/>
  <c r="J43" i="25" l="1"/>
  <c r="J45" i="25" s="1"/>
  <c r="J50" i="25"/>
  <c r="J52" i="25" s="1"/>
  <c r="J57" i="25"/>
  <c r="J59" i="25" s="1"/>
  <c r="J27" i="25"/>
  <c r="J28" i="25" s="1"/>
  <c r="J29" i="25" s="1"/>
  <c r="K25" i="25" s="1"/>
  <c r="J37" i="25"/>
  <c r="J38" i="25" s="1"/>
  <c r="J19" i="8"/>
  <c r="J21" i="8"/>
  <c r="K39" i="6"/>
  <c r="K42" i="6"/>
  <c r="K35" i="6"/>
  <c r="K49" i="6"/>
  <c r="L12" i="25"/>
  <c r="L13" i="25" s="1"/>
  <c r="K37" i="19"/>
  <c r="K45" i="19" s="1"/>
  <c r="K47" i="19" s="1"/>
  <c r="K45" i="6" l="1"/>
  <c r="L24" i="6" s="1"/>
  <c r="K44" i="6"/>
  <c r="K20" i="8"/>
  <c r="J24" i="8"/>
  <c r="J22" i="8"/>
  <c r="K18" i="8" s="1"/>
  <c r="K26" i="25"/>
  <c r="K48" i="6"/>
  <c r="K56" i="6"/>
  <c r="L27" i="6" l="1"/>
  <c r="J29" i="8"/>
  <c r="J30" i="8" s="1"/>
  <c r="K50" i="6"/>
  <c r="L16" i="25"/>
  <c r="K58" i="6"/>
  <c r="K57" i="6"/>
  <c r="L36" i="4" s="1"/>
  <c r="L38" i="4" s="1"/>
  <c r="J33" i="8" l="1"/>
  <c r="L40" i="4"/>
  <c r="L43" i="4" s="1"/>
  <c r="M42" i="19" s="1"/>
  <c r="M43" i="19" s="1"/>
  <c r="L41" i="4"/>
  <c r="K10" i="8"/>
  <c r="K13" i="8" s="1"/>
  <c r="L28" i="6"/>
  <c r="J38" i="8" l="1"/>
  <c r="J36" i="8"/>
  <c r="L30" i="6"/>
  <c r="L33" i="6"/>
  <c r="L26" i="6"/>
  <c r="K16" i="8"/>
  <c r="K28" i="8"/>
  <c r="J41" i="8" l="1"/>
  <c r="K15" i="25" s="1"/>
  <c r="K19" i="8"/>
  <c r="K21" i="8"/>
  <c r="L52" i="6"/>
  <c r="L37" i="6"/>
  <c r="L36" i="6"/>
  <c r="J39" i="8"/>
  <c r="K35" i="8" s="1"/>
  <c r="L39" i="6" l="1"/>
  <c r="L42" i="6"/>
  <c r="K18" i="25"/>
  <c r="K21" i="25" s="1"/>
  <c r="L32" i="19"/>
  <c r="L20" i="8"/>
  <c r="K24" i="8"/>
  <c r="K22" i="8"/>
  <c r="L18" i="8" s="1"/>
  <c r="L49" i="6"/>
  <c r="M12" i="25"/>
  <c r="M13" i="25" s="1"/>
  <c r="L35" i="6"/>
  <c r="L56" i="6" l="1"/>
  <c r="L48" i="6"/>
  <c r="L44" i="6"/>
  <c r="L45" i="6"/>
  <c r="M24" i="6" s="1"/>
  <c r="L37" i="19"/>
  <c r="L45" i="19" s="1"/>
  <c r="L47" i="19" s="1"/>
  <c r="K29" i="8"/>
  <c r="K30" i="8" s="1"/>
  <c r="K27" i="25"/>
  <c r="K28" i="25" s="1"/>
  <c r="K29" i="25" s="1"/>
  <c r="L25" i="25" s="1"/>
  <c r="K37" i="25"/>
  <c r="K38" i="25" s="1"/>
  <c r="K43" i="25"/>
  <c r="K45" i="25" s="1"/>
  <c r="K57" i="25"/>
  <c r="K59" i="25" s="1"/>
  <c r="K50" i="25"/>
  <c r="K52" i="25" s="1"/>
  <c r="L50" i="6" l="1"/>
  <c r="M16" i="25"/>
  <c r="K33" i="8"/>
  <c r="M27" i="6"/>
  <c r="L57" i="6"/>
  <c r="M36" i="4" s="1"/>
  <c r="M38" i="4" s="1"/>
  <c r="L26" i="25"/>
  <c r="M40" i="4" l="1"/>
  <c r="M41" i="4" s="1"/>
  <c r="L10" i="8"/>
  <c r="L13" i="8" s="1"/>
  <c r="L58" i="6"/>
  <c r="M28" i="6"/>
  <c r="K38" i="8"/>
  <c r="K36" i="8"/>
  <c r="K41" i="8" l="1"/>
  <c r="L15" i="25" s="1"/>
  <c r="K39" i="8"/>
  <c r="L35" i="8" s="1"/>
  <c r="M33" i="6"/>
  <c r="M26" i="6"/>
  <c r="M30" i="6" s="1"/>
  <c r="L28" i="8"/>
  <c r="L24" i="8"/>
  <c r="L16" i="8"/>
  <c r="M43" i="4"/>
  <c r="N42" i="19" s="1"/>
  <c r="N43" i="19" s="1"/>
  <c r="M37" i="6" l="1"/>
  <c r="M36" i="6"/>
  <c r="L21" i="8"/>
  <c r="L19" i="8"/>
  <c r="L18" i="25"/>
  <c r="L21" i="25" s="1"/>
  <c r="M32" i="19"/>
  <c r="L29" i="8"/>
  <c r="L30" i="8"/>
  <c r="M37" i="19" l="1"/>
  <c r="M45" i="19" s="1"/>
  <c r="M47" i="19" s="1"/>
  <c r="L43" i="25"/>
  <c r="L45" i="25" s="1"/>
  <c r="C46" i="25" s="1"/>
  <c r="C69" i="2" s="1"/>
  <c r="L27" i="25"/>
  <c r="L28" i="25" s="1"/>
  <c r="L29" i="25" s="1"/>
  <c r="M25" i="25" s="1"/>
  <c r="L37" i="25"/>
  <c r="L38" i="25" s="1"/>
  <c r="C39" i="25" s="1"/>
  <c r="C68" i="2" s="1"/>
  <c r="L50" i="25"/>
  <c r="L52" i="25" s="1"/>
  <c r="C53" i="25" s="1"/>
  <c r="C70" i="2" s="1"/>
  <c r="L57" i="25"/>
  <c r="L59" i="25" s="1"/>
  <c r="C60" i="25" s="1"/>
  <c r="C71" i="2" s="1"/>
  <c r="B9" i="16" s="1"/>
  <c r="B12" i="16" s="1"/>
  <c r="M20" i="8"/>
  <c r="M42" i="6"/>
  <c r="M35" i="6"/>
  <c r="M39" i="6" s="1"/>
  <c r="L22" i="8"/>
  <c r="M18" i="8" s="1"/>
  <c r="L41" i="8"/>
  <c r="M15" i="25" s="1"/>
  <c r="M18" i="25" s="1"/>
  <c r="M21" i="25" s="1"/>
  <c r="L33" i="8"/>
  <c r="N12" i="25"/>
  <c r="N13" i="25" s="1"/>
  <c r="M49" i="6"/>
  <c r="M26" i="25" l="1"/>
  <c r="M27" i="25"/>
  <c r="M37" i="25"/>
  <c r="M38" i="25" s="1"/>
  <c r="M57" i="25"/>
  <c r="M59" i="25" s="1"/>
  <c r="M43" i="25"/>
  <c r="M45" i="25" s="1"/>
  <c r="M50" i="25"/>
  <c r="M52" i="25" s="1"/>
  <c r="N32" i="19"/>
  <c r="M56" i="6"/>
  <c r="M48" i="6"/>
  <c r="M45" i="6"/>
  <c r="N24" i="6" s="1"/>
  <c r="M44" i="6"/>
  <c r="L36" i="8"/>
  <c r="L38" i="8"/>
  <c r="N37" i="19" l="1"/>
  <c r="N45" i="19" s="1"/>
  <c r="N47" i="19" s="1"/>
  <c r="L39" i="8"/>
  <c r="M35" i="8" s="1"/>
  <c r="M50" i="6"/>
  <c r="M52" i="6" s="1"/>
  <c r="N16" i="25"/>
  <c r="M57" i="6"/>
  <c r="N36" i="4" s="1"/>
  <c r="N38" i="4" s="1"/>
  <c r="N27" i="6"/>
  <c r="N28" i="6"/>
  <c r="N26" i="6"/>
  <c r="M28" i="25"/>
  <c r="M29" i="25" s="1"/>
  <c r="N25" i="25" s="1"/>
  <c r="N33" i="6" l="1"/>
  <c r="N30" i="6"/>
  <c r="N26" i="25"/>
  <c r="N40" i="4"/>
  <c r="M10" i="8"/>
  <c r="M13" i="8" s="1"/>
  <c r="M58" i="6"/>
  <c r="N36" i="6" l="1"/>
  <c r="M24" i="8"/>
  <c r="M16" i="8"/>
  <c r="M28" i="8"/>
  <c r="N41" i="4"/>
  <c r="N43" i="4" s="1"/>
  <c r="O42" i="19" s="1"/>
  <c r="O43" i="19" s="1"/>
  <c r="M21" i="8" l="1"/>
  <c r="M19" i="8"/>
  <c r="M29" i="8"/>
  <c r="M30" i="8" s="1"/>
  <c r="N49" i="6"/>
  <c r="O12" i="25"/>
  <c r="O13" i="25" s="1"/>
  <c r="N37" i="6"/>
  <c r="M33" i="8" l="1"/>
  <c r="M41" i="8"/>
  <c r="N15" i="25" s="1"/>
  <c r="N42" i="6"/>
  <c r="N35" i="6"/>
  <c r="N20" i="8"/>
  <c r="M22" i="8"/>
  <c r="N18" i="8" s="1"/>
  <c r="M38" i="8" l="1"/>
  <c r="M36" i="8"/>
  <c r="O32" i="19"/>
  <c r="N18" i="25"/>
  <c r="N21" i="25" s="1"/>
  <c r="N44" i="6"/>
  <c r="N45" i="6"/>
  <c r="O24" i="6" s="1"/>
  <c r="N48" i="6"/>
  <c r="N56" i="6"/>
  <c r="N39" i="6"/>
  <c r="M39" i="8" l="1"/>
  <c r="N35" i="8" s="1"/>
  <c r="N57" i="6"/>
  <c r="O36" i="4" s="1"/>
  <c r="O38" i="4" s="1"/>
  <c r="N50" i="25"/>
  <c r="N52" i="25" s="1"/>
  <c r="N57" i="25"/>
  <c r="N59" i="25" s="1"/>
  <c r="N37" i="25"/>
  <c r="N38" i="25" s="1"/>
  <c r="N43" i="25"/>
  <c r="N45" i="25" s="1"/>
  <c r="N27" i="25"/>
  <c r="N28" i="25" s="1"/>
  <c r="N29" i="25" s="1"/>
  <c r="O25" i="25" s="1"/>
  <c r="N58" i="6"/>
  <c r="N50" i="6"/>
  <c r="N52" i="6" s="1"/>
  <c r="O16" i="25"/>
  <c r="O27" i="6"/>
  <c r="O28" i="6"/>
  <c r="O37" i="19"/>
  <c r="O45" i="19" s="1"/>
  <c r="O47" i="19" s="1"/>
  <c r="O40" i="4" l="1"/>
  <c r="N10" i="8"/>
  <c r="N13" i="8" s="1"/>
  <c r="O33" i="6"/>
  <c r="O30" i="6"/>
  <c r="O26" i="25"/>
  <c r="O26" i="6"/>
  <c r="O36" i="6" l="1"/>
  <c r="N16" i="8"/>
  <c r="N24" i="8"/>
  <c r="N28" i="8"/>
  <c r="O41" i="4"/>
  <c r="O43" i="4" s="1"/>
  <c r="P42" i="19" s="1"/>
  <c r="P43" i="19" s="1"/>
  <c r="N30" i="8" l="1"/>
  <c r="N29" i="8"/>
  <c r="N19" i="8"/>
  <c r="N21" i="8"/>
  <c r="P12" i="25"/>
  <c r="P13" i="25" s="1"/>
  <c r="O49" i="6"/>
  <c r="O37" i="6"/>
  <c r="N33" i="8" l="1"/>
  <c r="N41" i="8"/>
  <c r="O15" i="25" s="1"/>
  <c r="O20" i="8"/>
  <c r="O42" i="6"/>
  <c r="O35" i="6"/>
  <c r="N22" i="8"/>
  <c r="O18" i="8" s="1"/>
  <c r="O48" i="6" l="1"/>
  <c r="O56" i="6"/>
  <c r="N36" i="8"/>
  <c r="N38" i="8"/>
  <c r="P32" i="19"/>
  <c r="O18" i="25"/>
  <c r="O21" i="25" s="1"/>
  <c r="O45" i="6"/>
  <c r="P24" i="6" s="1"/>
  <c r="O44" i="6"/>
  <c r="O39" i="6"/>
  <c r="O58" i="6" l="1"/>
  <c r="P28" i="6"/>
  <c r="P27" i="6"/>
  <c r="P37" i="19"/>
  <c r="P45" i="19" s="1"/>
  <c r="P47" i="19" s="1"/>
  <c r="O57" i="6"/>
  <c r="P36" i="4" s="1"/>
  <c r="P38" i="4" s="1"/>
  <c r="O50" i="6"/>
  <c r="O52" i="6" s="1"/>
  <c r="P16" i="25"/>
  <c r="O27" i="25"/>
  <c r="O28" i="25" s="1"/>
  <c r="O29" i="25" s="1"/>
  <c r="P25" i="25" s="1"/>
  <c r="O37" i="25"/>
  <c r="O38" i="25" s="1"/>
  <c r="O50" i="25"/>
  <c r="O52" i="25" s="1"/>
  <c r="O57" i="25"/>
  <c r="O59" i="25" s="1"/>
  <c r="O43" i="25"/>
  <c r="O45" i="25" s="1"/>
  <c r="N39" i="8"/>
  <c r="O35" i="8" s="1"/>
  <c r="P33" i="6" l="1"/>
  <c r="P30" i="6"/>
  <c r="P40" i="4"/>
  <c r="P43" i="4" s="1"/>
  <c r="Q42" i="19" s="1"/>
  <c r="Q43" i="19" s="1"/>
  <c r="P41" i="4"/>
  <c r="O10" i="8"/>
  <c r="O13" i="8" s="1"/>
  <c r="P26" i="25"/>
  <c r="P26" i="6"/>
  <c r="O28" i="8" l="1"/>
  <c r="O16" i="8"/>
  <c r="O24" i="8"/>
  <c r="P36" i="6"/>
  <c r="P37" i="6"/>
  <c r="P35" i="6" s="1"/>
  <c r="P56" i="6" l="1"/>
  <c r="P48" i="6"/>
  <c r="P39" i="6"/>
  <c r="P42" i="6"/>
  <c r="Q12" i="25"/>
  <c r="Q13" i="25" s="1"/>
  <c r="P49" i="6"/>
  <c r="O29" i="8"/>
  <c r="O30" i="8" s="1"/>
  <c r="O19" i="8"/>
  <c r="O21" i="8"/>
  <c r="O41" i="8" l="1"/>
  <c r="P15" i="25" s="1"/>
  <c r="O33" i="8"/>
  <c r="P50" i="6"/>
  <c r="P52" i="6" s="1"/>
  <c r="Q16" i="25"/>
  <c r="P45" i="6"/>
  <c r="Q24" i="6" s="1"/>
  <c r="P44" i="6"/>
  <c r="P20" i="8"/>
  <c r="O22" i="8"/>
  <c r="P18" i="8" s="1"/>
  <c r="Q32" i="19" l="1"/>
  <c r="P18" i="25"/>
  <c r="P21" i="25" s="1"/>
  <c r="O38" i="8"/>
  <c r="O36" i="8"/>
  <c r="P57" i="6"/>
  <c r="Q27" i="6"/>
  <c r="Q37" i="19" l="1"/>
  <c r="Q45" i="19" s="1"/>
  <c r="Q47" i="19" s="1"/>
  <c r="P43" i="25"/>
  <c r="P45" i="25" s="1"/>
  <c r="P27" i="25"/>
  <c r="P28" i="25" s="1"/>
  <c r="P29" i="25" s="1"/>
  <c r="Q25" i="25" s="1"/>
  <c r="P37" i="25"/>
  <c r="P38" i="25" s="1"/>
  <c r="P50" i="25"/>
  <c r="P52" i="25" s="1"/>
  <c r="P57" i="25"/>
  <c r="P59" i="25" s="1"/>
  <c r="Q28" i="6"/>
  <c r="Q36" i="4"/>
  <c r="Q38" i="4" s="1"/>
  <c r="P58" i="6"/>
  <c r="O39" i="8"/>
  <c r="P35" i="8" s="1"/>
  <c r="Q33" i="6" l="1"/>
  <c r="Q30" i="6"/>
  <c r="Q26" i="6"/>
  <c r="Q26" i="25"/>
  <c r="P10" i="8"/>
  <c r="P13" i="8" s="1"/>
  <c r="Q40" i="4"/>
  <c r="P28" i="8" l="1"/>
  <c r="P16" i="8"/>
  <c r="P24" i="8"/>
  <c r="Q36" i="6"/>
  <c r="Q37" i="6" s="1"/>
  <c r="Q41" i="4"/>
  <c r="Q43" i="4" s="1"/>
  <c r="R42" i="19" s="1"/>
  <c r="R43" i="19" s="1"/>
  <c r="Q42" i="6" l="1"/>
  <c r="Q35" i="6"/>
  <c r="P30" i="8"/>
  <c r="P21" i="8"/>
  <c r="P19" i="8"/>
  <c r="Q49" i="6"/>
  <c r="R12" i="25"/>
  <c r="R13" i="25" s="1"/>
  <c r="P29" i="8"/>
  <c r="P22" i="8" l="1"/>
  <c r="Q18" i="8" s="1"/>
  <c r="Q20" i="8"/>
  <c r="P33" i="8"/>
  <c r="P41" i="8"/>
  <c r="Q15" i="25" s="1"/>
  <c r="Q48" i="6"/>
  <c r="Q56" i="6"/>
  <c r="Q44" i="6"/>
  <c r="Q45" i="6"/>
  <c r="R24" i="6" s="1"/>
  <c r="Q39" i="6"/>
  <c r="Q18" i="25" l="1"/>
  <c r="Q21" i="25" s="1"/>
  <c r="R32" i="19"/>
  <c r="P36" i="8"/>
  <c r="P38" i="8"/>
  <c r="R27" i="6"/>
  <c r="Q57" i="6"/>
  <c r="R36" i="4" s="1"/>
  <c r="R38" i="4" s="1"/>
  <c r="Q50" i="6"/>
  <c r="Q52" i="6" s="1"/>
  <c r="R16" i="25"/>
  <c r="Q58" i="6" l="1"/>
  <c r="Q27" i="25"/>
  <c r="Q28" i="25" s="1"/>
  <c r="Q29" i="25" s="1"/>
  <c r="R25" i="25" s="1"/>
  <c r="Q37" i="25"/>
  <c r="Q38" i="25" s="1"/>
  <c r="Q50" i="25"/>
  <c r="Q52" i="25" s="1"/>
  <c r="Q57" i="25"/>
  <c r="Q59" i="25" s="1"/>
  <c r="Q43" i="25"/>
  <c r="Q45" i="25" s="1"/>
  <c r="R28" i="6"/>
  <c r="Q37" i="8"/>
  <c r="P39" i="8"/>
  <c r="Q35" i="8" s="1"/>
  <c r="R37" i="19"/>
  <c r="R45" i="19" s="1"/>
  <c r="R47" i="19" s="1"/>
  <c r="R40" i="4"/>
  <c r="R41" i="4"/>
  <c r="Q10" i="8"/>
  <c r="Q13" i="8" s="1"/>
  <c r="R43" i="4"/>
  <c r="S42" i="19" s="1"/>
  <c r="S43" i="19" s="1"/>
  <c r="Q28" i="8" l="1"/>
  <c r="Q24" i="8"/>
  <c r="Q16" i="8"/>
  <c r="R33" i="6"/>
  <c r="R26" i="6"/>
  <c r="R30" i="6" s="1"/>
  <c r="R26" i="25"/>
  <c r="Q29" i="8" l="1"/>
  <c r="Q30" i="8" s="1"/>
  <c r="R36" i="6"/>
  <c r="R37" i="6"/>
  <c r="Q21" i="8"/>
  <c r="Q19" i="8"/>
  <c r="Q41" i="8" l="1"/>
  <c r="R15" i="25" s="1"/>
  <c r="Q33" i="8"/>
  <c r="Q22" i="8"/>
  <c r="R18" i="8" s="1"/>
  <c r="R20" i="8"/>
  <c r="R42" i="6"/>
  <c r="R49" i="6"/>
  <c r="S12" i="25"/>
  <c r="S13" i="25" s="1"/>
  <c r="R35" i="6"/>
  <c r="R44" i="6" l="1"/>
  <c r="R45" i="6"/>
  <c r="S24" i="6" s="1"/>
  <c r="R18" i="25"/>
  <c r="R21" i="25" s="1"/>
  <c r="S32" i="19"/>
  <c r="R56" i="6"/>
  <c r="R48" i="6"/>
  <c r="R39" i="6"/>
  <c r="Q36" i="8"/>
  <c r="Q38" i="8"/>
  <c r="Q39" i="8" l="1"/>
  <c r="R35" i="8" s="1"/>
  <c r="S27" i="6"/>
  <c r="S28" i="6"/>
  <c r="S26" i="6" s="1"/>
  <c r="R57" i="6"/>
  <c r="S36" i="4" s="1"/>
  <c r="S38" i="4" s="1"/>
  <c r="R50" i="6"/>
  <c r="R52" i="6" s="1"/>
  <c r="S16" i="25"/>
  <c r="S37" i="19"/>
  <c r="S45" i="19" s="1"/>
  <c r="S47" i="19" s="1"/>
  <c r="R37" i="8"/>
  <c r="R50" i="25"/>
  <c r="R52" i="25" s="1"/>
  <c r="R57" i="25"/>
  <c r="R59" i="25" s="1"/>
  <c r="R43" i="25"/>
  <c r="R45" i="25" s="1"/>
  <c r="R27" i="25"/>
  <c r="R28" i="25" s="1"/>
  <c r="R29" i="25" s="1"/>
  <c r="S25" i="25" s="1"/>
  <c r="R37" i="25"/>
  <c r="R38" i="25" s="1"/>
  <c r="S30" i="6" l="1"/>
  <c r="S33" i="6"/>
  <c r="R58" i="6"/>
  <c r="S40" i="4"/>
  <c r="S41" i="4"/>
  <c r="S43" i="4"/>
  <c r="T42" i="19" s="1"/>
  <c r="T43" i="19" s="1"/>
  <c r="R10" i="8"/>
  <c r="R13" i="8" s="1"/>
  <c r="S26" i="25"/>
  <c r="S36" i="6" l="1"/>
  <c r="S37" i="6" s="1"/>
  <c r="R16" i="8"/>
  <c r="R28" i="8"/>
  <c r="R24" i="8"/>
  <c r="S39" i="6" l="1"/>
  <c r="S42" i="6"/>
  <c r="S35" i="6"/>
  <c r="R19" i="8"/>
  <c r="R21" i="8"/>
  <c r="R29" i="8"/>
  <c r="R30" i="8" s="1"/>
  <c r="T12" i="25"/>
  <c r="T13" i="25" s="1"/>
  <c r="S49" i="6"/>
  <c r="R33" i="8" l="1"/>
  <c r="R41" i="8"/>
  <c r="S15" i="25" s="1"/>
  <c r="S20" i="8"/>
  <c r="R22" i="8"/>
  <c r="S18" i="8" s="1"/>
  <c r="S48" i="6"/>
  <c r="S56" i="6"/>
  <c r="S45" i="6"/>
  <c r="T24" i="6" s="1"/>
  <c r="S44" i="6"/>
  <c r="R38" i="8" l="1"/>
  <c r="R36" i="8"/>
  <c r="S57" i="6"/>
  <c r="T36" i="4" s="1"/>
  <c r="T38" i="4" s="1"/>
  <c r="T27" i="6"/>
  <c r="S50" i="6"/>
  <c r="S52" i="6" s="1"/>
  <c r="T16" i="25"/>
  <c r="T32" i="19"/>
  <c r="S18" i="25"/>
  <c r="S21" i="25" s="1"/>
  <c r="T40" i="4" l="1"/>
  <c r="T41" i="4"/>
  <c r="T43" i="4" s="1"/>
  <c r="U42" i="19" s="1"/>
  <c r="U43" i="19" s="1"/>
  <c r="S10" i="8"/>
  <c r="S13" i="8" s="1"/>
  <c r="S27" i="25"/>
  <c r="S28" i="25" s="1"/>
  <c r="S29" i="25" s="1"/>
  <c r="T25" i="25" s="1"/>
  <c r="S37" i="25"/>
  <c r="S38" i="25" s="1"/>
  <c r="S57" i="25"/>
  <c r="S59" i="25" s="1"/>
  <c r="S43" i="25"/>
  <c r="S45" i="25" s="1"/>
  <c r="S50" i="25"/>
  <c r="S52" i="25" s="1"/>
  <c r="R39" i="8"/>
  <c r="S35" i="8" s="1"/>
  <c r="T37" i="19"/>
  <c r="T45" i="19" s="1"/>
  <c r="T47" i="19" s="1"/>
  <c r="S58" i="6"/>
  <c r="S37" i="8"/>
  <c r="T28" i="6"/>
  <c r="T26" i="25" l="1"/>
  <c r="S16" i="8"/>
  <c r="S24" i="8"/>
  <c r="S28" i="8"/>
  <c r="T30" i="6"/>
  <c r="T33" i="6"/>
  <c r="T26" i="6"/>
  <c r="S30" i="8" l="1"/>
  <c r="S29" i="8"/>
  <c r="S19" i="8"/>
  <c r="S21" i="8"/>
  <c r="T36" i="6"/>
  <c r="T37" i="6"/>
  <c r="S33" i="8" l="1"/>
  <c r="S41" i="8"/>
  <c r="T15" i="25" s="1"/>
  <c r="U12" i="25"/>
  <c r="U13" i="25" s="1"/>
  <c r="T49" i="6"/>
  <c r="T20" i="8"/>
  <c r="S22" i="8"/>
  <c r="T42" i="6"/>
  <c r="T35" i="6"/>
  <c r="T44" i="6" l="1"/>
  <c r="T45" i="6"/>
  <c r="U24" i="6" s="1"/>
  <c r="T56" i="6"/>
  <c r="T48" i="6"/>
  <c r="T39" i="6"/>
  <c r="U32" i="19"/>
  <c r="T18" i="25"/>
  <c r="T21" i="25" s="1"/>
  <c r="S38" i="8"/>
  <c r="S36" i="8"/>
  <c r="S39" i="8" s="1"/>
  <c r="T57" i="6" l="1"/>
  <c r="U36" i="4" s="1"/>
  <c r="U38" i="4" s="1"/>
  <c r="U37" i="19"/>
  <c r="U45" i="19" s="1"/>
  <c r="U47" i="19" s="1"/>
  <c r="U27" i="6"/>
  <c r="T37" i="8"/>
  <c r="T43" i="25"/>
  <c r="T45" i="25" s="1"/>
  <c r="T57" i="25"/>
  <c r="T59" i="25" s="1"/>
  <c r="T27" i="25"/>
  <c r="T28" i="25" s="1"/>
  <c r="T29" i="25" s="1"/>
  <c r="U25" i="25" s="1"/>
  <c r="T50" i="25"/>
  <c r="T52" i="25" s="1"/>
  <c r="T37" i="25"/>
  <c r="T38" i="25" s="1"/>
  <c r="T50" i="6"/>
  <c r="T52" i="6" s="1"/>
  <c r="U16" i="25"/>
  <c r="T58" i="6"/>
  <c r="U26" i="25" l="1"/>
  <c r="U28" i="6"/>
  <c r="U40" i="4"/>
  <c r="U41" i="4" s="1"/>
  <c r="T10" i="8"/>
  <c r="T13" i="8" s="1"/>
  <c r="T28" i="8" l="1"/>
  <c r="T16" i="8"/>
  <c r="T24" i="8"/>
  <c r="U43" i="4"/>
  <c r="V42" i="19" s="1"/>
  <c r="V43" i="19" s="1"/>
  <c r="U33" i="6"/>
  <c r="U26" i="6"/>
  <c r="U30" i="6" s="1"/>
  <c r="U35" i="6" l="1"/>
  <c r="U36" i="6"/>
  <c r="U37" i="6"/>
  <c r="T29" i="8"/>
  <c r="T30" i="8" s="1"/>
  <c r="T21" i="8"/>
  <c r="T19" i="8"/>
  <c r="T41" i="8" l="1"/>
  <c r="U15" i="25" s="1"/>
  <c r="T33" i="8"/>
  <c r="U56" i="6"/>
  <c r="U48" i="6"/>
  <c r="U42" i="6"/>
  <c r="U39" i="6"/>
  <c r="U20" i="8"/>
  <c r="T22" i="8"/>
  <c r="U18" i="8" s="1"/>
  <c r="V12" i="25"/>
  <c r="V13" i="25" s="1"/>
  <c r="U49" i="6"/>
  <c r="U45" i="6" l="1"/>
  <c r="V24" i="6" s="1"/>
  <c r="U44" i="6"/>
  <c r="U50" i="6"/>
  <c r="U52" i="6" s="1"/>
  <c r="V16" i="25"/>
  <c r="T36" i="8"/>
  <c r="T39" i="8" s="1"/>
  <c r="U35" i="8" s="1"/>
  <c r="T38" i="8"/>
  <c r="V32" i="19"/>
  <c r="U18" i="25"/>
  <c r="U21" i="25" s="1"/>
  <c r="U27" i="25" l="1"/>
  <c r="U28" i="25" s="1"/>
  <c r="U29" i="25" s="1"/>
  <c r="V25" i="25" s="1"/>
  <c r="U37" i="25"/>
  <c r="U38" i="25" s="1"/>
  <c r="U57" i="25"/>
  <c r="U59" i="25" s="1"/>
  <c r="U43" i="25"/>
  <c r="U45" i="25" s="1"/>
  <c r="U50" i="25"/>
  <c r="U52" i="25" s="1"/>
  <c r="U57" i="6"/>
  <c r="V37" i="19"/>
  <c r="V45" i="19" s="1"/>
  <c r="V47" i="19" s="1"/>
  <c r="U37" i="8"/>
  <c r="V27" i="6"/>
  <c r="V28" i="6"/>
  <c r="V36" i="4" l="1"/>
  <c r="V38" i="4" s="1"/>
  <c r="U58" i="6"/>
  <c r="V26" i="25"/>
  <c r="V33" i="6"/>
  <c r="V30" i="6"/>
  <c r="V26" i="6"/>
  <c r="V40" i="4" l="1"/>
  <c r="U10" i="8"/>
  <c r="U13" i="8" s="1"/>
  <c r="V36" i="6"/>
  <c r="V49" i="6" l="1"/>
  <c r="W12" i="25"/>
  <c r="W13" i="25" s="1"/>
  <c r="V37" i="6"/>
  <c r="V41" i="4"/>
  <c r="V43" i="4" s="1"/>
  <c r="W42" i="19" s="1"/>
  <c r="W43" i="19" s="1"/>
  <c r="U24" i="8"/>
  <c r="U28" i="8"/>
  <c r="U16" i="8"/>
  <c r="U29" i="8" l="1"/>
  <c r="U30" i="8"/>
  <c r="V42" i="6"/>
  <c r="V35" i="6"/>
  <c r="U21" i="8"/>
  <c r="U19" i="8"/>
  <c r="V48" i="6" l="1"/>
  <c r="V56" i="6"/>
  <c r="U33" i="8"/>
  <c r="U41" i="8"/>
  <c r="V15" i="25" s="1"/>
  <c r="V44" i="6"/>
  <c r="V45" i="6"/>
  <c r="W24" i="6" s="1"/>
  <c r="U22" i="8"/>
  <c r="V18" i="8" s="1"/>
  <c r="V39" i="6"/>
  <c r="V20" i="8"/>
  <c r="W27" i="6" l="1"/>
  <c r="V57" i="6"/>
  <c r="W36" i="4" s="1"/>
  <c r="W38" i="4" s="1"/>
  <c r="U38" i="8"/>
  <c r="U36" i="8"/>
  <c r="U39" i="8" s="1"/>
  <c r="V35" i="8" s="1"/>
  <c r="V58" i="6"/>
  <c r="V18" i="25"/>
  <c r="V21" i="25" s="1"/>
  <c r="W32" i="19"/>
  <c r="V50" i="6"/>
  <c r="V52" i="6" s="1"/>
  <c r="W16" i="25"/>
  <c r="V37" i="8" l="1"/>
  <c r="W37" i="19"/>
  <c r="W45" i="19" s="1"/>
  <c r="W47" i="19" s="1"/>
  <c r="W28" i="6"/>
  <c r="W40" i="4"/>
  <c r="W41" i="4" s="1"/>
  <c r="V10" i="8"/>
  <c r="V13" i="8" s="1"/>
  <c r="V43" i="25"/>
  <c r="V45" i="25" s="1"/>
  <c r="V27" i="25"/>
  <c r="V28" i="25" s="1"/>
  <c r="V29" i="25" s="1"/>
  <c r="W25" i="25" s="1"/>
  <c r="V37" i="25"/>
  <c r="V38" i="25" s="1"/>
  <c r="V50" i="25"/>
  <c r="V52" i="25" s="1"/>
  <c r="V57" i="25"/>
  <c r="V59" i="25" s="1"/>
  <c r="W43" i="4" l="1"/>
  <c r="X42" i="19" s="1"/>
  <c r="X43" i="19" s="1"/>
  <c r="W26" i="25"/>
  <c r="W33" i="6"/>
  <c r="W26" i="6"/>
  <c r="W30" i="6" s="1"/>
  <c r="V16" i="8"/>
  <c r="V24" i="8"/>
  <c r="V28" i="8"/>
  <c r="V29" i="8" l="1"/>
  <c r="V30" i="8"/>
  <c r="V19" i="8"/>
  <c r="V21" i="8"/>
  <c r="W36" i="6"/>
  <c r="W37" i="6"/>
  <c r="X12" i="25" l="1"/>
  <c r="X13" i="25" s="1"/>
  <c r="W49" i="6"/>
  <c r="W42" i="6"/>
  <c r="W35" i="6"/>
  <c r="W20" i="8"/>
  <c r="V22" i="8"/>
  <c r="W18" i="8" s="1"/>
  <c r="V33" i="8"/>
  <c r="V41" i="8"/>
  <c r="W15" i="25" s="1"/>
  <c r="W18" i="25" l="1"/>
  <c r="W21" i="25" s="1"/>
  <c r="X32" i="19"/>
  <c r="V36" i="8"/>
  <c r="V38" i="8"/>
  <c r="W37" i="8" s="1"/>
  <c r="W56" i="6"/>
  <c r="W48" i="6"/>
  <c r="W39" i="6"/>
  <c r="W45" i="6"/>
  <c r="X24" i="6" s="1"/>
  <c r="W44" i="6"/>
  <c r="W50" i="6" l="1"/>
  <c r="W52" i="6" s="1"/>
  <c r="X16" i="25"/>
  <c r="X27" i="6"/>
  <c r="W50" i="25"/>
  <c r="W52" i="25" s="1"/>
  <c r="W27" i="25"/>
  <c r="W28" i="25" s="1"/>
  <c r="W29" i="25" s="1"/>
  <c r="X25" i="25" s="1"/>
  <c r="W37" i="25"/>
  <c r="W38" i="25" s="1"/>
  <c r="W57" i="25"/>
  <c r="W59" i="25" s="1"/>
  <c r="W43" i="25"/>
  <c r="W45" i="25" s="1"/>
  <c r="V39" i="8"/>
  <c r="W35" i="8" s="1"/>
  <c r="W57" i="6"/>
  <c r="X36" i="4" s="1"/>
  <c r="X38" i="4" s="1"/>
  <c r="X37" i="19"/>
  <c r="X45" i="19" s="1"/>
  <c r="X47" i="19" s="1"/>
  <c r="X26" i="25" l="1"/>
  <c r="X40" i="4"/>
  <c r="X43" i="4" s="1"/>
  <c r="Y42" i="19" s="1"/>
  <c r="Y43" i="19" s="1"/>
  <c r="X41" i="4"/>
  <c r="W10" i="8"/>
  <c r="W13" i="8" s="1"/>
  <c r="W58" i="6"/>
  <c r="X28" i="6"/>
  <c r="W28" i="8" l="1"/>
  <c r="W16" i="8"/>
  <c r="W24" i="8"/>
  <c r="X33" i="6"/>
  <c r="X30" i="6"/>
  <c r="X26" i="6"/>
  <c r="X36" i="6" l="1"/>
  <c r="W29" i="8"/>
  <c r="W19" i="8"/>
  <c r="W21" i="8"/>
  <c r="W30" i="8"/>
  <c r="Y12" i="25" l="1"/>
  <c r="Y13" i="25" s="1"/>
  <c r="X49" i="6"/>
  <c r="W33" i="8"/>
  <c r="W41" i="8"/>
  <c r="X15" i="25" s="1"/>
  <c r="W22" i="8"/>
  <c r="X18" i="8" s="1"/>
  <c r="X20" i="8"/>
  <c r="X37" i="6"/>
  <c r="Y32" i="19" l="1"/>
  <c r="X18" i="25"/>
  <c r="X21" i="25" s="1"/>
  <c r="X42" i="6"/>
  <c r="X35" i="6"/>
  <c r="W38" i="8"/>
  <c r="X37" i="8" s="1"/>
  <c r="W36" i="8"/>
  <c r="W39" i="8" s="1"/>
  <c r="X35" i="8" s="1"/>
  <c r="Y37" i="19" l="1"/>
  <c r="Y45" i="19" s="1"/>
  <c r="Y47" i="19" s="1"/>
  <c r="X48" i="6"/>
  <c r="X56" i="6"/>
  <c r="X43" i="25"/>
  <c r="X45" i="25" s="1"/>
  <c r="X50" i="25"/>
  <c r="X52" i="25" s="1"/>
  <c r="X27" i="25"/>
  <c r="X28" i="25" s="1"/>
  <c r="X29" i="25" s="1"/>
  <c r="Y25" i="25" s="1"/>
  <c r="X37" i="25"/>
  <c r="X38" i="25" s="1"/>
  <c r="X57" i="25"/>
  <c r="X59" i="25" s="1"/>
  <c r="X39" i="6"/>
  <c r="X45" i="6"/>
  <c r="Y24" i="6" s="1"/>
  <c r="X44" i="6"/>
  <c r="X57" i="6" l="1"/>
  <c r="Y36" i="4" s="1"/>
  <c r="Y38" i="4" s="1"/>
  <c r="X50" i="6"/>
  <c r="X52" i="6" s="1"/>
  <c r="Y16" i="25"/>
  <c r="Y26" i="25"/>
  <c r="Y27" i="6"/>
  <c r="Y43" i="4" l="1"/>
  <c r="Z42" i="19" s="1"/>
  <c r="Z43" i="19" s="1"/>
  <c r="Y40" i="4"/>
  <c r="Y41" i="4"/>
  <c r="X10" i="8"/>
  <c r="X13" i="8" s="1"/>
  <c r="Y28" i="6"/>
  <c r="X58" i="6"/>
  <c r="Y33" i="6" l="1"/>
  <c r="Y26" i="6"/>
  <c r="Y30" i="6" s="1"/>
  <c r="X28" i="8"/>
  <c r="X24" i="8"/>
  <c r="X16" i="8"/>
  <c r="X29" i="8" l="1"/>
  <c r="X30" i="8" s="1"/>
  <c r="Y36" i="6"/>
  <c r="X19" i="8"/>
  <c r="X21" i="8"/>
  <c r="X33" i="8" l="1"/>
  <c r="X41" i="8"/>
  <c r="Y15" i="25" s="1"/>
  <c r="X22" i="8"/>
  <c r="Y18" i="8" s="1"/>
  <c r="Y20" i="8"/>
  <c r="Y49" i="6"/>
  <c r="Z12" i="25"/>
  <c r="Z13" i="25" s="1"/>
  <c r="Y37" i="6"/>
  <c r="X38" i="8" l="1"/>
  <c r="Y37" i="8" s="1"/>
  <c r="X36" i="8"/>
  <c r="X39" i="8" s="1"/>
  <c r="Y35" i="8" s="1"/>
  <c r="Z32" i="19"/>
  <c r="Y18" i="25"/>
  <c r="Y21" i="25" s="1"/>
  <c r="Y39" i="6"/>
  <c r="Y42" i="6"/>
  <c r="Y35" i="6"/>
  <c r="Y27" i="25" l="1"/>
  <c r="Y28" i="25" s="1"/>
  <c r="Y29" i="25" s="1"/>
  <c r="Z25" i="25" s="1"/>
  <c r="Y37" i="25"/>
  <c r="Y38" i="25" s="1"/>
  <c r="Y50" i="25"/>
  <c r="Y52" i="25" s="1"/>
  <c r="Y57" i="25"/>
  <c r="Y59" i="25" s="1"/>
  <c r="Y43" i="25"/>
  <c r="Y45" i="25" s="1"/>
  <c r="Y48" i="6"/>
  <c r="Y56" i="6"/>
  <c r="Y45" i="6"/>
  <c r="Z24" i="6" s="1"/>
  <c r="Y44" i="6"/>
  <c r="Z37" i="19"/>
  <c r="Z45" i="19" s="1"/>
  <c r="Z47" i="19" s="1"/>
  <c r="Y50" i="6" l="1"/>
  <c r="Y52" i="6" s="1"/>
  <c r="Z16" i="25"/>
  <c r="Y57" i="6"/>
  <c r="Z36" i="4" s="1"/>
  <c r="Z38" i="4" s="1"/>
  <c r="Z27" i="6"/>
  <c r="Z28" i="6" s="1"/>
  <c r="Y58" i="6"/>
  <c r="Z26" i="25"/>
  <c r="Z33" i="6" l="1"/>
  <c r="Z30" i="6"/>
  <c r="Z26" i="6"/>
  <c r="Z40" i="4"/>
  <c r="Z41" i="4"/>
  <c r="Z43" i="4"/>
  <c r="AA42" i="19" s="1"/>
  <c r="AA43" i="19" s="1"/>
  <c r="Y10" i="8"/>
  <c r="Y13" i="8" s="1"/>
  <c r="Y24" i="8" l="1"/>
  <c r="Y28" i="8"/>
  <c r="Y16" i="8"/>
  <c r="Z36" i="6"/>
  <c r="Y29" i="8" l="1"/>
  <c r="Y30" i="8" s="1"/>
  <c r="AA12" i="25"/>
  <c r="AA13" i="25" s="1"/>
  <c r="Z49" i="6"/>
  <c r="Z37" i="6"/>
  <c r="Y21" i="8"/>
  <c r="Y19" i="8"/>
  <c r="Y22" i="8" s="1"/>
  <c r="Z18" i="8" s="1"/>
  <c r="Y41" i="8" l="1"/>
  <c r="Z15" i="25" s="1"/>
  <c r="Y33" i="8"/>
  <c r="Z20" i="8"/>
  <c r="Z42" i="6"/>
  <c r="Z39" i="6"/>
  <c r="Z35" i="6"/>
  <c r="Z45" i="6" l="1"/>
  <c r="AA24" i="6" s="1"/>
  <c r="Z44" i="6"/>
  <c r="Y36" i="8"/>
  <c r="Y38" i="8"/>
  <c r="Z37" i="8" s="1"/>
  <c r="AA32" i="19"/>
  <c r="Z18" i="25"/>
  <c r="Z21" i="25" s="1"/>
  <c r="Z56" i="6"/>
  <c r="Z48" i="6"/>
  <c r="Z58" i="6" l="1"/>
  <c r="Z57" i="6"/>
  <c r="AA36" i="4" s="1"/>
  <c r="AA38" i="4" s="1"/>
  <c r="AA27" i="6"/>
  <c r="Z50" i="6"/>
  <c r="Z52" i="6" s="1"/>
  <c r="AA16" i="25"/>
  <c r="Z50" i="25"/>
  <c r="Z52" i="25" s="1"/>
  <c r="Z27" i="25"/>
  <c r="Z28" i="25" s="1"/>
  <c r="Z29" i="25" s="1"/>
  <c r="AA25" i="25" s="1"/>
  <c r="Z37" i="25"/>
  <c r="Z38" i="25" s="1"/>
  <c r="Z43" i="25"/>
  <c r="Z45" i="25" s="1"/>
  <c r="Z57" i="25"/>
  <c r="Z59" i="25" s="1"/>
  <c r="AA37" i="19"/>
  <c r="AA45" i="19" s="1"/>
  <c r="AA47" i="19" s="1"/>
  <c r="Y39" i="8"/>
  <c r="Z35" i="8" s="1"/>
  <c r="AA26" i="25" l="1"/>
  <c r="AA28" i="6"/>
  <c r="AA40" i="4"/>
  <c r="AA41" i="4" s="1"/>
  <c r="AA43" i="4" s="1"/>
  <c r="AB42" i="19" s="1"/>
  <c r="AB43" i="19" s="1"/>
  <c r="Z10" i="8"/>
  <c r="Z13" i="8" s="1"/>
  <c r="Z24" i="8" l="1"/>
  <c r="Z16" i="8"/>
  <c r="Z28" i="8"/>
  <c r="AA33" i="6"/>
  <c r="AA26" i="6"/>
  <c r="AA30" i="6" s="1"/>
  <c r="Z29" i="8" l="1"/>
  <c r="Z30" i="8" s="1"/>
  <c r="AA36" i="6"/>
  <c r="AA37" i="6"/>
  <c r="AA35" i="6"/>
  <c r="Z19" i="8"/>
  <c r="Z21" i="8"/>
  <c r="Z33" i="8" l="1"/>
  <c r="Z41" i="8"/>
  <c r="AA15" i="25" s="1"/>
  <c r="Z22" i="8"/>
  <c r="AA18" i="8" s="1"/>
  <c r="AA20" i="8"/>
  <c r="AA56" i="6"/>
  <c r="AA48" i="6"/>
  <c r="AA39" i="6"/>
  <c r="AA42" i="6"/>
  <c r="AB12" i="25"/>
  <c r="AB13" i="25" s="1"/>
  <c r="AA49" i="6"/>
  <c r="AB32" i="19" l="1"/>
  <c r="AA18" i="25"/>
  <c r="AA21" i="25" s="1"/>
  <c r="AA50" i="6"/>
  <c r="AA52" i="6" s="1"/>
  <c r="AB16" i="25"/>
  <c r="Z38" i="8"/>
  <c r="AA37" i="8" s="1"/>
  <c r="Z36" i="8"/>
  <c r="Z39" i="8" s="1"/>
  <c r="AA35" i="8" s="1"/>
  <c r="AA44" i="6"/>
  <c r="AA45" i="6"/>
  <c r="AB24" i="6" s="1"/>
  <c r="AB27" i="6" l="1"/>
  <c r="AA57" i="6"/>
  <c r="AB37" i="19"/>
  <c r="AB45" i="19" s="1"/>
  <c r="AB47" i="19" s="1"/>
  <c r="AA27" i="25"/>
  <c r="AA28" i="25" s="1"/>
  <c r="AA29" i="25" s="1"/>
  <c r="AB25" i="25" s="1"/>
  <c r="AA37" i="25"/>
  <c r="AA38" i="25" s="1"/>
  <c r="AA57" i="25"/>
  <c r="AA59" i="25" s="1"/>
  <c r="AA43" i="25"/>
  <c r="AA45" i="25" s="1"/>
  <c r="AA50" i="25"/>
  <c r="AA52" i="25" s="1"/>
  <c r="AB26" i="25" l="1"/>
  <c r="AB36" i="4"/>
  <c r="AB38" i="4" s="1"/>
  <c r="AA58" i="6"/>
  <c r="AB28" i="6"/>
  <c r="AB30" i="6" l="1"/>
  <c r="AB33" i="6"/>
  <c r="AB26" i="6"/>
  <c r="AB40" i="4"/>
  <c r="AA10" i="8"/>
  <c r="AA13" i="8" s="1"/>
  <c r="AB36" i="6" l="1"/>
  <c r="AB37" i="6"/>
  <c r="AA16" i="8"/>
  <c r="AA24" i="8"/>
  <c r="AA28" i="8"/>
  <c r="AB41" i="4"/>
  <c r="AB43" i="4" s="1"/>
  <c r="AC42" i="19" s="1"/>
  <c r="AC43" i="19" s="1"/>
  <c r="AB49" i="6" l="1"/>
  <c r="AC12" i="25"/>
  <c r="AC13" i="25" s="1"/>
  <c r="AA29" i="8"/>
  <c r="AA30" i="8" s="1"/>
  <c r="AB42" i="6"/>
  <c r="AB35" i="6"/>
  <c r="AB39" i="6" s="1"/>
  <c r="AA19" i="8"/>
  <c r="AA21" i="8"/>
  <c r="AA41" i="8" l="1"/>
  <c r="AB15" i="25" s="1"/>
  <c r="AA33" i="8"/>
  <c r="AB20" i="8"/>
  <c r="AA22" i="8"/>
  <c r="AB18" i="8" s="1"/>
  <c r="AB44" i="6"/>
  <c r="AB45" i="6"/>
  <c r="AC24" i="6" s="1"/>
  <c r="AB48" i="6"/>
  <c r="AB56" i="6"/>
  <c r="AA38" i="8" l="1"/>
  <c r="AB37" i="8" s="1"/>
  <c r="AA36" i="8"/>
  <c r="AA39" i="8" s="1"/>
  <c r="AB35" i="8" s="1"/>
  <c r="AB18" i="25"/>
  <c r="AB21" i="25" s="1"/>
  <c r="AC32" i="19"/>
  <c r="AC27" i="6"/>
  <c r="AC28" i="6" s="1"/>
  <c r="AB57" i="6"/>
  <c r="AC36" i="4" s="1"/>
  <c r="AC38" i="4" s="1"/>
  <c r="AB58" i="6"/>
  <c r="AB50" i="6"/>
  <c r="AB52" i="6" s="1"/>
  <c r="AC16" i="25"/>
  <c r="AC33" i="6" l="1"/>
  <c r="AC26" i="6"/>
  <c r="AC30" i="6" s="1"/>
  <c r="AB57" i="25"/>
  <c r="AB59" i="25" s="1"/>
  <c r="AB27" i="25"/>
  <c r="AB28" i="25" s="1"/>
  <c r="AB29" i="25" s="1"/>
  <c r="AC25" i="25" s="1"/>
  <c r="AB37" i="25"/>
  <c r="AB38" i="25" s="1"/>
  <c r="AB50" i="25"/>
  <c r="AB52" i="25" s="1"/>
  <c r="AB43" i="25"/>
  <c r="AB45" i="25" s="1"/>
  <c r="AC37" i="19"/>
  <c r="AC45" i="19" s="1"/>
  <c r="AC47" i="19" s="1"/>
  <c r="AC40" i="4"/>
  <c r="AC41" i="4" s="1"/>
  <c r="AB10" i="8"/>
  <c r="AB13" i="8" s="1"/>
  <c r="AC36" i="6" l="1"/>
  <c r="AC37" i="6"/>
  <c r="AB28" i="8"/>
  <c r="AB16" i="8"/>
  <c r="AB24" i="8"/>
  <c r="AC43" i="4"/>
  <c r="AD42" i="19" s="1"/>
  <c r="AD43" i="19" s="1"/>
  <c r="AC26" i="25"/>
  <c r="AB29" i="8" l="1"/>
  <c r="AB30" i="8" s="1"/>
  <c r="AC42" i="6"/>
  <c r="AC39" i="6"/>
  <c r="AC35" i="6"/>
  <c r="AD12" i="25"/>
  <c r="AD13" i="25" s="1"/>
  <c r="AC49" i="6"/>
  <c r="AB21" i="8"/>
  <c r="AB19" i="8"/>
  <c r="AB22" i="8" s="1"/>
  <c r="AC18" i="8" s="1"/>
  <c r="AB41" i="8" l="1"/>
  <c r="AC15" i="25" s="1"/>
  <c r="AB33" i="8"/>
  <c r="AC20" i="8"/>
  <c r="AC48" i="6"/>
  <c r="AC56" i="6"/>
  <c r="AC45" i="6"/>
  <c r="AD24" i="6" s="1"/>
  <c r="AC44" i="6"/>
  <c r="AB38" i="8" l="1"/>
  <c r="AC37" i="8" s="1"/>
  <c r="AB36" i="8"/>
  <c r="AB39" i="8" s="1"/>
  <c r="AC35" i="8" s="1"/>
  <c r="AC57" i="6"/>
  <c r="AD36" i="4" s="1"/>
  <c r="AD38" i="4" s="1"/>
  <c r="AD27" i="6"/>
  <c r="AD28" i="6" s="1"/>
  <c r="AC18" i="25"/>
  <c r="AC21" i="25" s="1"/>
  <c r="AD32" i="19"/>
  <c r="AC50" i="6"/>
  <c r="AC52" i="6" s="1"/>
  <c r="AD16" i="25"/>
  <c r="AD33" i="6" l="1"/>
  <c r="AD26" i="6"/>
  <c r="AD30" i="6" s="1"/>
  <c r="AC58" i="6"/>
  <c r="AD40" i="4"/>
  <c r="AD43" i="4" s="1"/>
  <c r="AE42" i="19" s="1"/>
  <c r="AE43" i="19" s="1"/>
  <c r="AD41" i="4"/>
  <c r="AC10" i="8"/>
  <c r="AC13" i="8" s="1"/>
  <c r="AD37" i="19"/>
  <c r="AD45" i="19" s="1"/>
  <c r="AD47" i="19" s="1"/>
  <c r="AC27" i="25"/>
  <c r="AC28" i="25" s="1"/>
  <c r="AC29" i="25" s="1"/>
  <c r="AD25" i="25" s="1"/>
  <c r="AC37" i="25"/>
  <c r="AC38" i="25" s="1"/>
  <c r="AC57" i="25"/>
  <c r="AC59" i="25" s="1"/>
  <c r="AC43" i="25"/>
  <c r="AC45" i="25" s="1"/>
  <c r="AC50" i="25"/>
  <c r="AC52" i="25" s="1"/>
  <c r="AD36" i="6" l="1"/>
  <c r="AD26" i="25"/>
  <c r="AC28" i="8"/>
  <c r="AC24" i="8"/>
  <c r="AC16" i="8"/>
  <c r="AC21" i="8" l="1"/>
  <c r="AD20" i="8" s="1"/>
  <c r="AC19" i="8"/>
  <c r="AC22" i="8" s="1"/>
  <c r="AD18" i="8" s="1"/>
  <c r="AC29" i="8"/>
  <c r="AC30" i="8" s="1"/>
  <c r="AD49" i="6"/>
  <c r="AE12" i="25"/>
  <c r="AE13" i="25" s="1"/>
  <c r="AD37" i="6"/>
  <c r="AC33" i="8" l="1"/>
  <c r="AC41" i="8"/>
  <c r="AD15" i="25" s="1"/>
  <c r="AD42" i="6"/>
  <c r="AD39" i="6"/>
  <c r="AD35" i="6"/>
  <c r="AD44" i="6" l="1"/>
  <c r="AD45" i="6"/>
  <c r="AE24" i="6" s="1"/>
  <c r="AD18" i="25"/>
  <c r="AD21" i="25" s="1"/>
  <c r="AE32" i="19"/>
  <c r="AC38" i="8"/>
  <c r="AD37" i="8" s="1"/>
  <c r="AC36" i="8"/>
  <c r="AD48" i="6"/>
  <c r="AD56" i="6"/>
  <c r="AD58" i="6" l="1"/>
  <c r="AE37" i="19"/>
  <c r="AE45" i="19" s="1"/>
  <c r="AE47" i="19" s="1"/>
  <c r="AD50" i="6"/>
  <c r="AD52" i="6" s="1"/>
  <c r="AE16" i="25"/>
  <c r="AD43" i="25"/>
  <c r="AD45" i="25" s="1"/>
  <c r="AD57" i="25"/>
  <c r="AD59" i="25" s="1"/>
  <c r="AD50" i="25"/>
  <c r="AD52" i="25" s="1"/>
  <c r="AD27" i="25"/>
  <c r="AD28" i="25" s="1"/>
  <c r="AD29" i="25" s="1"/>
  <c r="AE25" i="25" s="1"/>
  <c r="AD37" i="25"/>
  <c r="AD38" i="25" s="1"/>
  <c r="AE27" i="6"/>
  <c r="AE28" i="6"/>
  <c r="AC39" i="8"/>
  <c r="AD35" i="8" s="1"/>
  <c r="AD57" i="6"/>
  <c r="AE36" i="4" s="1"/>
  <c r="AE38" i="4" s="1"/>
  <c r="AE33" i="6" l="1"/>
  <c r="AE40" i="4"/>
  <c r="AE43" i="4" s="1"/>
  <c r="AF42" i="19" s="1"/>
  <c r="AF43" i="19" s="1"/>
  <c r="AE41" i="4"/>
  <c r="AD10" i="8"/>
  <c r="AD13" i="8" s="1"/>
  <c r="AE26" i="25"/>
  <c r="AE26" i="6"/>
  <c r="AE30" i="6" s="1"/>
  <c r="AD16" i="8" l="1"/>
  <c r="AD24" i="8"/>
  <c r="AD28" i="8"/>
  <c r="AE36" i="6"/>
  <c r="AF12" i="25" l="1"/>
  <c r="AF13" i="25" s="1"/>
  <c r="AE49" i="6"/>
  <c r="AE37" i="6"/>
  <c r="AD29" i="8"/>
  <c r="AD30" i="8" s="1"/>
  <c r="AD19" i="8"/>
  <c r="AD21" i="8"/>
  <c r="AE20" i="8" s="1"/>
  <c r="AD33" i="8" l="1"/>
  <c r="AD41" i="8"/>
  <c r="AE15" i="25" s="1"/>
  <c r="AD22" i="8"/>
  <c r="AE18" i="8" s="1"/>
  <c r="AE42" i="6"/>
  <c r="AE39" i="6"/>
  <c r="AE35" i="6"/>
  <c r="AE45" i="6" l="1"/>
  <c r="AF24" i="6" s="1"/>
  <c r="AE44" i="6"/>
  <c r="AE56" i="6"/>
  <c r="AE48" i="6"/>
  <c r="AF32" i="19"/>
  <c r="AE18" i="25"/>
  <c r="AE21" i="25" s="1"/>
  <c r="AD36" i="8"/>
  <c r="AD39" i="8" s="1"/>
  <c r="AE35" i="8" s="1"/>
  <c r="AD38" i="8"/>
  <c r="AE37" i="8" s="1"/>
  <c r="AE50" i="6" l="1"/>
  <c r="AE52" i="6" s="1"/>
  <c r="AF16" i="25"/>
  <c r="AE58" i="6"/>
  <c r="AF37" i="19"/>
  <c r="AF45" i="19" s="1"/>
  <c r="AF47" i="19" s="1"/>
  <c r="AE57" i="6"/>
  <c r="AF36" i="4" s="1"/>
  <c r="AF38" i="4" s="1"/>
  <c r="AE43" i="25"/>
  <c r="AE45" i="25" s="1"/>
  <c r="AE57" i="25"/>
  <c r="AE59" i="25" s="1"/>
  <c r="AE50" i="25"/>
  <c r="AE52" i="25" s="1"/>
  <c r="AE37" i="25"/>
  <c r="AE38" i="25" s="1"/>
  <c r="AE27" i="25"/>
  <c r="AE28" i="25" s="1"/>
  <c r="AE29" i="25" s="1"/>
  <c r="AF25" i="25" s="1"/>
  <c r="AF27" i="6"/>
  <c r="AF28" i="6"/>
  <c r="AF33" i="6" l="1"/>
  <c r="AF30" i="6"/>
  <c r="AF40" i="4"/>
  <c r="AE10" i="8"/>
  <c r="AE13" i="8" s="1"/>
  <c r="AF26" i="6"/>
  <c r="AF26" i="25"/>
  <c r="AF36" i="6" l="1"/>
  <c r="AE28" i="8"/>
  <c r="AE16" i="8"/>
  <c r="AE24" i="8"/>
  <c r="AF41" i="4"/>
  <c r="AF43" i="4" s="1"/>
  <c r="AG42" i="19" s="1"/>
  <c r="AG43" i="19" s="1"/>
  <c r="AF49" i="6" l="1"/>
  <c r="AG12" i="25"/>
  <c r="AG13" i="25" s="1"/>
  <c r="AE19" i="8"/>
  <c r="AE22" i="8" s="1"/>
  <c r="AF18" i="8" s="1"/>
  <c r="AE21" i="8"/>
  <c r="AF20" i="8" s="1"/>
  <c r="AF37" i="6"/>
  <c r="AE29" i="8"/>
  <c r="AE30" i="8"/>
  <c r="AF39" i="6" l="1"/>
  <c r="AF42" i="6"/>
  <c r="AF35" i="6"/>
  <c r="AE41" i="8"/>
  <c r="AF15" i="25" s="1"/>
  <c r="AE33" i="8"/>
  <c r="AE38" i="8" l="1"/>
  <c r="AF37" i="8" s="1"/>
  <c r="AE36" i="8"/>
  <c r="AF48" i="6"/>
  <c r="AF56" i="6"/>
  <c r="B77" i="6"/>
  <c r="E66" i="6" s="1"/>
  <c r="G35" i="2" s="1"/>
  <c r="AG32" i="19"/>
  <c r="AF18" i="25"/>
  <c r="AF21" i="25" s="1"/>
  <c r="AF45" i="6"/>
  <c r="AF44" i="6"/>
  <c r="AF57" i="6" s="1"/>
  <c r="AG36" i="4" s="1"/>
  <c r="AG38" i="4" s="1"/>
  <c r="AG40" i="4" l="1"/>
  <c r="AG41" i="4" s="1"/>
  <c r="AF10" i="8"/>
  <c r="AF13" i="8" s="1"/>
  <c r="AF43" i="25"/>
  <c r="AF45" i="25" s="1"/>
  <c r="AF50" i="25"/>
  <c r="AF52" i="25" s="1"/>
  <c r="AF27" i="25"/>
  <c r="AF28" i="25" s="1"/>
  <c r="AF29" i="25" s="1"/>
  <c r="AG25" i="25" s="1"/>
  <c r="AF37" i="25"/>
  <c r="AF38" i="25" s="1"/>
  <c r="AF57" i="25"/>
  <c r="AF59" i="25" s="1"/>
  <c r="AG37" i="19"/>
  <c r="AG45" i="19" s="1"/>
  <c r="AG47" i="19" s="1"/>
  <c r="AF58" i="6"/>
  <c r="AF50" i="6"/>
  <c r="AF52" i="6" s="1"/>
  <c r="AG16" i="25"/>
  <c r="AE39" i="8"/>
  <c r="AF35" i="8" s="1"/>
  <c r="AG26" i="25" l="1"/>
  <c r="AG43" i="4"/>
  <c r="AH42" i="19" s="1"/>
  <c r="AH43" i="19" s="1"/>
  <c r="AF28" i="8"/>
  <c r="AF16" i="8"/>
  <c r="AF24" i="8"/>
  <c r="E68" i="6"/>
  <c r="E69" i="6"/>
  <c r="AF30" i="8" l="1"/>
  <c r="AF29" i="8"/>
  <c r="C65" i="2"/>
  <c r="D9" i="16"/>
  <c r="D12" i="16" s="1"/>
  <c r="AF21" i="8"/>
  <c r="AF19" i="8"/>
  <c r="AF22" i="8" s="1"/>
  <c r="D65" i="2"/>
  <c r="C9" i="16"/>
  <c r="C12" i="16" s="1"/>
  <c r="AF33" i="8" l="1"/>
  <c r="AF41" i="8"/>
  <c r="AG15" i="25" s="1"/>
  <c r="AF36" i="8" l="1"/>
  <c r="AF39" i="8" s="1"/>
  <c r="AF38" i="8"/>
  <c r="AH32" i="19"/>
  <c r="AH37" i="19" s="1"/>
  <c r="AH45" i="19" s="1"/>
  <c r="AH47" i="19" s="1"/>
  <c r="AG18" i="25"/>
  <c r="AG21" i="25" s="1"/>
  <c r="AG50" i="25" l="1"/>
  <c r="AG52" i="25" s="1"/>
  <c r="AG27" i="25"/>
  <c r="AG28" i="25" s="1"/>
  <c r="AG29" i="25" s="1"/>
  <c r="AG37" i="25"/>
  <c r="AG38" i="25" s="1"/>
  <c r="AG57" i="25"/>
  <c r="AG59" i="25" s="1"/>
  <c r="AG43" i="25"/>
  <c r="AG45" i="25" s="1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<sst xmlns="http://schemas.openxmlformats.org/spreadsheetml/2006/main" count="1005" uniqueCount="503">
  <si>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</si>
  <si>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</si>
  <si>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</si>
  <si>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</si>
  <si>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</si>
  <si>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</si>
  <si>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</si>
  <si>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</si>
  <si>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</si>
  <si>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</si>
  <si>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</si>
  <si>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</si>
  <si>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</si>
  <si>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</si>
  <si>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</si>
  <si>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</si>
  <si>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</si>
  <si>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</si>
  <si>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</si>
  <si>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</si>
  <si>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</si>
  <si>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</si>
  <si>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</si>
  <si>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</si>
  <si>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</si>
  <si>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</si>
  <si>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</si>
  <si>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</si>
  <si>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</si>
  <si>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</si>
  <si>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</si>
  <si>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</si>
  <si>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</si>
  <si>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</si>
  <si>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</si>
  <si>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</si>
  <si>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</si>
  <si>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</si>
  <si>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</si>
  <si>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</si>
  <si>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</si>
  <si>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</si>
  <si>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</si>
  <si>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</si>
  <si>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</si>
  <si>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</si>
  <si>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</si>
  <si>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</si>
  <si>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</si>
  <si>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</si>
  <si>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</si>
  <si>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</si>
  <si>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</si>
  <si>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</si>
  <si>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</si>
  <si>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</si>
  <si>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</si>
  <si>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</si>
  <si>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</si>
  <si>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</si>
  <si>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</si>
  <si>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</si>
  <si>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</si>
  <si>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</si>
  <si>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</si>
  <si>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</si>
  <si>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</si>
  <si>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</si>
  <si>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</si>
  <si>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</si>
  <si>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</si>
  <si>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</si>
  <si>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</si>
  <si>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</si>
  <si>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</si>
  <si>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</si>
  <si>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</si>
  <si>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</si>
  <si>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</si>
  <si>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</si>
  <si>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</si>
  <si>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</si>
  <si>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</si>
  <si>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</si>
  <si>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</si>
  <si>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</si>
  <si>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</si>
  <si>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</si>
  <si>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</si>
  <si>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</si>
  <si>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</si>
  <si>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</si>
  <si>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</si>
  <si>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</si>
  <si>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</si>
  <si>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</si>
  <si>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</si>
  <si>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</si>
  <si>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</si>
  <si>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</si>
  <si>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</si>
  <si>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</si>
  <si>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</si>
  <si>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</si>
  <si>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</si>
  <si>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</si>
  <si>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</si>
  <si>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</si>
  <si>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</si>
  <si>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</si>
  <si>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</si>
  <si>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</si>
  <si>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</si>
  <si>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</si>
  <si>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</si>
  <si>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</si>
  <si>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</si>
  <si>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</si>
  <si>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</si>
  <si>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</si>
  <si>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</si>
  <si>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</si>
  <si>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</si>
  <si>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</si>
  <si>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</si>
  <si>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</si>
  <si>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</si>
  <si>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</si>
  <si>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</si>
  <si>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</si>
  <si>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</si>
  <si>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</si>
  <si>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</si>
  <si>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</si>
  <si>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</si>
  <si>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</si>
  <si>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</si>
  <si>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</si>
  <si>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</si>
  <si>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</si>
  <si>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</si>
  <si>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</si>
  <si>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</si>
  <si>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</si>
  <si>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</si>
  <si>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</si>
  <si>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</si>
  <si>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</si>
  <si>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</si>
  <si>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</si>
  <si>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</si>
  <si>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</si>
  <si>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</si>
  <si>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</si>
  <si>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</si>
  <si>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</si>
  <si>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</si>
  <si>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</si>
  <si>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</si>
  <si>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</si>
  <si>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</si>
  <si>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</si>
  <si>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</si>
  <si>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</si>
  <si>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</si>
  <si>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</si>
  <si>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</si>
  <si>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</si>
  <si>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</si>
  <si>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</si>
  <si>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</si>
  <si>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</si>
  <si>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</si>
  <si>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</si>
  <si>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</si>
  <si>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</si>
  <si>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</si>
  <si>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</si>
  <si>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</si>
  <si>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</si>
  <si>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</si>
  <si>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</si>
  <si>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</si>
  <si>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</si>
  <si>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</si>
  <si>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</si>
  <si>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</si>
  <si>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</si>
  <si>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</si>
  <si>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</si>
  <si>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</si>
  <si>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</si>
  <si>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</si>
  <si>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</si>
  <si>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</si>
  <si>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</si>
  <si>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</si>
  <si>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</si>
  <si>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</si>
  <si>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</si>
  <si>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</si>
  <si>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</si>
  <si>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</si>
  <si>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</si>
  <si>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</si>
  <si>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</si>
  <si>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</si>
  <si>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</si>
  <si>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</si>
  <si>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</si>
  <si>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</si>
  <si>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</si>
  <si>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</si>
  <si>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</si>
  <si>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</si>
  <si>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</si>
  <si>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</si>
  <si>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</si>
  <si>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</si>
  <si>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</si>
  <si>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</si>
  <si>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</si>
  <si>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</si>
  <si>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</si>
  <si>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</si>
  <si>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</si>
  <si>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</si>
  <si>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</si>
  <si>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</si>
  <si>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</si>
  <si>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</si>
  <si>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</si>
  <si>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</si>
  <si>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</si>
  <si>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</si>
  <si>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</si>
  <si>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</si>
  <si>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</si>
  <si>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</si>
  <si>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</si>
  <si>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</si>
  <si>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</si>
  <si>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</si>
  <si>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</si>
  <si>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</si>
  <si>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</si>
  <si>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</si>
  <si>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</si>
  <si>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</si>
  <si>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</si>
  <si>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</si>
  <si>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</si>
  <si>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</si>
  <si>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</si>
  <si>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</si>
  <si>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</si>
  <si>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</si>
  <si>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</si>
  <si>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</si>
  <si>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</si>
  <si>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</si>
  <si>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</si>
  <si>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</si>
  <si>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</si>
  <si>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</si>
  <si>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</si>
  <si>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</si>
  <si>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</si>
  <si>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</si>
  <si>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</si>
  <si>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</si>
  <si>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</si>
  <si>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</si>
  <si>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</si>
  <si>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</si>
  <si>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</si>
  <si>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</si>
  <si>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</si>
  <si>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</si>
  <si>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</si>
  <si>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</si>
  <si>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</si>
  <si>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</si>
  <si>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</si>
  <si>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</si>
  <si>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</si>
  <si>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</si>
  <si>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</si>
  <si>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</si>
  <si>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</si>
  <si>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</si>
  <si>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</si>
  <si>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</si>
  <si>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</si>
  <si>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</si>
  <si>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</si>
  <si>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</si>
  <si>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</si>
  <si>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</si>
  <si>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</si>
  <si>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</si>
  <si>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</si>
  <si>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</si>
  <si>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</si>
  <si>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</si>
  <si>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</si>
  <si>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</si>
  <si>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</si>
  <si>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</si>
  <si>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</si>
  <si>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</si>
  <si>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</si>
  <si>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</si>
  <si>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</si>
  <si>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</si>
  <si>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</si>
  <si>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</si>
  <si>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</si>
  <si>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</si>
  <si>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</si>
  <si>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</si>
  <si>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</si>
  <si>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</si>
  <si>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</si>
  <si>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</si>
  <si>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</si>
  <si>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</si>
  <si>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</si>
  <si>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</si>
  <si>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</si>
  <si>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</si>
  <si>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</si>
  <si>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</si>
  <si>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</si>
  <si>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</si>
  <si>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</si>
  <si>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</si>
  <si>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</si>
  <si>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</si>
  <si>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</si>
  <si>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</si>
  <si>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</si>
  <si>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</si>
  <si>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</si>
  <si>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</si>
  <si>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</si>
  <si>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</si>
  <si>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</si>
  <si>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</si>
  <si>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</si>
  <si>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</si>
  <si>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</si>
  <si>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</si>
  <si>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</si>
  <si>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</si>
  <si>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</si>
  <si>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</si>
  <si>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</si>
  <si>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</si>
  <si>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</si>
  <si>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</si>
  <si>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</si>
  <si>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</si>
  <si>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</si>
  <si>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</si>
  <si>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</si>
  <si>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</si>
  <si>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</si>
  <si>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</si>
  <si>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</si>
  <si>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</si>
  <si>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</si>
  <si>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</si>
  <si>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</si>
  <si>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</si>
  <si>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</si>
  <si>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</si>
  <si>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</si>
  <si>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</si>
  <si>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</si>
  <si>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</si>
  <si>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</si>
  <si>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</si>
  <si>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</si>
  <si>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</si>
  <si>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</si>
  <si>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</si>
  <si>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</si>
  <si>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</si>
  <si>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</si>
  <si>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</si>
  <si>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</si>
  <si>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</si>
  <si>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</si>
  <si>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</si>
  <si>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</si>
  <si>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</si>
  <si>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</si>
  <si>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</si>
  <si>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</si>
  <si>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</si>
  <si>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</si>
  <si>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</si>
  <si>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</si>
  <si>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</si>
  <si>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</si>
  <si>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</si>
  <si>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</si>
  <si>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</si>
  <si>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</si>
  <si>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</si>
  <si>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</si>
  <si>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</si>
  <si>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</si>
  <si>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</si>
  <si>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</si>
  <si>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</si>
  <si>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</si>
  <si>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</si>
  <si>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</si>
  <si>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</si>
  <si>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</si>
  <si>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</si>
  <si>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</si>
  <si>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</si>
  <si>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</si>
  <si>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</si>
  <si>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</si>
  <si>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</si>
  <si>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</si>
  <si>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</si>
  <si>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</si>
  <si>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</si>
  <si>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</si>
  <si>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</si>
  <si>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</si>
  <si>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</si>
  <si>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</si>
  <si>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</si>
  <si>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</si>
  <si>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</si>
  <si>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</si>
  <si>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</si>
  <si>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</si>
  <si>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</si>
  <si>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</si>
  <si>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</si>
  <si>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</si>
  <si>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</si>
  <si>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</si>
  <si>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</si>
  <si>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</si>
  <si>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</si>
  <si>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</si>
  <si>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</si>
  <si>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</si>
  <si>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</si>
  <si>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</si>
  <si>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</si>
  <si>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</si>
  <si>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</si>
  <si>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</si>
  <si>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</si>
  <si>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</si>
  <si>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</si>
  <si>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</si>
  <si>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</si>
  <si>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</si>
  <si>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</si>
  <si>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</si>
  <si>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</si>
  <si>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</si>
  <si>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</si>
  <si>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</si>
  <si>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</si>
  <si>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</si>
  <si>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</si>
  <si>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</si>
  <si>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</si>
  <si>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</si>
  <si>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</si>
  <si>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</si>
  <si>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</si>
  <si>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</si>
  <si>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</si>
  <si>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</si>
  <si>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</si>
  <si>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</si>
  <si>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</si>
  <si>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</si>
  <si>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</si>
  <si>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</si>
  <si>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</si>
  <si>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</si>
  <si>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</si>
  <si>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</si>
  <si>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</si>
  <si>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Capacity Prices ($/kW-mo.) +10% Version</t>
  </si>
  <si>
    <t>Capacity Prices ($/kW-mo.) -10% Version</t>
  </si>
  <si>
    <t>Capacity Prices ($/kW-mo.) Base Version</t>
  </si>
  <si>
    <t>Spread Option Scenario on power curve shift</t>
  </si>
  <si>
    <t>EQUITY IRR WITH $ 250/kW</t>
  </si>
  <si>
    <t>EES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</si>
</sst>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44" fontId="3" fillId="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908256"/>
        <c:axId val="236908816"/>
      </c:lineChart>
      <c:catAx>
        <c:axId val="2369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908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3690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908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55008"/>
        <c:axId val="237355568"/>
      </c:lineChart>
      <c:catAx>
        <c:axId val="23735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35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35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35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200025</xdr:rowOff>
        </xdr:from>
        <xdr:to>
          <xdr:col>7</xdr:col>
          <xdr:colOff>1190625</xdr:colOff>
          <xdr:row>58</xdr:row>
          <xdr:rowOff>200025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9525</xdr:rowOff>
        </xdr:from>
        <xdr:to>
          <xdr:col>9</xdr:col>
          <xdr:colOff>0</xdr:colOff>
          <xdr:row>61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.75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416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411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420</v>
      </c>
      <c r="F40" s="12"/>
      <c r="G40" s="12"/>
      <c r="H40" s="12" t="s">
        <v>421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9390.5575625868332</v>
      </c>
      <c r="C11" s="385">
        <f t="shared" ref="C11:AF11" si="1">C29+C38</f>
        <v>19034.731732178632</v>
      </c>
      <c r="D11" s="385">
        <f t="shared" si="1"/>
        <v>18563.430101741622</v>
      </c>
      <c r="E11" s="385">
        <f t="shared" si="1"/>
        <v>19231.092431413683</v>
      </c>
      <c r="F11" s="385">
        <f t="shared" si="1"/>
        <v>19242.84534886996</v>
      </c>
      <c r="G11" s="385">
        <f t="shared" si="1"/>
        <v>19112.961892816857</v>
      </c>
      <c r="H11" s="385">
        <f t="shared" si="1"/>
        <v>18551.361448892487</v>
      </c>
      <c r="I11" s="385">
        <f t="shared" si="1"/>
        <v>18376.449032851735</v>
      </c>
      <c r="J11" s="385">
        <f t="shared" si="1"/>
        <v>18079.770639687733</v>
      </c>
      <c r="K11" s="385">
        <f t="shared" si="1"/>
        <v>14311.436704799973</v>
      </c>
      <c r="L11" s="385">
        <f t="shared" si="1"/>
        <v>1758.854683369997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1249.899870527775</v>
      </c>
      <c r="D27" s="383">
        <f t="shared" si="5"/>
        <v>1083.7299588793508</v>
      </c>
      <c r="E27" s="383">
        <f t="shared" si="5"/>
        <v>917.44069226595741</v>
      </c>
      <c r="F27" s="383">
        <f t="shared" si="5"/>
        <v>711.5318471855112</v>
      </c>
      <c r="G27" s="383">
        <f t="shared" si="5"/>
        <v>495.60133268151122</v>
      </c>
      <c r="H27" s="383">
        <f t="shared" si="5"/>
        <v>262.84373157255038</v>
      </c>
      <c r="I27" s="383">
        <f t="shared" si="5"/>
        <v>18.132546653009335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1.584267830130929</v>
      </c>
      <c r="D30" s="403">
        <f t="shared" ref="D30:AF30" si="7">IF(D28&gt;0.1,D29/(D27+D26+C44)," ")</f>
        <v>1.4784762660222099</v>
      </c>
      <c r="E30" s="403">
        <f t="shared" si="7"/>
        <v>1.4896424427257624</v>
      </c>
      <c r="F30" s="403">
        <f t="shared" si="7"/>
        <v>1.4976590955642197</v>
      </c>
      <c r="G30" s="403">
        <f t="shared" si="7"/>
        <v>1.4986936682980039</v>
      </c>
      <c r="H30" s="403">
        <f t="shared" si="7"/>
        <v>1.5100536612482236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412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2349.6335167563611</v>
      </c>
      <c r="D36" s="383">
        <f t="shared" si="10"/>
        <v>2008.0360352906223</v>
      </c>
      <c r="E36" s="383">
        <f t="shared" si="10"/>
        <v>1630.1330322557246</v>
      </c>
      <c r="F36" s="383">
        <f t="shared" si="10"/>
        <v>1218.0919380657488</v>
      </c>
      <c r="G36" s="383">
        <f t="shared" si="10"/>
        <v>767.38157370462091</v>
      </c>
      <c r="H36" s="383">
        <f t="shared" si="10"/>
        <v>287.44779929759216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1.5000000000000002</v>
      </c>
      <c r="C39" s="403">
        <f t="shared" si="12"/>
        <v>1.4157321698690715</v>
      </c>
      <c r="D39" s="403">
        <f t="shared" si="12"/>
        <v>1.5215237339777905</v>
      </c>
      <c r="E39" s="403">
        <f t="shared" si="12"/>
        <v>1.5103575572742378</v>
      </c>
      <c r="F39" s="403">
        <f t="shared" si="12"/>
        <v>1.5023409044357812</v>
      </c>
      <c r="G39" s="403">
        <f t="shared" si="12"/>
        <v>1.5013063317019972</v>
      </c>
      <c r="H39" s="403">
        <f t="shared" si="12"/>
        <v>1.489946338751776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1249.0443606916849</v>
      </c>
      <c r="C44" s="383">
        <f t="shared" ref="C44:AF44" si="15">C42*(C41-C32)/(C41-B41)*$E$64</f>
        <v>1083.7299588793508</v>
      </c>
      <c r="D44" s="383">
        <f t="shared" si="15"/>
        <v>909.95472592644364</v>
      </c>
      <c r="E44" s="383">
        <f t="shared" si="15"/>
        <v>709.58777110030496</v>
      </c>
      <c r="F44" s="383">
        <f t="shared" si="15"/>
        <v>495.60133268151122</v>
      </c>
      <c r="G44" s="383">
        <f t="shared" si="15"/>
        <v>262.84373157255038</v>
      </c>
      <c r="H44" s="383">
        <f t="shared" si="15"/>
        <v>17.984591984071738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4848.5777479758208</v>
      </c>
      <c r="D49" s="383">
        <f t="shared" si="18"/>
        <v>4175.4959530493234</v>
      </c>
      <c r="E49" s="383">
        <f t="shared" si="18"/>
        <v>3457.5284504481256</v>
      </c>
      <c r="F49" s="383">
        <f t="shared" si="18"/>
        <v>2639.2115563515649</v>
      </c>
      <c r="G49" s="383">
        <f t="shared" si="18"/>
        <v>1758.5842390676432</v>
      </c>
      <c r="H49" s="383">
        <f t="shared" si="18"/>
        <v>813.13526244269292</v>
      </c>
      <c r="I49" s="383">
        <f t="shared" si="18"/>
        <v>36.117138637081069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1.5000000000000002</v>
      </c>
      <c r="C52" s="400">
        <f t="shared" ref="C52:AF52" si="20">IF(C33&gt;0.1,(C38+C29)/C50," ")</f>
        <v>1.5000000000000002</v>
      </c>
      <c r="D52" s="400">
        <f t="shared" si="20"/>
        <v>1.5</v>
      </c>
      <c r="E52" s="400">
        <f t="shared" si="20"/>
        <v>1.5</v>
      </c>
      <c r="F52" s="400">
        <f t="shared" si="20"/>
        <v>1.5000000000000002</v>
      </c>
      <c r="G52" s="400">
        <f t="shared" si="20"/>
        <v>1.5000000000000004</v>
      </c>
      <c r="H52" s="400">
        <f t="shared" si="20"/>
        <v>1.4999999999999998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3492.124650001072</v>
      </c>
      <c r="C57" s="383">
        <f t="shared" si="22"/>
        <v>4683.2633461634869</v>
      </c>
      <c r="D57" s="383">
        <f t="shared" si="22"/>
        <v>4001.7207200964167</v>
      </c>
      <c r="E57" s="383">
        <f t="shared" si="22"/>
        <v>3257.1614956219869</v>
      </c>
      <c r="F57" s="383">
        <f t="shared" si="22"/>
        <v>2425.2251179327714</v>
      </c>
      <c r="G57" s="383">
        <f t="shared" si="22"/>
        <v>1525.8266379586823</v>
      </c>
      <c r="H57" s="383">
        <f t="shared" si="22"/>
        <v>568.27612285421424</v>
      </c>
      <c r="I57" s="383">
        <f t="shared" si="22"/>
        <v>18.132546653009335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7" t="s">
        <v>326</v>
      </c>
      <c r="C61" s="648"/>
      <c r="D61" s="648"/>
      <c r="E61" s="6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1.5000000000000016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B15" sqref="B15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1" t="s">
        <v>426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5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5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5" t="s">
        <v>429</v>
      </c>
    </row>
    <row r="2" spans="2:146">
      <c r="C2" t="s">
        <v>430</v>
      </c>
      <c r="O2" t="s">
        <v>431</v>
      </c>
      <c r="AA2" t="s">
        <v>432</v>
      </c>
      <c r="AM2" t="s">
        <v>433</v>
      </c>
      <c r="AY2" t="s">
        <v>434</v>
      </c>
      <c r="BK2" t="s">
        <v>435</v>
      </c>
      <c r="BW2" t="s">
        <v>436</v>
      </c>
      <c r="CI2" t="s">
        <v>437</v>
      </c>
      <c r="CU2" t="s">
        <v>438</v>
      </c>
      <c r="DG2" t="s">
        <v>439</v>
      </c>
      <c r="DS2" t="s">
        <v>440</v>
      </c>
      <c r="EE2" t="s">
        <v>441</v>
      </c>
    </row>
    <row r="3" spans="2:146">
      <c r="B3" s="526" t="s">
        <v>23</v>
      </c>
      <c r="C3" s="527" t="s">
        <v>442</v>
      </c>
      <c r="D3" s="527" t="s">
        <v>443</v>
      </c>
      <c r="E3" s="527" t="s">
        <v>444</v>
      </c>
      <c r="F3" s="527" t="s">
        <v>445</v>
      </c>
      <c r="G3" s="527" t="s">
        <v>446</v>
      </c>
      <c r="H3" s="527" t="s">
        <v>447</v>
      </c>
      <c r="I3" s="527" t="s">
        <v>448</v>
      </c>
      <c r="J3" s="527" t="s">
        <v>449</v>
      </c>
      <c r="K3" s="527" t="s">
        <v>450</v>
      </c>
      <c r="L3" s="527" t="s">
        <v>451</v>
      </c>
      <c r="M3" s="527" t="s">
        <v>452</v>
      </c>
      <c r="N3" s="527" t="s">
        <v>453</v>
      </c>
      <c r="O3" s="527" t="s">
        <v>442</v>
      </c>
      <c r="P3" s="527" t="s">
        <v>443</v>
      </c>
      <c r="Q3" s="527" t="s">
        <v>444</v>
      </c>
      <c r="R3" s="527" t="s">
        <v>445</v>
      </c>
      <c r="S3" s="527" t="s">
        <v>446</v>
      </c>
      <c r="T3" s="527" t="s">
        <v>447</v>
      </c>
      <c r="U3" s="527" t="s">
        <v>448</v>
      </c>
      <c r="V3" s="527" t="s">
        <v>449</v>
      </c>
      <c r="W3" s="527" t="s">
        <v>450</v>
      </c>
      <c r="X3" s="527" t="s">
        <v>451</v>
      </c>
      <c r="Y3" s="527" t="s">
        <v>452</v>
      </c>
      <c r="Z3" s="527" t="s">
        <v>453</v>
      </c>
      <c r="AA3" s="527" t="s">
        <v>442</v>
      </c>
      <c r="AB3" s="527" t="s">
        <v>443</v>
      </c>
      <c r="AC3" s="527" t="s">
        <v>444</v>
      </c>
      <c r="AD3" s="527" t="s">
        <v>445</v>
      </c>
      <c r="AE3" s="527" t="s">
        <v>446</v>
      </c>
      <c r="AF3" s="527" t="s">
        <v>447</v>
      </c>
      <c r="AG3" s="527" t="s">
        <v>448</v>
      </c>
      <c r="AH3" s="527" t="s">
        <v>449</v>
      </c>
      <c r="AI3" s="527" t="s">
        <v>450</v>
      </c>
      <c r="AJ3" s="527" t="s">
        <v>451</v>
      </c>
      <c r="AK3" s="527" t="s">
        <v>452</v>
      </c>
      <c r="AL3" s="527" t="s">
        <v>453</v>
      </c>
      <c r="AM3" s="527" t="s">
        <v>442</v>
      </c>
      <c r="AN3" s="527" t="s">
        <v>443</v>
      </c>
      <c r="AO3" s="527" t="s">
        <v>444</v>
      </c>
      <c r="AP3" s="527" t="s">
        <v>445</v>
      </c>
      <c r="AQ3" s="527" t="s">
        <v>446</v>
      </c>
      <c r="AR3" s="527" t="s">
        <v>447</v>
      </c>
      <c r="AS3" s="527" t="s">
        <v>448</v>
      </c>
      <c r="AT3" s="527" t="s">
        <v>449</v>
      </c>
      <c r="AU3" s="527" t="s">
        <v>450</v>
      </c>
      <c r="AV3" s="527" t="s">
        <v>451</v>
      </c>
      <c r="AW3" s="527" t="s">
        <v>452</v>
      </c>
      <c r="AX3" s="527" t="s">
        <v>453</v>
      </c>
      <c r="AY3" s="527" t="s">
        <v>442</v>
      </c>
      <c r="AZ3" s="527" t="s">
        <v>443</v>
      </c>
      <c r="BA3" s="527" t="s">
        <v>444</v>
      </c>
      <c r="BB3" s="527" t="s">
        <v>445</v>
      </c>
      <c r="BC3" s="527" t="s">
        <v>446</v>
      </c>
      <c r="BD3" s="527" t="s">
        <v>447</v>
      </c>
      <c r="BE3" s="527" t="s">
        <v>448</v>
      </c>
      <c r="BF3" s="527" t="s">
        <v>449</v>
      </c>
      <c r="BG3" s="527" t="s">
        <v>450</v>
      </c>
      <c r="BH3" s="527" t="s">
        <v>451</v>
      </c>
      <c r="BI3" s="527" t="s">
        <v>452</v>
      </c>
      <c r="BJ3" s="527" t="s">
        <v>453</v>
      </c>
      <c r="BK3" s="527" t="s">
        <v>442</v>
      </c>
      <c r="BL3" s="527" t="s">
        <v>443</v>
      </c>
      <c r="BM3" s="527" t="s">
        <v>444</v>
      </c>
      <c r="BN3" s="527" t="s">
        <v>445</v>
      </c>
      <c r="BO3" s="527" t="s">
        <v>446</v>
      </c>
      <c r="BP3" s="527" t="s">
        <v>447</v>
      </c>
      <c r="BQ3" s="527" t="s">
        <v>448</v>
      </c>
      <c r="BR3" s="527" t="s">
        <v>449</v>
      </c>
      <c r="BS3" s="527" t="s">
        <v>450</v>
      </c>
      <c r="BT3" s="527" t="s">
        <v>451</v>
      </c>
      <c r="BU3" s="527" t="s">
        <v>452</v>
      </c>
      <c r="BV3" s="527" t="s">
        <v>453</v>
      </c>
      <c r="BW3" s="527" t="s">
        <v>442</v>
      </c>
      <c r="BX3" s="527" t="s">
        <v>443</v>
      </c>
      <c r="BY3" s="527" t="s">
        <v>444</v>
      </c>
      <c r="BZ3" s="527" t="s">
        <v>445</v>
      </c>
      <c r="CA3" s="527" t="s">
        <v>446</v>
      </c>
      <c r="CB3" s="527" t="s">
        <v>447</v>
      </c>
      <c r="CC3" s="527" t="s">
        <v>448</v>
      </c>
      <c r="CD3" s="527" t="s">
        <v>449</v>
      </c>
      <c r="CE3" s="527" t="s">
        <v>450</v>
      </c>
      <c r="CF3" s="527" t="s">
        <v>451</v>
      </c>
      <c r="CG3" s="527" t="s">
        <v>452</v>
      </c>
      <c r="CH3" s="527" t="s">
        <v>453</v>
      </c>
      <c r="CI3" s="527" t="s">
        <v>442</v>
      </c>
      <c r="CJ3" s="527" t="s">
        <v>443</v>
      </c>
      <c r="CK3" s="527" t="s">
        <v>444</v>
      </c>
      <c r="CL3" s="527" t="s">
        <v>445</v>
      </c>
      <c r="CM3" s="527" t="s">
        <v>446</v>
      </c>
      <c r="CN3" s="527" t="s">
        <v>447</v>
      </c>
      <c r="CO3" s="527" t="s">
        <v>448</v>
      </c>
      <c r="CP3" s="527" t="s">
        <v>449</v>
      </c>
      <c r="CQ3" s="527" t="s">
        <v>450</v>
      </c>
      <c r="CR3" s="527" t="s">
        <v>451</v>
      </c>
      <c r="CS3" s="527" t="s">
        <v>452</v>
      </c>
      <c r="CT3" s="527" t="s">
        <v>453</v>
      </c>
      <c r="CU3" s="527" t="s">
        <v>442</v>
      </c>
      <c r="CV3" s="527" t="s">
        <v>443</v>
      </c>
      <c r="CW3" s="527" t="s">
        <v>444</v>
      </c>
      <c r="CX3" s="527" t="s">
        <v>445</v>
      </c>
      <c r="CY3" s="527" t="s">
        <v>446</v>
      </c>
      <c r="CZ3" s="527" t="s">
        <v>447</v>
      </c>
      <c r="DA3" s="527" t="s">
        <v>448</v>
      </c>
      <c r="DB3" s="527" t="s">
        <v>449</v>
      </c>
      <c r="DC3" s="527" t="s">
        <v>450</v>
      </c>
      <c r="DD3" s="527" t="s">
        <v>451</v>
      </c>
      <c r="DE3" s="527" t="s">
        <v>452</v>
      </c>
      <c r="DF3" s="527" t="s">
        <v>453</v>
      </c>
      <c r="DG3" s="527" t="s">
        <v>442</v>
      </c>
      <c r="DH3" s="527" t="s">
        <v>443</v>
      </c>
      <c r="DI3" s="527" t="s">
        <v>444</v>
      </c>
      <c r="DJ3" s="527" t="s">
        <v>445</v>
      </c>
      <c r="DK3" s="527" t="s">
        <v>446</v>
      </c>
      <c r="DL3" s="527" t="s">
        <v>447</v>
      </c>
      <c r="DM3" s="527" t="s">
        <v>448</v>
      </c>
      <c r="DN3" s="527" t="s">
        <v>449</v>
      </c>
      <c r="DO3" s="527" t="s">
        <v>450</v>
      </c>
      <c r="DP3" s="527" t="s">
        <v>451</v>
      </c>
      <c r="DQ3" s="527" t="s">
        <v>452</v>
      </c>
      <c r="DR3" s="527" t="s">
        <v>453</v>
      </c>
      <c r="DS3" s="527" t="s">
        <v>442</v>
      </c>
      <c r="DT3" s="527" t="s">
        <v>443</v>
      </c>
      <c r="DU3" s="527" t="s">
        <v>444</v>
      </c>
      <c r="DV3" s="527" t="s">
        <v>445</v>
      </c>
      <c r="DW3" s="527" t="s">
        <v>446</v>
      </c>
      <c r="DX3" s="527" t="s">
        <v>447</v>
      </c>
      <c r="DY3" s="527" t="s">
        <v>448</v>
      </c>
      <c r="DZ3" s="527" t="s">
        <v>449</v>
      </c>
      <c r="EA3" s="527" t="s">
        <v>450</v>
      </c>
      <c r="EB3" s="527" t="s">
        <v>451</v>
      </c>
      <c r="EC3" s="527" t="s">
        <v>452</v>
      </c>
      <c r="ED3" s="527" t="s">
        <v>453</v>
      </c>
      <c r="EE3" s="527" t="s">
        <v>442</v>
      </c>
      <c r="EF3" s="527" t="s">
        <v>443</v>
      </c>
      <c r="EG3" s="527" t="s">
        <v>444</v>
      </c>
      <c r="EH3" s="527" t="s">
        <v>445</v>
      </c>
      <c r="EI3" s="527" t="s">
        <v>446</v>
      </c>
      <c r="EJ3" s="527" t="s">
        <v>447</v>
      </c>
      <c r="EK3" s="527" t="s">
        <v>448</v>
      </c>
      <c r="EL3" s="527" t="s">
        <v>449</v>
      </c>
      <c r="EM3" s="527" t="s">
        <v>450</v>
      </c>
      <c r="EN3" s="527" t="s">
        <v>451</v>
      </c>
      <c r="EO3" s="527" t="s">
        <v>452</v>
      </c>
      <c r="EP3" s="527" t="s">
        <v>453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430</v>
      </c>
      <c r="O16" t="s">
        <v>431</v>
      </c>
      <c r="AA16" t="s">
        <v>432</v>
      </c>
      <c r="AM16" t="s">
        <v>433</v>
      </c>
      <c r="AY16" t="s">
        <v>434</v>
      </c>
      <c r="BK16" t="s">
        <v>435</v>
      </c>
      <c r="BW16" t="s">
        <v>436</v>
      </c>
      <c r="CI16" t="s">
        <v>437</v>
      </c>
      <c r="CU16" t="s">
        <v>438</v>
      </c>
      <c r="DG16" t="s">
        <v>439</v>
      </c>
      <c r="DS16" t="s">
        <v>440</v>
      </c>
      <c r="EE16" t="s">
        <v>441</v>
      </c>
    </row>
    <row r="17" spans="2:146">
      <c r="B17" s="526" t="s">
        <v>23</v>
      </c>
      <c r="C17" s="527" t="s">
        <v>442</v>
      </c>
      <c r="D17" s="527" t="s">
        <v>443</v>
      </c>
      <c r="E17" s="527" t="s">
        <v>444</v>
      </c>
      <c r="F17" s="527" t="s">
        <v>445</v>
      </c>
      <c r="G17" s="527" t="s">
        <v>446</v>
      </c>
      <c r="H17" s="527" t="s">
        <v>447</v>
      </c>
      <c r="I17" s="527" t="s">
        <v>448</v>
      </c>
      <c r="J17" s="527" t="s">
        <v>449</v>
      </c>
      <c r="K17" s="527" t="s">
        <v>450</v>
      </c>
      <c r="L17" s="527" t="s">
        <v>451</v>
      </c>
      <c r="M17" s="527" t="s">
        <v>452</v>
      </c>
      <c r="N17" s="527" t="s">
        <v>453</v>
      </c>
      <c r="O17" s="527" t="s">
        <v>442</v>
      </c>
      <c r="P17" s="527" t="s">
        <v>443</v>
      </c>
      <c r="Q17" s="527" t="s">
        <v>444</v>
      </c>
      <c r="R17" s="527" t="s">
        <v>445</v>
      </c>
      <c r="S17" s="527" t="s">
        <v>446</v>
      </c>
      <c r="T17" s="527" t="s">
        <v>447</v>
      </c>
      <c r="U17" s="527" t="s">
        <v>448</v>
      </c>
      <c r="V17" s="527" t="s">
        <v>449</v>
      </c>
      <c r="W17" s="527" t="s">
        <v>450</v>
      </c>
      <c r="X17" s="527" t="s">
        <v>451</v>
      </c>
      <c r="Y17" s="527" t="s">
        <v>452</v>
      </c>
      <c r="Z17" s="527" t="s">
        <v>453</v>
      </c>
      <c r="AA17" s="527" t="s">
        <v>442</v>
      </c>
      <c r="AB17" s="527" t="s">
        <v>443</v>
      </c>
      <c r="AC17" s="527" t="s">
        <v>444</v>
      </c>
      <c r="AD17" s="527" t="s">
        <v>445</v>
      </c>
      <c r="AE17" s="527" t="s">
        <v>446</v>
      </c>
      <c r="AF17" s="527" t="s">
        <v>447</v>
      </c>
      <c r="AG17" s="527" t="s">
        <v>448</v>
      </c>
      <c r="AH17" s="527" t="s">
        <v>449</v>
      </c>
      <c r="AI17" s="527" t="s">
        <v>450</v>
      </c>
      <c r="AJ17" s="527" t="s">
        <v>451</v>
      </c>
      <c r="AK17" s="527" t="s">
        <v>452</v>
      </c>
      <c r="AL17" s="527" t="s">
        <v>453</v>
      </c>
      <c r="AM17" s="527" t="s">
        <v>442</v>
      </c>
      <c r="AN17" s="527" t="s">
        <v>443</v>
      </c>
      <c r="AO17" s="527" t="s">
        <v>444</v>
      </c>
      <c r="AP17" s="527" t="s">
        <v>445</v>
      </c>
      <c r="AQ17" s="527" t="s">
        <v>446</v>
      </c>
      <c r="AR17" s="527" t="s">
        <v>447</v>
      </c>
      <c r="AS17" s="527" t="s">
        <v>448</v>
      </c>
      <c r="AT17" s="527" t="s">
        <v>449</v>
      </c>
      <c r="AU17" s="527" t="s">
        <v>450</v>
      </c>
      <c r="AV17" s="527" t="s">
        <v>451</v>
      </c>
      <c r="AW17" s="527" t="s">
        <v>452</v>
      </c>
      <c r="AX17" s="527" t="s">
        <v>453</v>
      </c>
      <c r="AY17" s="527" t="s">
        <v>442</v>
      </c>
      <c r="AZ17" s="527" t="s">
        <v>443</v>
      </c>
      <c r="BA17" s="527" t="s">
        <v>444</v>
      </c>
      <c r="BB17" s="527" t="s">
        <v>445</v>
      </c>
      <c r="BC17" s="527" t="s">
        <v>446</v>
      </c>
      <c r="BD17" s="527" t="s">
        <v>447</v>
      </c>
      <c r="BE17" s="527" t="s">
        <v>448</v>
      </c>
      <c r="BF17" s="527" t="s">
        <v>449</v>
      </c>
      <c r="BG17" s="527" t="s">
        <v>450</v>
      </c>
      <c r="BH17" s="527" t="s">
        <v>451</v>
      </c>
      <c r="BI17" s="527" t="s">
        <v>452</v>
      </c>
      <c r="BJ17" s="527" t="s">
        <v>453</v>
      </c>
      <c r="BK17" s="527" t="s">
        <v>442</v>
      </c>
      <c r="BL17" s="527" t="s">
        <v>443</v>
      </c>
      <c r="BM17" s="527" t="s">
        <v>444</v>
      </c>
      <c r="BN17" s="527" t="s">
        <v>445</v>
      </c>
      <c r="BO17" s="527" t="s">
        <v>446</v>
      </c>
      <c r="BP17" s="527" t="s">
        <v>447</v>
      </c>
      <c r="BQ17" s="527" t="s">
        <v>448</v>
      </c>
      <c r="BR17" s="527" t="s">
        <v>449</v>
      </c>
      <c r="BS17" s="527" t="s">
        <v>450</v>
      </c>
      <c r="BT17" s="527" t="s">
        <v>451</v>
      </c>
      <c r="BU17" s="527" t="s">
        <v>452</v>
      </c>
      <c r="BV17" s="527" t="s">
        <v>453</v>
      </c>
      <c r="BW17" s="527" t="s">
        <v>442</v>
      </c>
      <c r="BX17" s="527" t="s">
        <v>443</v>
      </c>
      <c r="BY17" s="527" t="s">
        <v>444</v>
      </c>
      <c r="BZ17" s="527" t="s">
        <v>445</v>
      </c>
      <c r="CA17" s="527" t="s">
        <v>446</v>
      </c>
      <c r="CB17" s="527" t="s">
        <v>447</v>
      </c>
      <c r="CC17" s="527" t="s">
        <v>448</v>
      </c>
      <c r="CD17" s="527" t="s">
        <v>449</v>
      </c>
      <c r="CE17" s="527" t="s">
        <v>450</v>
      </c>
      <c r="CF17" s="527" t="s">
        <v>451</v>
      </c>
      <c r="CG17" s="527" t="s">
        <v>452</v>
      </c>
      <c r="CH17" s="527" t="s">
        <v>453</v>
      </c>
      <c r="CI17" s="527" t="s">
        <v>442</v>
      </c>
      <c r="CJ17" s="527" t="s">
        <v>443</v>
      </c>
      <c r="CK17" s="527" t="s">
        <v>444</v>
      </c>
      <c r="CL17" s="527" t="s">
        <v>445</v>
      </c>
      <c r="CM17" s="527" t="s">
        <v>446</v>
      </c>
      <c r="CN17" s="527" t="s">
        <v>447</v>
      </c>
      <c r="CO17" s="527" t="s">
        <v>448</v>
      </c>
      <c r="CP17" s="527" t="s">
        <v>449</v>
      </c>
      <c r="CQ17" s="527" t="s">
        <v>450</v>
      </c>
      <c r="CR17" s="527" t="s">
        <v>451</v>
      </c>
      <c r="CS17" s="527" t="s">
        <v>452</v>
      </c>
      <c r="CT17" s="527" t="s">
        <v>453</v>
      </c>
      <c r="CU17" s="527" t="s">
        <v>442</v>
      </c>
      <c r="CV17" s="527" t="s">
        <v>443</v>
      </c>
      <c r="CW17" s="527" t="s">
        <v>444</v>
      </c>
      <c r="CX17" s="527" t="s">
        <v>445</v>
      </c>
      <c r="CY17" s="527" t="s">
        <v>446</v>
      </c>
      <c r="CZ17" s="527" t="s">
        <v>447</v>
      </c>
      <c r="DA17" s="527" t="s">
        <v>448</v>
      </c>
      <c r="DB17" s="527" t="s">
        <v>449</v>
      </c>
      <c r="DC17" s="527" t="s">
        <v>450</v>
      </c>
      <c r="DD17" s="527" t="s">
        <v>451</v>
      </c>
      <c r="DE17" s="527" t="s">
        <v>452</v>
      </c>
      <c r="DF17" s="527" t="s">
        <v>453</v>
      </c>
      <c r="DG17" s="527" t="s">
        <v>442</v>
      </c>
      <c r="DH17" s="527" t="s">
        <v>443</v>
      </c>
      <c r="DI17" s="527" t="s">
        <v>444</v>
      </c>
      <c r="DJ17" s="527" t="s">
        <v>445</v>
      </c>
      <c r="DK17" s="527" t="s">
        <v>446</v>
      </c>
      <c r="DL17" s="527" t="s">
        <v>447</v>
      </c>
      <c r="DM17" s="527" t="s">
        <v>448</v>
      </c>
      <c r="DN17" s="527" t="s">
        <v>449</v>
      </c>
      <c r="DO17" s="527" t="s">
        <v>450</v>
      </c>
      <c r="DP17" s="527" t="s">
        <v>451</v>
      </c>
      <c r="DQ17" s="527" t="s">
        <v>452</v>
      </c>
      <c r="DR17" s="527" t="s">
        <v>453</v>
      </c>
      <c r="DS17" s="527" t="s">
        <v>442</v>
      </c>
      <c r="DT17" s="527" t="s">
        <v>443</v>
      </c>
      <c r="DU17" s="527" t="s">
        <v>444</v>
      </c>
      <c r="DV17" s="527" t="s">
        <v>445</v>
      </c>
      <c r="DW17" s="527" t="s">
        <v>446</v>
      </c>
      <c r="DX17" s="527" t="s">
        <v>447</v>
      </c>
      <c r="DY17" s="527" t="s">
        <v>448</v>
      </c>
      <c r="DZ17" s="527" t="s">
        <v>449</v>
      </c>
      <c r="EA17" s="527" t="s">
        <v>450</v>
      </c>
      <c r="EB17" s="527" t="s">
        <v>451</v>
      </c>
      <c r="EC17" s="527" t="s">
        <v>452</v>
      </c>
      <c r="ED17" s="527" t="s">
        <v>453</v>
      </c>
      <c r="EE17" s="527" t="s">
        <v>442</v>
      </c>
      <c r="EF17" s="527" t="s">
        <v>443</v>
      </c>
      <c r="EG17" s="527" t="s">
        <v>444</v>
      </c>
      <c r="EH17" s="527" t="s">
        <v>445</v>
      </c>
      <c r="EI17" s="527" t="s">
        <v>446</v>
      </c>
      <c r="EJ17" s="527" t="s">
        <v>447</v>
      </c>
      <c r="EK17" s="527" t="s">
        <v>448</v>
      </c>
      <c r="EL17" s="527" t="s">
        <v>449</v>
      </c>
      <c r="EM17" s="527" t="s">
        <v>450</v>
      </c>
      <c r="EN17" s="527" t="s">
        <v>451</v>
      </c>
      <c r="EO17" s="527" t="s">
        <v>452</v>
      </c>
      <c r="EP17" s="527" t="s">
        <v>453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454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430</v>
      </c>
      <c r="D32" s="528" t="s">
        <v>431</v>
      </c>
      <c r="E32" s="535" t="s">
        <v>432</v>
      </c>
      <c r="F32" s="528" t="s">
        <v>433</v>
      </c>
      <c r="G32" s="535" t="s">
        <v>434</v>
      </c>
      <c r="H32" s="528" t="s">
        <v>435</v>
      </c>
      <c r="I32" s="535" t="s">
        <v>436</v>
      </c>
      <c r="J32" s="528" t="s">
        <v>437</v>
      </c>
      <c r="K32" s="535" t="s">
        <v>438</v>
      </c>
      <c r="L32" s="528" t="s">
        <v>439</v>
      </c>
      <c r="M32" s="535" t="s">
        <v>440</v>
      </c>
      <c r="N32" s="528" t="s">
        <v>441</v>
      </c>
      <c r="O32" s="536" t="s">
        <v>455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>
      <selection activeCell="B7" sqref="B7"/>
    </sheetView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7"/>
      <c r="B7" s="473" t="s">
        <v>501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415</v>
      </c>
    </row>
    <row r="9" spans="1:4" ht="13.5" thickBot="1">
      <c r="A9" s="478" t="s">
        <v>121</v>
      </c>
      <c r="B9" s="479">
        <f>Assumptions!C71</f>
        <v>0.12001051306724544</v>
      </c>
      <c r="C9" s="480">
        <f>Debt!E69</f>
        <v>1.4999999999999976</v>
      </c>
      <c r="D9" s="481">
        <f>Debt!E68</f>
        <v>1.5000000000000016</v>
      </c>
    </row>
    <row r="10" spans="1:4">
      <c r="A10" s="63"/>
      <c r="C10" s="482"/>
      <c r="D10" s="482"/>
    </row>
    <row r="11" spans="1:4" ht="13.5" thickBot="1"/>
    <row r="12" spans="1:4">
      <c r="A12" s="483" t="s">
        <v>374</v>
      </c>
      <c r="B12" s="484">
        <f>B9</f>
        <v>0.12001051306724544</v>
      </c>
      <c r="C12" s="485">
        <f>C9</f>
        <v>1.4999999999999976</v>
      </c>
      <c r="D12" s="486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H13" sqref="H13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457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C11/$H$69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596">
        <v>0.6</v>
      </c>
      <c r="C12" s="193">
        <f>B12*C58</f>
        <v>62997.699013475867</v>
      </c>
      <c r="D12" s="345">
        <f>C12/$H$69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C14/$H$69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423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75">
      <c r="A16" s="119" t="s">
        <v>462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417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456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418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C19/$H$69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N19/$H$69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478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464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481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N30/$H$69</f>
        <v>2.1276595744680851</v>
      </c>
      <c r="P30" s="538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N31/$H$69</f>
        <v>1.3622360774203537</v>
      </c>
      <c r="P31" s="40"/>
      <c r="R31" s="3"/>
    </row>
    <row r="32" spans="1:23" ht="15.75">
      <c r="A32" s="102" t="s">
        <v>424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N32/$H$69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425</v>
      </c>
      <c r="M33" s="42"/>
      <c r="N33" s="276">
        <f>IS!C24/IS!C6</f>
        <v>0</v>
      </c>
      <c r="O33" s="221">
        <f>N33/$H$69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C37/$H$69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428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427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C53/$H$69</f>
        <v>0</v>
      </c>
      <c r="E53" s="13"/>
      <c r="F53" s="102" t="s">
        <v>414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C54/$H$69</f>
        <v>0</v>
      </c>
      <c r="E54" s="13"/>
      <c r="F54" s="102" t="s">
        <v>465</v>
      </c>
      <c r="G54" s="13"/>
      <c r="H54" s="560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C55/$H$69</f>
        <v>5.3191489361702127</v>
      </c>
      <c r="E55" s="13"/>
      <c r="F55" s="102" t="s">
        <v>474</v>
      </c>
      <c r="G55" s="13"/>
      <c r="H55" s="608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C56/$H$69</f>
        <v>5.3191489361702127</v>
      </c>
      <c r="E56" s="13"/>
      <c r="F56" s="102" t="s">
        <v>476</v>
      </c>
      <c r="G56" s="13"/>
      <c r="H56" s="608">
        <v>0</v>
      </c>
      <c r="I56" s="13"/>
      <c r="J56" s="40"/>
    </row>
    <row r="57" spans="1:16" ht="15.75">
      <c r="A57" s="41"/>
      <c r="B57" s="13"/>
      <c r="C57" s="13"/>
      <c r="D57" s="348"/>
      <c r="E57" s="13"/>
      <c r="F57" s="609" t="s">
        <v>305</v>
      </c>
      <c r="G57" s="13"/>
      <c r="H57" s="13"/>
      <c r="I57" s="13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C58/$H$69</f>
        <v>558.49023948116906</v>
      </c>
      <c r="E58" s="13"/>
      <c r="F58" s="102" t="s">
        <v>304</v>
      </c>
      <c r="G58" s="13"/>
      <c r="H58" s="273">
        <f>H19-H52</f>
        <v>0</v>
      </c>
      <c r="I58" s="111"/>
      <c r="J58" s="40"/>
    </row>
    <row r="59" spans="1:16" ht="16.5" thickBot="1">
      <c r="A59" s="13"/>
      <c r="B59" s="13"/>
      <c r="C59" s="82"/>
      <c r="D59" s="13"/>
      <c r="E59" s="13"/>
      <c r="F59" s="102" t="s">
        <v>414</v>
      </c>
      <c r="G59" s="98"/>
      <c r="H59" s="153"/>
      <c r="I59" s="111"/>
      <c r="J59" s="40"/>
    </row>
    <row r="60" spans="1:16" ht="15.75">
      <c r="A60" s="95" t="s">
        <v>32</v>
      </c>
      <c r="B60" s="120"/>
      <c r="C60" s="200"/>
      <c r="D60" s="121"/>
      <c r="E60" s="13"/>
      <c r="F60" s="41"/>
      <c r="G60" s="13"/>
      <c r="H60" s="13"/>
      <c r="I60" s="13"/>
      <c r="J60" s="40"/>
    </row>
    <row r="61" spans="1:16" ht="15.75">
      <c r="A61" s="41"/>
      <c r="B61" s="13"/>
      <c r="C61" s="13"/>
      <c r="D61" s="40"/>
      <c r="E61" s="13"/>
      <c r="F61" s="102" t="s">
        <v>422</v>
      </c>
      <c r="G61" s="98"/>
      <c r="H61" s="153">
        <f>P17</f>
        <v>2.23</v>
      </c>
      <c r="I61" s="111"/>
      <c r="J61" s="40"/>
    </row>
    <row r="62" spans="1:16" ht="15.75">
      <c r="A62" s="340" t="s">
        <v>270</v>
      </c>
      <c r="B62" s="341"/>
      <c r="C62" s="342">
        <f>D58</f>
        <v>558.49023948116906</v>
      </c>
      <c r="D62" s="40"/>
      <c r="E62" s="13"/>
      <c r="F62" s="102"/>
      <c r="G62" s="13"/>
      <c r="H62" s="261"/>
      <c r="I62" s="111"/>
      <c r="J62" s="40"/>
    </row>
    <row r="63" spans="1:16" ht="16.5" thickBot="1">
      <c r="A63" s="518"/>
      <c r="B63" s="178"/>
      <c r="C63" s="178"/>
      <c r="D63" s="40"/>
      <c r="E63" s="13"/>
      <c r="F63" s="104" t="s">
        <v>120</v>
      </c>
      <c r="G63" s="42"/>
      <c r="H63" s="275">
        <f>H69*H73</f>
        <v>263200</v>
      </c>
      <c r="I63" s="201"/>
      <c r="J63" s="81"/>
    </row>
    <row r="64" spans="1:16" ht="16.5" thickBot="1">
      <c r="A64" s="102"/>
      <c r="B64" s="98"/>
      <c r="C64" s="97" t="s">
        <v>34</v>
      </c>
      <c r="D64" s="170" t="s">
        <v>33</v>
      </c>
      <c r="E64" s="13"/>
    </row>
    <row r="65" spans="1:10" ht="15.75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94" t="s">
        <v>5</v>
      </c>
      <c r="G65" s="198"/>
      <c r="H65" s="200"/>
      <c r="I65" s="38"/>
      <c r="J65" s="39"/>
    </row>
    <row r="66" spans="1:10" ht="15.75">
      <c r="A66" s="41"/>
      <c r="B66" s="98"/>
      <c r="C66" s="13"/>
      <c r="D66" s="40"/>
      <c r="E66" s="13"/>
      <c r="F66" s="180"/>
      <c r="G66" s="151"/>
      <c r="H66" s="111"/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2" t="s">
        <v>128</v>
      </c>
      <c r="G67" s="13"/>
      <c r="H67" s="217">
        <f>H12*H13</f>
        <v>188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5.2786001563072213E-2</v>
      </c>
      <c r="D68" s="40"/>
      <c r="E68" s="13"/>
      <c r="F68" s="105" t="s">
        <v>90</v>
      </c>
      <c r="G68" s="13"/>
      <c r="H68" s="338"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119" t="s">
        <v>308</v>
      </c>
      <c r="G69" s="43"/>
      <c r="H69" s="356">
        <f>SUM(H67:H68)</f>
        <v>188</v>
      </c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1" t="s">
        <v>471</v>
      </c>
      <c r="E70" s="13"/>
      <c r="F70" s="41"/>
      <c r="G70" s="13"/>
      <c r="H70" s="13"/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4">
        <f>'Returns Analysis'!C60</f>
        <v>0.12001051306724544</v>
      </c>
      <c r="D71" s="187">
        <v>0.12</v>
      </c>
      <c r="E71" s="13"/>
      <c r="F71" s="102" t="s">
        <v>351</v>
      </c>
      <c r="G71" s="13"/>
      <c r="H71" s="248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266</v>
      </c>
      <c r="G72" s="13"/>
      <c r="H72" s="248">
        <v>400</v>
      </c>
      <c r="I72" s="13"/>
      <c r="J72" s="40"/>
    </row>
    <row r="73" spans="1:10" ht="16.5" thickBot="1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  <c r="F73" s="104" t="s">
        <v>172</v>
      </c>
      <c r="G73" s="42"/>
      <c r="H73" s="257">
        <v>1400</v>
      </c>
      <c r="I73" s="42"/>
      <c r="J73" s="81"/>
    </row>
    <row r="74" spans="1:10" ht="15.75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75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75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5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9525</xdr:rowOff>
                  </from>
                  <to>
                    <xdr:col>9</xdr:col>
                    <xdr:colOff>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0" zoomScale="75" zoomScaleNormal="75" workbookViewId="0">
      <selection activeCell="D12" sqref="D12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413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410</v>
      </c>
      <c r="C35" s="472"/>
      <c r="D35" s="509">
        <f>Assumptions!$H$61*(1+Assumptions!$N$11)^(D7)</f>
        <v>2.2743799223186225</v>
      </c>
      <c r="E35" s="509">
        <f>Assumptions!$H$61*(1+Assumptions!$N$11)^(E7)</f>
        <v>2.3426113199881811</v>
      </c>
      <c r="F35" s="509">
        <f>Assumptions!$H$61*(1+Assumptions!$N$11)^(F7)</f>
        <v>2.4128896595878269</v>
      </c>
      <c r="G35" s="509">
        <f>Assumptions!$H$61*(1+Assumptions!$N$11)^(G7)</f>
        <v>2.4852763493754617</v>
      </c>
      <c r="H35" s="509">
        <f>Assumptions!$H$61*(1+Assumptions!$N$11)^(H7)</f>
        <v>2.5598346398567253</v>
      </c>
      <c r="I35" s="509">
        <f>Assumptions!$H$61*(1+Assumptions!$N$11)^(I7)</f>
        <v>2.6366296790524273</v>
      </c>
      <c r="J35" s="509">
        <f>Assumptions!$H$61*(1+Assumptions!$N$11)^(J7)</f>
        <v>2.7157285694240003</v>
      </c>
      <c r="K35" s="509">
        <f>Assumptions!$H$61*(1+Assumptions!$N$11)^(K7)</f>
        <v>2.7972004265067199</v>
      </c>
      <c r="L35" s="509">
        <f>Assumptions!$H$61*(1+Assumptions!$N$11)^(L7)</f>
        <v>2.8811164393019215</v>
      </c>
      <c r="M35" s="509">
        <f>Assumptions!$H$61*(1+Assumptions!$N$11)^(M7)</f>
        <v>2.9675499324809795</v>
      </c>
      <c r="N35" s="509">
        <f>Assumptions!$H$61*(1+Assumptions!$N$11)^(N7)</f>
        <v>3.0565764304554088</v>
      </c>
      <c r="O35" s="509">
        <f>Assumptions!$H$61*(1+Assumptions!$N$11)^(O7)</f>
        <v>3.1482737233690714</v>
      </c>
      <c r="P35" s="509">
        <f>Assumptions!$H$61*(1+Assumptions!$N$11)^(P7)</f>
        <v>3.2427219350701435</v>
      </c>
      <c r="Q35" s="509">
        <f>Assumptions!$H$61*(1+Assumptions!$N$11)^(Q7)</f>
        <v>3.3400035931222476</v>
      </c>
      <c r="R35" s="509">
        <f>Assumptions!$H$61*(1+Assumptions!$N$11)^(R7)</f>
        <v>3.4402037009159154</v>
      </c>
      <c r="S35" s="509">
        <f>Assumptions!$H$61*(1+Assumptions!$N$11)^(S7)</f>
        <v>3.543409811943393</v>
      </c>
      <c r="T35" s="509">
        <f>Assumptions!$H$61*(1+Assumptions!$N$11)^(T7)</f>
        <v>3.6497121063016946</v>
      </c>
      <c r="U35" s="509">
        <f>Assumptions!$H$61*(1+Assumptions!$N$11)^(U7)</f>
        <v>3.7592034694907452</v>
      </c>
      <c r="V35" s="509">
        <f>Assumptions!$H$61*(1+Assumptions!$N$11)^(V7)</f>
        <v>3.8719795735754685</v>
      </c>
      <c r="W35" s="509">
        <f>Assumptions!$H$61*(1+Assumptions!$N$11)^(W7)</f>
        <v>3.9881389607827322</v>
      </c>
      <c r="X35" s="509">
        <f>Assumptions!$H$61*(1+Assumptions!$N$11)^(X7)</f>
        <v>4.1077831296062142</v>
      </c>
      <c r="Y35" s="509">
        <f>Assumptions!$H$61*(1+Assumptions!$N$11)^(Y7)</f>
        <v>4.2310166234944013</v>
      </c>
      <c r="Z35" s="509">
        <f>Assumptions!$H$61*(1+Assumptions!$N$11)^(Z7)</f>
        <v>4.3579471221992332</v>
      </c>
      <c r="AA35" s="509">
        <f>Assumptions!$H$61*(1+Assumptions!$N$11)^(AA7)</f>
        <v>4.4886855358652111</v>
      </c>
      <c r="AB35" s="509">
        <f>Assumptions!$H$61*(1+Assumptions!$N$11)^(AB7)</f>
        <v>4.6233461019411672</v>
      </c>
      <c r="AC35" s="509">
        <f>Assumptions!$H$61*(1+Assumptions!$N$11)^(AC7)</f>
        <v>4.7620464849994022</v>
      </c>
      <c r="AD35" s="509">
        <f>Assumptions!$H$61*(1+Assumptions!$N$11)^(AD7)</f>
        <v>4.9049078795493841</v>
      </c>
      <c r="AE35" s="509">
        <f>Assumptions!$H$61*(1+Assumptions!$N$11)^(AE7)</f>
        <v>5.0520551159358655</v>
      </c>
      <c r="AF35" s="509">
        <f>Assumptions!$H$61*(1+Assumptions!$N$11)^(AF7)</f>
        <v>5.2036167694139408</v>
      </c>
      <c r="AG35" s="509">
        <f>Assumptions!$H$61*(1+Assumptions!$N$11)^(AG7)</f>
        <v>5.3597252724963607</v>
      </c>
      <c r="AH35" s="509">
        <f>Assumptions!$H$61*(1+Assumptions!$N$11)^(AH7)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419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468</v>
      </c>
      <c r="C41" s="12"/>
      <c r="D41" s="546">
        <f>Assumptions!H54</f>
        <v>45.67</v>
      </c>
      <c r="E41" s="546">
        <f>D41</f>
        <v>45.67</v>
      </c>
      <c r="F41" s="546">
        <f t="shared" ref="F41:AH41" si="7">E41</f>
        <v>45.67</v>
      </c>
      <c r="G41" s="546">
        <f t="shared" si="7"/>
        <v>45.67</v>
      </c>
      <c r="H41" s="546">
        <f t="shared" si="7"/>
        <v>45.67</v>
      </c>
      <c r="I41" s="546">
        <f t="shared" si="7"/>
        <v>45.67</v>
      </c>
      <c r="J41" s="546">
        <f t="shared" si="7"/>
        <v>45.67</v>
      </c>
      <c r="K41" s="546">
        <f t="shared" si="7"/>
        <v>45.67</v>
      </c>
      <c r="L41" s="546">
        <f t="shared" si="7"/>
        <v>45.67</v>
      </c>
      <c r="M41" s="546">
        <f t="shared" si="7"/>
        <v>45.67</v>
      </c>
      <c r="N41" s="546">
        <f t="shared" si="7"/>
        <v>45.67</v>
      </c>
      <c r="O41" s="546">
        <f t="shared" si="7"/>
        <v>45.67</v>
      </c>
      <c r="P41" s="546">
        <f t="shared" si="7"/>
        <v>45.67</v>
      </c>
      <c r="Q41" s="546">
        <f t="shared" si="7"/>
        <v>45.67</v>
      </c>
      <c r="R41" s="546">
        <f t="shared" si="7"/>
        <v>45.67</v>
      </c>
      <c r="S41" s="546">
        <f t="shared" si="7"/>
        <v>45.67</v>
      </c>
      <c r="T41" s="546">
        <f t="shared" si="7"/>
        <v>45.67</v>
      </c>
      <c r="U41" s="546">
        <f t="shared" si="7"/>
        <v>45.67</v>
      </c>
      <c r="V41" s="546">
        <f t="shared" si="7"/>
        <v>45.67</v>
      </c>
      <c r="W41" s="546">
        <f t="shared" si="7"/>
        <v>45.67</v>
      </c>
      <c r="X41" s="546">
        <f t="shared" si="7"/>
        <v>45.67</v>
      </c>
      <c r="Y41" s="546">
        <f t="shared" si="7"/>
        <v>45.67</v>
      </c>
      <c r="Z41" s="546">
        <f t="shared" si="7"/>
        <v>45.67</v>
      </c>
      <c r="AA41" s="546">
        <f t="shared" si="7"/>
        <v>45.67</v>
      </c>
      <c r="AB41" s="546">
        <f t="shared" si="7"/>
        <v>45.67</v>
      </c>
      <c r="AC41" s="546">
        <f t="shared" si="7"/>
        <v>45.67</v>
      </c>
      <c r="AD41" s="546">
        <f t="shared" si="7"/>
        <v>45.67</v>
      </c>
      <c r="AE41" s="546">
        <f t="shared" si="7"/>
        <v>45.67</v>
      </c>
      <c r="AF41" s="546">
        <f t="shared" si="7"/>
        <v>45.67</v>
      </c>
      <c r="AG41" s="546">
        <f t="shared" si="7"/>
        <v>45.67</v>
      </c>
      <c r="AH41" s="546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5"/>
  <sheetViews>
    <sheetView workbookViewId="0">
      <selection activeCell="C9" sqref="C9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4" spans="1:32">
      <c r="A4" s="226" t="s">
        <v>461</v>
      </c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 hidden="1">
      <c r="A6" s="12" t="s">
        <v>486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498</v>
      </c>
      <c r="C7" s="544">
        <v>3.06</v>
      </c>
      <c r="D7" s="544">
        <v>2.95</v>
      </c>
      <c r="E7" s="544">
        <v>2.9</v>
      </c>
      <c r="F7" s="544">
        <v>2.92</v>
      </c>
      <c r="G7" s="544">
        <v>2.93</v>
      </c>
      <c r="H7" s="544">
        <v>2.98</v>
      </c>
      <c r="I7" s="544">
        <v>3.02</v>
      </c>
      <c r="J7" s="544">
        <v>3.04</v>
      </c>
      <c r="K7" s="544">
        <v>3.12</v>
      </c>
      <c r="L7" s="544">
        <v>3.14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A8" s="12" t="s">
        <v>499</v>
      </c>
      <c r="C8" s="544">
        <v>3.88</v>
      </c>
      <c r="D8" s="544">
        <v>3.77</v>
      </c>
      <c r="E8" s="544">
        <v>3.72</v>
      </c>
      <c r="F8" s="544">
        <v>3.73</v>
      </c>
      <c r="G8" s="544">
        <v>3.74</v>
      </c>
      <c r="H8" s="544">
        <v>3.79</v>
      </c>
      <c r="I8" s="544">
        <v>3.83</v>
      </c>
      <c r="J8" s="544">
        <v>3.86</v>
      </c>
      <c r="K8" s="544">
        <v>3.96</v>
      </c>
      <c r="L8" s="544">
        <v>3.98</v>
      </c>
      <c r="M8" s="550"/>
      <c r="N8" s="550"/>
      <c r="O8" s="550"/>
      <c r="P8" s="550"/>
      <c r="Q8" s="550"/>
      <c r="R8" s="550"/>
      <c r="S8" s="550"/>
      <c r="T8" s="550"/>
      <c r="U8" s="550"/>
      <c r="V8" s="550"/>
      <c r="W8" s="550"/>
      <c r="X8" s="550"/>
      <c r="Y8" s="550"/>
      <c r="Z8" s="550"/>
      <c r="AA8" s="550"/>
      <c r="AB8" s="550"/>
      <c r="AC8" s="550"/>
      <c r="AD8" s="550"/>
      <c r="AE8" s="550"/>
      <c r="AF8" s="550"/>
    </row>
    <row r="9" spans="1:32">
      <c r="A9" s="12" t="s">
        <v>497</v>
      </c>
      <c r="B9" s="227"/>
      <c r="C9" s="544">
        <v>4.83</v>
      </c>
      <c r="D9" s="544">
        <v>4.72</v>
      </c>
      <c r="E9" s="544">
        <v>4.6399999999999997</v>
      </c>
      <c r="F9" s="544">
        <v>4.6500000000000004</v>
      </c>
      <c r="G9" s="544">
        <v>4.66</v>
      </c>
      <c r="H9" s="544">
        <v>4.71</v>
      </c>
      <c r="I9" s="544">
        <v>4.75</v>
      </c>
      <c r="J9" s="544">
        <v>4.78</v>
      </c>
      <c r="K9" s="544">
        <v>4.8899999999999997</v>
      </c>
      <c r="L9" s="544">
        <v>4.92</v>
      </c>
    </row>
    <row r="10" spans="1:32" hidden="1">
      <c r="A10" s="12" t="s">
        <v>487</v>
      </c>
      <c r="B10" s="563">
        <v>0</v>
      </c>
      <c r="C10" s="553">
        <f>15544.94*(1+$B$10)</f>
        <v>15544.94</v>
      </c>
      <c r="D10" s="553">
        <f>15996.22*(1+B10)</f>
        <v>15996.22</v>
      </c>
      <c r="E10" s="553">
        <f>16200.055*(1+B10)</f>
        <v>16200.055</v>
      </c>
      <c r="F10" s="553">
        <f>16546.175*(1+B10)</f>
        <v>16546.174999999999</v>
      </c>
      <c r="G10" s="553">
        <f>16734.54*(1+B10)</f>
        <v>16734.54</v>
      </c>
      <c r="H10" s="553">
        <f>16892.733*(1+B10)</f>
        <v>16892.733</v>
      </c>
      <c r="I10" s="553">
        <f>17049.164*(1+B10)</f>
        <v>17049.164000000001</v>
      </c>
      <c r="J10" s="553">
        <f>17195.86*(1+B10)</f>
        <v>17195.86</v>
      </c>
      <c r="K10" s="553">
        <f>17267.466*(1+B10)</f>
        <v>17267.466</v>
      </c>
      <c r="L10" s="553">
        <f>17393.797*(1+B10)</f>
        <v>17393.796999999999</v>
      </c>
    </row>
    <row r="11" spans="1:32" hidden="1">
      <c r="A11" s="12" t="s">
        <v>500</v>
      </c>
      <c r="B11" s="641"/>
      <c r="C11" s="643">
        <f>IF(Assumptions!$H$56=0%,Options!C8,IF(Assumptions!$H$56=10%,Options!C9,IF(Assumptions!$H$56=-10%,Options!C7)))</f>
        <v>3.88</v>
      </c>
      <c r="D11" s="643">
        <f>IF(Assumptions!$H$56=0%,Options!D8,IF(Assumptions!$H$56=10%,Options!D9,IF(Assumptions!$H$56=-10%,Options!D7)))</f>
        <v>3.77</v>
      </c>
      <c r="E11" s="643">
        <f>IF(Assumptions!$H$56=0%,Options!E8,IF(Assumptions!$H$56=10%,Options!E9,IF(Assumptions!$H$56=-10%,Options!E7)))</f>
        <v>3.72</v>
      </c>
      <c r="F11" s="643">
        <f>IF(Assumptions!$H$56=0%,Options!F8,IF(Assumptions!$H$56=10%,Options!F9,IF(Assumptions!$H$56=-10%,Options!F7)))</f>
        <v>3.73</v>
      </c>
      <c r="G11" s="643">
        <f>IF(Assumptions!$H$56=0%,Options!G8,IF(Assumptions!$H$56=10%,Options!G9,IF(Assumptions!$H$56=-10%,Options!G7)))</f>
        <v>3.74</v>
      </c>
      <c r="H11" s="643">
        <f>IF(Assumptions!$H$56=0%,Options!H8,IF(Assumptions!$H$56=10%,Options!H9,IF(Assumptions!$H$56=-10%,Options!H7)))</f>
        <v>3.79</v>
      </c>
      <c r="I11" s="643">
        <f>IF(Assumptions!$H$56=0%,Options!I8,IF(Assumptions!$H$56=10%,Options!I9,IF(Assumptions!$H$56=-10%,Options!I7)))</f>
        <v>3.83</v>
      </c>
      <c r="J11" s="643">
        <f>IF(Assumptions!$H$56=0%,Options!J8,IF(Assumptions!$H$56=10%,Options!J9,IF(Assumptions!$H$56=-10%,Options!J7)))</f>
        <v>3.86</v>
      </c>
      <c r="K11" s="643">
        <f>IF(Assumptions!$H$56=0%,Options!K8,IF(Assumptions!$H$56=10%,Options!K9,IF(Assumptions!$H$56=-10%,Options!K7)))</f>
        <v>3.96</v>
      </c>
      <c r="L11" s="643">
        <f>IF(Assumptions!$H$56=0%,Options!L8,IF(Assumptions!$H$56=10%,Options!L9,IF(Assumptions!$H$56=-10%,Options!L7)))</f>
        <v>3.98</v>
      </c>
    </row>
    <row r="12" spans="1:32">
      <c r="B12" s="641"/>
      <c r="C12" s="642"/>
      <c r="D12" s="642"/>
      <c r="E12" s="642"/>
      <c r="F12" s="642"/>
      <c r="G12" s="642"/>
      <c r="H12" s="642"/>
      <c r="I12" s="642"/>
      <c r="J12" s="642"/>
      <c r="K12" s="642"/>
      <c r="L12" s="642"/>
    </row>
    <row r="13" spans="1:32" hidden="1">
      <c r="A13" s="12" t="s">
        <v>488</v>
      </c>
      <c r="C13" s="545">
        <v>15206.799000000001</v>
      </c>
      <c r="D13" s="545">
        <v>15739.444</v>
      </c>
      <c r="E13" s="545">
        <v>16041.814</v>
      </c>
      <c r="F13" s="545">
        <v>16456.276000000002</v>
      </c>
      <c r="G13" s="545">
        <v>16683.259999999998</v>
      </c>
      <c r="H13" s="545">
        <v>16872.562999999998</v>
      </c>
      <c r="I13" s="545">
        <v>17029.12</v>
      </c>
      <c r="J13" s="545">
        <v>17170.03</v>
      </c>
      <c r="K13" s="545">
        <v>17245.233</v>
      </c>
      <c r="L13" s="545">
        <v>17360.898000000001</v>
      </c>
    </row>
    <row r="14" spans="1:32" hidden="1">
      <c r="A14" s="11" t="s">
        <v>489</v>
      </c>
    </row>
    <row r="15" spans="1:32" hidden="1">
      <c r="A15" s="12" t="s">
        <v>235</v>
      </c>
      <c r="C15" s="545">
        <v>14580.003000000001</v>
      </c>
      <c r="D15" s="545">
        <v>14997.486999999999</v>
      </c>
      <c r="E15" s="545">
        <v>15203.159</v>
      </c>
      <c r="F15" s="545">
        <v>15546.749</v>
      </c>
      <c r="G15" s="545">
        <v>15741.839</v>
      </c>
      <c r="H15" s="545">
        <v>15910.637000000001</v>
      </c>
      <c r="I15" s="545">
        <v>16076.874</v>
      </c>
      <c r="J15" s="545">
        <v>16234.955</v>
      </c>
      <c r="K15" s="545">
        <v>16321.38</v>
      </c>
      <c r="L15" s="545">
        <v>16456.793000000001</v>
      </c>
    </row>
    <row r="16" spans="1:32" hidden="1">
      <c r="A16" s="12" t="s">
        <v>244</v>
      </c>
      <c r="C16" s="545">
        <v>964.93700000000001</v>
      </c>
      <c r="D16" s="545">
        <v>998.73299999999995</v>
      </c>
      <c r="E16" s="545">
        <v>996.89599999999996</v>
      </c>
      <c r="F16" s="545">
        <v>999.42600000000004</v>
      </c>
      <c r="G16" s="545">
        <v>992.70100000000002</v>
      </c>
      <c r="H16" s="545">
        <v>982.09699999999998</v>
      </c>
      <c r="I16" s="545">
        <v>972.29</v>
      </c>
      <c r="J16" s="545">
        <v>960.90499999999997</v>
      </c>
      <c r="K16" s="545">
        <v>946.08500000000004</v>
      </c>
      <c r="L16" s="545">
        <v>937.00400000000002</v>
      </c>
    </row>
    <row r="17" spans="1:12">
      <c r="A17" s="226" t="s">
        <v>484</v>
      </c>
    </row>
    <row r="18" spans="1:12">
      <c r="A18" s="12" t="s">
        <v>469</v>
      </c>
      <c r="C18" s="544">
        <v>4.08</v>
      </c>
      <c r="D18" s="544">
        <v>3.98</v>
      </c>
      <c r="E18" s="544">
        <v>3.95</v>
      </c>
      <c r="F18" s="544">
        <v>3.99</v>
      </c>
      <c r="G18" s="544">
        <v>4.0199999999999996</v>
      </c>
      <c r="H18" s="544">
        <v>4.0599999999999996</v>
      </c>
      <c r="I18" s="544">
        <v>4.12</v>
      </c>
      <c r="J18" s="544">
        <v>4.16</v>
      </c>
      <c r="K18" s="544">
        <v>4.28</v>
      </c>
      <c r="L18" s="544">
        <v>4.3</v>
      </c>
    </row>
    <row r="19" spans="1:12" hidden="1">
      <c r="A19" s="12" t="s">
        <v>463</v>
      </c>
      <c r="C19" s="553">
        <v>16212.968999999999</v>
      </c>
      <c r="D19" s="553">
        <v>16706.766</v>
      </c>
      <c r="E19" s="553">
        <v>17054.900000000001</v>
      </c>
      <c r="F19" s="553">
        <v>17542.91</v>
      </c>
      <c r="G19" s="553">
        <v>17820.478999999999</v>
      </c>
      <c r="H19" s="553">
        <v>17994.330999999998</v>
      </c>
      <c r="I19" s="553">
        <v>18236.170999999998</v>
      </c>
      <c r="J19" s="553">
        <v>18473.848000000002</v>
      </c>
      <c r="K19" s="553">
        <v>18632.525000000001</v>
      </c>
      <c r="L19" s="553">
        <v>18794.405999999999</v>
      </c>
    </row>
    <row r="20" spans="1:12" hidden="1"/>
    <row r="21" spans="1:12">
      <c r="A21" s="226" t="s">
        <v>485</v>
      </c>
    </row>
    <row r="22" spans="1:12">
      <c r="A22" s="12" t="s">
        <v>469</v>
      </c>
      <c r="C22" s="544">
        <v>4.26</v>
      </c>
      <c r="D22" s="544">
        <v>4.18</v>
      </c>
      <c r="E22" s="544">
        <v>4.17</v>
      </c>
      <c r="F22" s="544">
        <v>4.2300000000000004</v>
      </c>
      <c r="G22" s="544">
        <v>4.28</v>
      </c>
      <c r="H22" s="544">
        <v>4.3099999999999996</v>
      </c>
      <c r="I22" s="544">
        <v>4.3899999999999997</v>
      </c>
      <c r="J22" s="544">
        <v>4.45</v>
      </c>
      <c r="K22" s="544">
        <v>4.58</v>
      </c>
      <c r="L22" s="544">
        <v>4.6100000000000003</v>
      </c>
    </row>
    <row r="24" spans="1:12" hidden="1">
      <c r="A24" s="12" t="s">
        <v>463</v>
      </c>
      <c r="C24" s="553">
        <v>17052.151999999998</v>
      </c>
      <c r="D24" s="553">
        <v>17515.977999999999</v>
      </c>
      <c r="E24" s="553">
        <v>17901.733</v>
      </c>
      <c r="F24" s="553">
        <v>18445.41</v>
      </c>
      <c r="G24" s="553">
        <v>18763.184000000001</v>
      </c>
      <c r="H24" s="553">
        <v>18931.931</v>
      </c>
      <c r="I24" s="553">
        <v>19238.37</v>
      </c>
      <c r="J24" s="553">
        <v>19549.835999999999</v>
      </c>
      <c r="K24" s="553">
        <v>19771.198</v>
      </c>
      <c r="L24" s="553">
        <v>19970.675999999999</v>
      </c>
    </row>
    <row r="25" spans="1:12" hidden="1"/>
    <row r="26" spans="1:12" hidden="1"/>
    <row r="27" spans="1:12">
      <c r="A27" s="226" t="s">
        <v>502</v>
      </c>
    </row>
    <row r="28" spans="1:12">
      <c r="A28" s="12" t="s">
        <v>459</v>
      </c>
      <c r="B28" s="227" t="s">
        <v>472</v>
      </c>
      <c r="C28" s="18">
        <v>444454.18</v>
      </c>
      <c r="D28" s="18">
        <v>780058.98</v>
      </c>
      <c r="E28" s="18">
        <v>853098.52</v>
      </c>
      <c r="F28" s="18">
        <v>895576.95</v>
      </c>
      <c r="G28" s="18">
        <v>890978.86</v>
      </c>
      <c r="H28" s="18">
        <v>884420.04</v>
      </c>
      <c r="I28" s="18">
        <v>829190.78</v>
      </c>
      <c r="J28" s="18">
        <v>839458.88</v>
      </c>
      <c r="K28" s="18">
        <v>829528.9</v>
      </c>
      <c r="L28" s="18">
        <v>563847.9</v>
      </c>
    </row>
    <row r="29" spans="1:12">
      <c r="A29" s="12" t="s">
        <v>470</v>
      </c>
      <c r="B29" s="563">
        <f>Assumptions!H56</f>
        <v>0</v>
      </c>
      <c r="C29" s="586">
        <f>15094.311*(1+B29)</f>
        <v>15094.311</v>
      </c>
      <c r="D29" s="586">
        <f>24529.596*(1+B29)</f>
        <v>24529.596000000001</v>
      </c>
      <c r="E29" s="586">
        <f>26860.987*(1+B29)</f>
        <v>26860.987000000001</v>
      </c>
      <c r="F29" s="586">
        <f>28207.44*(1+B29)</f>
        <v>28207.439999999999</v>
      </c>
      <c r="G29" s="586">
        <f>28131.985*(1+B29)</f>
        <v>28131.985000000001</v>
      </c>
      <c r="H29" s="586">
        <f>28053.979*(1+B29)</f>
        <v>28053.978999999999</v>
      </c>
      <c r="I29" s="586">
        <f>26286.585*(1+B29)</f>
        <v>26286.584999999999</v>
      </c>
      <c r="J29" s="586">
        <f>26802.971*(1+B29)</f>
        <v>26802.971000000001</v>
      </c>
      <c r="K29" s="586">
        <f>26892.872*(1+B29)</f>
        <v>26892.871999999999</v>
      </c>
      <c r="L29" s="586">
        <f>19682.798*(1+B29)</f>
        <v>19682.797999999999</v>
      </c>
    </row>
    <row r="30" spans="1:12">
      <c r="A30" s="226" t="s">
        <v>483</v>
      </c>
    </row>
    <row r="31" spans="1:12">
      <c r="A31" s="12" t="s">
        <v>459</v>
      </c>
      <c r="C31" s="66">
        <f>C28</f>
        <v>444454.18</v>
      </c>
      <c r="D31" s="66">
        <f t="shared" ref="D31:L31" si="0">D28</f>
        <v>780058.98</v>
      </c>
      <c r="E31" s="66">
        <f t="shared" si="0"/>
        <v>853098.52</v>
      </c>
      <c r="F31" s="66">
        <f t="shared" si="0"/>
        <v>895576.95</v>
      </c>
      <c r="G31" s="66">
        <f t="shared" si="0"/>
        <v>890978.86</v>
      </c>
      <c r="H31" s="66">
        <f t="shared" si="0"/>
        <v>884420.04</v>
      </c>
      <c r="I31" s="66">
        <f t="shared" si="0"/>
        <v>829190.78</v>
      </c>
      <c r="J31" s="66">
        <f t="shared" si="0"/>
        <v>839458.88</v>
      </c>
      <c r="K31" s="66">
        <f t="shared" si="0"/>
        <v>829528.9</v>
      </c>
      <c r="L31" s="66">
        <f t="shared" si="0"/>
        <v>563847.9</v>
      </c>
    </row>
    <row r="32" spans="1:12">
      <c r="A32" s="12" t="s">
        <v>470</v>
      </c>
      <c r="C32" s="553">
        <v>16603.742999999999</v>
      </c>
      <c r="D32" s="553">
        <v>26982.556</v>
      </c>
      <c r="E32" s="553">
        <v>29547.084999999999</v>
      </c>
      <c r="F32" s="553">
        <v>31028.184000000001</v>
      </c>
      <c r="G32" s="553">
        <v>30945.183000000001</v>
      </c>
      <c r="H32" s="553">
        <v>30859.377</v>
      </c>
      <c r="I32" s="553">
        <v>28915.242999999999</v>
      </c>
      <c r="J32" s="553">
        <v>29483.268</v>
      </c>
      <c r="K32" s="553">
        <v>29582.159</v>
      </c>
      <c r="L32" s="553">
        <v>21651.078000000001</v>
      </c>
    </row>
    <row r="33" spans="1:12">
      <c r="A33" s="226" t="s">
        <v>482</v>
      </c>
    </row>
    <row r="34" spans="1:12">
      <c r="A34" s="12" t="s">
        <v>459</v>
      </c>
      <c r="C34" s="66">
        <f>C28</f>
        <v>444454.18</v>
      </c>
      <c r="D34" s="66">
        <f t="shared" ref="D34:L34" si="1">D28</f>
        <v>780058.98</v>
      </c>
      <c r="E34" s="66">
        <f t="shared" si="1"/>
        <v>853098.52</v>
      </c>
      <c r="F34" s="66">
        <f t="shared" si="1"/>
        <v>895576.95</v>
      </c>
      <c r="G34" s="66">
        <f t="shared" si="1"/>
        <v>890978.86</v>
      </c>
      <c r="H34" s="66">
        <f t="shared" si="1"/>
        <v>884420.04</v>
      </c>
      <c r="I34" s="66">
        <f t="shared" si="1"/>
        <v>829190.78</v>
      </c>
      <c r="J34" s="66">
        <f t="shared" si="1"/>
        <v>839458.88</v>
      </c>
      <c r="K34" s="66">
        <f t="shared" si="1"/>
        <v>829528.9</v>
      </c>
      <c r="L34" s="66">
        <f t="shared" si="1"/>
        <v>563847.9</v>
      </c>
    </row>
    <row r="35" spans="1:12">
      <c r="A35" s="12" t="s">
        <v>470</v>
      </c>
      <c r="C35" s="553">
        <v>13584.88</v>
      </c>
      <c r="D35" s="553">
        <v>22076.635999999999</v>
      </c>
      <c r="E35" s="553">
        <v>24174.887999999999</v>
      </c>
      <c r="F35" s="553">
        <v>25386.696</v>
      </c>
      <c r="G35" s="553">
        <v>25318.786</v>
      </c>
      <c r="H35" s="553">
        <v>25248.580999999998</v>
      </c>
      <c r="I35" s="553">
        <v>23657.925999999999</v>
      </c>
      <c r="J35" s="553">
        <v>24122.673999999999</v>
      </c>
      <c r="K35" s="553">
        <v>24203.583999999999</v>
      </c>
      <c r="L35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61"/>
  <sheetViews>
    <sheetView topLeftCell="L1" workbookViewId="0">
      <selection activeCell="O36" sqref="O36"/>
    </sheetView>
  </sheetViews>
  <sheetFormatPr defaultRowHeight="12.75"/>
  <cols>
    <col min="1" max="1" width="1.7109375" style="12" hidden="1" customWidth="1"/>
    <col min="2" max="2" width="18" style="12" hidden="1" customWidth="1"/>
    <col min="3" max="3" width="1.42578125" style="12" hidden="1" customWidth="1"/>
    <col min="4" max="4" width="10.5703125" style="12" hidden="1" customWidth="1"/>
    <col min="5" max="5" width="1.85546875" style="12" hidden="1" customWidth="1"/>
    <col min="6" max="6" width="9.42578125" style="12" hidden="1" customWidth="1"/>
    <col min="7" max="7" width="1.85546875" style="12" hidden="1" customWidth="1"/>
    <col min="8" max="8" width="9.5703125" style="12" hidden="1" customWidth="1"/>
    <col min="9" max="9" width="1.42578125" style="12" hidden="1" customWidth="1"/>
    <col min="10" max="10" width="16.5703125" style="12" hidden="1" customWidth="1"/>
    <col min="11" max="11" width="1.85546875" style="12" hidden="1" customWidth="1"/>
    <col min="12" max="12" width="8.7109375" style="12" customWidth="1"/>
    <col min="13" max="15" width="8.7109375" style="612" customWidth="1"/>
    <col min="16" max="16" width="9.42578125" style="612" customWidth="1"/>
    <col min="17" max="28" width="8.7109375" style="612" customWidth="1"/>
    <col min="29" max="36" width="9.140625" style="612"/>
    <col min="37" max="41" width="9.140625" style="610"/>
    <col min="42" max="16384" width="9.140625" style="12"/>
  </cols>
  <sheetData>
    <row r="2" spans="1:14" hidden="1">
      <c r="A2" s="226"/>
    </row>
    <row r="3" spans="1:14" hidden="1">
      <c r="B3" s="598" t="s">
        <v>480</v>
      </c>
      <c r="L3" s="562"/>
      <c r="M3" s="613"/>
      <c r="N3" s="613"/>
    </row>
    <row r="4" spans="1:14" ht="13.5" hidden="1" thickBot="1">
      <c r="B4" s="544"/>
      <c r="L4" s="562"/>
      <c r="M4" s="613"/>
      <c r="N4" s="613"/>
    </row>
    <row r="5" spans="1:14" hidden="1">
      <c r="B5" s="565" t="s">
        <v>473</v>
      </c>
      <c r="C5" s="38"/>
      <c r="D5" s="566" t="s">
        <v>465</v>
      </c>
      <c r="E5" s="38"/>
      <c r="F5" s="566" t="s">
        <v>474</v>
      </c>
      <c r="G5" s="38"/>
      <c r="H5" s="579" t="s">
        <v>475</v>
      </c>
      <c r="I5" s="38"/>
      <c r="J5" s="566" t="s">
        <v>476</v>
      </c>
      <c r="K5" s="38"/>
      <c r="L5" s="566" t="s">
        <v>319</v>
      </c>
      <c r="M5" s="614"/>
      <c r="N5" s="615" t="s">
        <v>477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473</v>
      </c>
      <c r="C10" s="57"/>
      <c r="D10" s="588" t="s">
        <v>465</v>
      </c>
      <c r="E10" s="57"/>
      <c r="F10" s="588" t="s">
        <v>474</v>
      </c>
      <c r="G10" s="57"/>
      <c r="H10" s="589" t="s">
        <v>475</v>
      </c>
      <c r="I10" s="57"/>
      <c r="J10" s="588" t="s">
        <v>476</v>
      </c>
      <c r="K10" s="57"/>
      <c r="L10" s="588" t="s">
        <v>319</v>
      </c>
      <c r="M10" s="618"/>
      <c r="N10" s="619" t="s">
        <v>477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473</v>
      </c>
      <c r="C15" s="13"/>
      <c r="D15" s="574" t="s">
        <v>465</v>
      </c>
      <c r="E15" s="13"/>
      <c r="F15" s="574" t="s">
        <v>474</v>
      </c>
      <c r="G15" s="13"/>
      <c r="H15" s="580" t="s">
        <v>475</v>
      </c>
      <c r="I15" s="13"/>
      <c r="J15" s="574" t="s">
        <v>476</v>
      </c>
      <c r="K15" s="13"/>
      <c r="L15" s="574" t="s">
        <v>319</v>
      </c>
      <c r="M15" s="623"/>
      <c r="N15" s="624" t="s">
        <v>477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5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5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476</v>
      </c>
      <c r="C20" s="38"/>
      <c r="D20" s="566" t="s">
        <v>465</v>
      </c>
      <c r="E20" s="38"/>
      <c r="F20" s="566" t="s">
        <v>474</v>
      </c>
      <c r="G20" s="38"/>
      <c r="H20" s="566" t="s">
        <v>475</v>
      </c>
      <c r="I20" s="38"/>
      <c r="J20" s="566" t="s">
        <v>473</v>
      </c>
      <c r="K20" s="38"/>
      <c r="L20" s="566" t="s">
        <v>319</v>
      </c>
      <c r="M20" s="614"/>
      <c r="N20" s="615" t="s">
        <v>477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5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5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474</v>
      </c>
      <c r="C25" s="279"/>
      <c r="D25" s="566" t="s">
        <v>465</v>
      </c>
      <c r="E25" s="279"/>
      <c r="F25" s="566" t="s">
        <v>475</v>
      </c>
      <c r="G25" s="279"/>
      <c r="H25" s="566" t="s">
        <v>476</v>
      </c>
      <c r="I25" s="279"/>
      <c r="J25" s="566" t="s">
        <v>473</v>
      </c>
      <c r="K25" s="38"/>
      <c r="L25" s="566" t="s">
        <v>319</v>
      </c>
      <c r="M25" s="614"/>
      <c r="N25" s="615" t="s">
        <v>477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5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5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75">
      <c r="B32" s="599" t="s">
        <v>479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6" t="s">
        <v>492</v>
      </c>
      <c r="O32" s="646"/>
      <c r="P32" s="646"/>
      <c r="Q32" s="646"/>
    </row>
    <row r="33" spans="2:17" ht="13.5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473</v>
      </c>
      <c r="C34" s="38"/>
      <c r="D34" s="566" t="s">
        <v>465</v>
      </c>
      <c r="E34" s="38"/>
      <c r="F34" s="566" t="s">
        <v>474</v>
      </c>
      <c r="G34" s="38"/>
      <c r="H34" s="579" t="s">
        <v>475</v>
      </c>
      <c r="I34" s="38"/>
      <c r="J34" s="567" t="s">
        <v>476</v>
      </c>
      <c r="K34" s="13"/>
      <c r="L34" s="574"/>
      <c r="M34" s="629"/>
      <c r="N34" s="629"/>
      <c r="O34" s="644" t="s">
        <v>1</v>
      </c>
      <c r="P34" s="644"/>
      <c r="Q34" s="644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5" t="s">
        <v>490</v>
      </c>
      <c r="N35" s="634"/>
      <c r="O35" s="637">
        <v>0.1</v>
      </c>
      <c r="P35" s="637">
        <v>0.12</v>
      </c>
      <c r="Q35" s="637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5"/>
      <c r="N36" s="638">
        <v>250</v>
      </c>
      <c r="O36" s="635">
        <v>42.86</v>
      </c>
      <c r="P36" s="635">
        <v>45.67</v>
      </c>
      <c r="Q36" s="635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5"/>
      <c r="N37" s="639">
        <v>200</v>
      </c>
      <c r="O37" s="635">
        <v>44.36</v>
      </c>
      <c r="P37" s="635">
        <v>47.02</v>
      </c>
      <c r="Q37" s="635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39">
        <v>150</v>
      </c>
      <c r="O38" s="635">
        <v>45.79</v>
      </c>
      <c r="P38" s="635">
        <v>48.39</v>
      </c>
      <c r="Q38" s="635">
        <v>51.1</v>
      </c>
    </row>
    <row r="39" spans="2:17">
      <c r="B39" s="600" t="s">
        <v>473</v>
      </c>
      <c r="C39" s="57"/>
      <c r="D39" s="588" t="s">
        <v>465</v>
      </c>
      <c r="E39" s="57"/>
      <c r="F39" s="588" t="s">
        <v>474</v>
      </c>
      <c r="G39" s="57"/>
      <c r="H39" s="589" t="s">
        <v>475</v>
      </c>
      <c r="I39" s="57"/>
      <c r="J39" s="601" t="s">
        <v>476</v>
      </c>
      <c r="K39" s="13"/>
      <c r="L39" s="574"/>
      <c r="M39" s="616"/>
      <c r="N39" s="616" t="s">
        <v>491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4" t="s">
        <v>476</v>
      </c>
      <c r="P41" s="644"/>
      <c r="Q41" s="644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5" t="s">
        <v>490</v>
      </c>
      <c r="N42" s="634"/>
      <c r="O42" s="636" t="s">
        <v>493</v>
      </c>
      <c r="P42" s="637">
        <v>0</v>
      </c>
      <c r="Q42" s="636" t="s">
        <v>494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5"/>
      <c r="N43" s="638">
        <v>250</v>
      </c>
      <c r="O43" s="640">
        <v>44.83</v>
      </c>
      <c r="P43" s="640">
        <v>45.67</v>
      </c>
      <c r="Q43" s="640">
        <v>46.18</v>
      </c>
    </row>
    <row r="44" spans="2:17">
      <c r="B44" s="573" t="s">
        <v>473</v>
      </c>
      <c r="C44" s="13"/>
      <c r="D44" s="574" t="s">
        <v>465</v>
      </c>
      <c r="E44" s="13"/>
      <c r="F44" s="574" t="s">
        <v>474</v>
      </c>
      <c r="G44" s="13"/>
      <c r="H44" s="580" t="s">
        <v>475</v>
      </c>
      <c r="I44" s="13"/>
      <c r="J44" s="575" t="s">
        <v>476</v>
      </c>
      <c r="K44" s="13"/>
      <c r="L44" s="574"/>
      <c r="M44" s="645"/>
      <c r="N44" s="639">
        <v>200</v>
      </c>
      <c r="O44" s="635">
        <v>46.19</v>
      </c>
      <c r="P44" s="635">
        <v>47.02</v>
      </c>
      <c r="Q44" s="635">
        <v>47.54</v>
      </c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39">
        <v>150</v>
      </c>
      <c r="O45" s="635">
        <v>47.56</v>
      </c>
      <c r="P45" s="635">
        <v>48.39</v>
      </c>
      <c r="Q45" s="635">
        <v>48.91</v>
      </c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495</v>
      </c>
    </row>
    <row r="47" spans="2:17" ht="13.5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/>
    </row>
    <row r="48" spans="2:17" ht="13.5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4" t="s">
        <v>474</v>
      </c>
      <c r="P48" s="644"/>
      <c r="Q48" s="644"/>
    </row>
    <row r="49" spans="2:41">
      <c r="B49" s="565" t="s">
        <v>476</v>
      </c>
      <c r="C49" s="38"/>
      <c r="D49" s="566" t="s">
        <v>465</v>
      </c>
      <c r="E49" s="38"/>
      <c r="F49" s="566" t="s">
        <v>474</v>
      </c>
      <c r="G49" s="38"/>
      <c r="H49" s="566" t="s">
        <v>475</v>
      </c>
      <c r="I49" s="38"/>
      <c r="J49" s="567" t="s">
        <v>473</v>
      </c>
      <c r="K49" s="13"/>
      <c r="L49" s="574"/>
      <c r="M49" s="645" t="s">
        <v>490</v>
      </c>
      <c r="N49" s="634"/>
      <c r="O49" s="637">
        <v>0.7</v>
      </c>
      <c r="P49" s="637">
        <v>0.6</v>
      </c>
      <c r="Q49" s="637">
        <v>0.5</v>
      </c>
    </row>
    <row r="50" spans="2:41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5"/>
      <c r="N50" s="638">
        <v>250</v>
      </c>
      <c r="O50" s="635">
        <v>45.67</v>
      </c>
      <c r="P50" s="640">
        <v>44.9</v>
      </c>
      <c r="Q50" s="640">
        <v>44.19</v>
      </c>
    </row>
    <row r="51" spans="2:41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5"/>
      <c r="N51" s="639">
        <v>200</v>
      </c>
      <c r="O51" s="635">
        <v>47.02</v>
      </c>
      <c r="P51" s="635">
        <v>46.27</v>
      </c>
      <c r="Q51" s="635">
        <v>45.57</v>
      </c>
    </row>
    <row r="52" spans="2:41" ht="13.5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39">
        <v>150</v>
      </c>
      <c r="O52" s="635">
        <v>48.39</v>
      </c>
      <c r="P52" s="635">
        <v>47.63</v>
      </c>
      <c r="Q52" s="635">
        <v>46.92</v>
      </c>
    </row>
    <row r="53" spans="2:41" ht="13.5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496</v>
      </c>
    </row>
    <row r="54" spans="2:41">
      <c r="B54" s="565" t="s">
        <v>474</v>
      </c>
      <c r="C54" s="279"/>
      <c r="D54" s="566" t="s">
        <v>465</v>
      </c>
      <c r="E54" s="279"/>
      <c r="F54" s="566" t="s">
        <v>475</v>
      </c>
      <c r="G54" s="279"/>
      <c r="H54" s="566" t="s">
        <v>476</v>
      </c>
      <c r="I54" s="279"/>
      <c r="J54" s="567" t="s">
        <v>473</v>
      </c>
      <c r="K54" s="13"/>
      <c r="L54" s="574"/>
      <c r="M54" s="616"/>
      <c r="N54" s="616"/>
    </row>
    <row r="55" spans="2:41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AF55" s="610"/>
      <c r="AG55" s="610"/>
      <c r="AH55" s="610"/>
      <c r="AI55" s="610"/>
      <c r="AJ55" s="610"/>
      <c r="AK55" s="12"/>
      <c r="AL55" s="12"/>
      <c r="AM55" s="12"/>
      <c r="AN55" s="12"/>
      <c r="AO55" s="12"/>
    </row>
    <row r="56" spans="2:41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AF56" s="610"/>
      <c r="AG56" s="610"/>
      <c r="AH56" s="610"/>
      <c r="AI56" s="610"/>
      <c r="AJ56" s="610"/>
      <c r="AK56" s="12"/>
      <c r="AL56" s="12"/>
      <c r="AM56" s="12"/>
      <c r="AN56" s="12"/>
      <c r="AO56" s="12"/>
    </row>
    <row r="57" spans="2:41" ht="13.5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AF57" s="610"/>
      <c r="AG57" s="610"/>
      <c r="AH57" s="610"/>
      <c r="AI57" s="610"/>
      <c r="AJ57" s="610"/>
      <c r="AK57" s="12"/>
      <c r="AL57" s="12"/>
      <c r="AM57" s="12"/>
      <c r="AN57" s="12"/>
      <c r="AO57" s="12"/>
    </row>
    <row r="58" spans="2:41">
      <c r="AF58" s="610"/>
      <c r="AG58" s="610"/>
      <c r="AH58" s="610"/>
      <c r="AI58" s="610"/>
      <c r="AJ58" s="610"/>
      <c r="AK58" s="12"/>
      <c r="AL58" s="12"/>
      <c r="AM58" s="12"/>
      <c r="AN58" s="12"/>
      <c r="AO58" s="12"/>
    </row>
    <row r="59" spans="2:41">
      <c r="AF59" s="610"/>
      <c r="AG59" s="610"/>
      <c r="AH59" s="610"/>
      <c r="AI59" s="610"/>
      <c r="AJ59" s="610"/>
      <c r="AK59" s="12"/>
      <c r="AL59" s="12"/>
      <c r="AM59" s="12"/>
      <c r="AN59" s="12"/>
      <c r="AO59" s="12"/>
    </row>
    <row r="60" spans="2:41">
      <c r="AF60" s="610"/>
      <c r="AG60" s="610"/>
      <c r="AH60" s="610"/>
      <c r="AI60" s="610"/>
      <c r="AJ60" s="610"/>
      <c r="AK60" s="12"/>
      <c r="AL60" s="12"/>
      <c r="AM60" s="12"/>
      <c r="AN60" s="12"/>
      <c r="AO60" s="12"/>
    </row>
    <row r="61" spans="2:41">
      <c r="AF61" s="610"/>
      <c r="AG61" s="610"/>
      <c r="AH61" s="610"/>
      <c r="AI61" s="610"/>
      <c r="AJ61" s="610"/>
      <c r="AK61" s="12"/>
      <c r="AL61" s="12"/>
      <c r="AM61" s="12"/>
      <c r="AN61" s="12"/>
      <c r="AO61" s="12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34" sqref="C34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466</v>
      </c>
      <c r="C10" s="74">
        <f>IF(Assumptions!$H$55=70%,Options!C11*12*Assumptions!$H$67,IF(Assumptions!$H$55=60%,Options!C18*12*Assumptions!$H$67,IF(Assumptions!$H$55=50%,Options!C22*12*Assumptions!$H$67)))</f>
        <v>8753.2800000000007</v>
      </c>
      <c r="D10" s="74">
        <f>IF(Assumptions!$H$55=70%,Options!D11*12*Assumptions!$H$67,IF(Assumptions!$H$55=60%,Options!D18*12*Assumptions!$H$67,IF(Assumptions!$H$55=50%,Options!D22*12*Assumptions!$H$67)))</f>
        <v>8505.1200000000008</v>
      </c>
      <c r="E10" s="74">
        <f>IF(Assumptions!$H$55=70%,Options!E11*12*Assumptions!$H$67,IF(Assumptions!$H$55=60%,Options!E18*12*Assumptions!$H$67,IF(Assumptions!$H$55=50%,Options!E22*12*Assumptions!$H$67)))</f>
        <v>8392.32</v>
      </c>
      <c r="F10" s="74">
        <f>IF(Assumptions!$H$55=70%,Options!F11*12*Assumptions!$H$67,IF(Assumptions!$H$55=60%,Options!F18*12*Assumptions!$H$67,IF(Assumptions!$H$55=50%,Options!F22*12*Assumptions!$H$67)))</f>
        <v>8414.8799999999992</v>
      </c>
      <c r="G10" s="74">
        <f>IF(Assumptions!$H$55=70%,Options!G11*12*Assumptions!$H$67,IF(Assumptions!$H$55=60%,Options!G18*12*Assumptions!$H$67,IF(Assumptions!$H$55=50%,Options!G22*12*Assumptions!$H$67)))</f>
        <v>8437.44</v>
      </c>
      <c r="H10" s="74">
        <f>IF(Assumptions!$H$55=70%,Options!H11*12*Assumptions!$H$67,IF(Assumptions!$H$55=60%,Options!H18*12*Assumptions!$H$67,IF(Assumptions!$H$55=50%,Options!H22*12*Assumptions!$H$67)))</f>
        <v>8550.2400000000016</v>
      </c>
      <c r="I10" s="74">
        <f>IF(Assumptions!$H$55=70%,Options!I11*12*Assumptions!$H$67,IF(Assumptions!$H$55=60%,Options!I18*12*Assumptions!$H$67,IF(Assumptions!$H$55=50%,Options!I22*12*Assumptions!$H$67)))</f>
        <v>8640.48</v>
      </c>
      <c r="J10" s="74">
        <f>IF(Assumptions!$H$55=70%,Options!J11*12*Assumptions!$H$67,IF(Assumptions!$H$55=60%,Options!J18*12*Assumptions!$H$67,IF(Assumptions!$H$55=50%,Options!J22*12*Assumptions!$H$67)))</f>
        <v>8708.16</v>
      </c>
      <c r="K10" s="74">
        <f>IF(Assumptions!$H$55=70%,Options!K11*12*Assumptions!$H$67,IF(Assumptions!$H$55=60%,Options!K18*12*Assumptions!$H$67,IF(Assumptions!$H$55=50%,Options!K22*12*Assumptions!$H$67)))</f>
        <v>8933.7599999999984</v>
      </c>
      <c r="L10" s="74">
        <f>IF(Assumptions!$H$55=70%,Options!L11*12*Assumptions!$H$67,IF(Assumptions!$H$55=60%,Options!L18*12*Assumptions!$H$67,IF(Assumptions!$H$55=50%,Options!L22*12*Assumptions!$H$67)))</f>
        <v>8978.8799999999992</v>
      </c>
      <c r="M10" s="74">
        <f>IF(Assumptions!$H$55=70%,Options!M11*12*Assumptions!$H$67,IF(Assumptions!$H$55=60%,Options!M18*12*Assumptions!$H$67,IF(Assumptions!$H$55=50%,Options!M22*12*Assumptions!$H$67)))</f>
        <v>0</v>
      </c>
      <c r="N10" s="74">
        <f>IF(Assumptions!$H$55=70%,Options!N11*12*Assumptions!$H$67,IF(Assumptions!$H$55=60%,Options!N18*12*Assumptions!$H$67,IF(Assumptions!$H$55=50%,Options!N22*12*Assumptions!$H$67)))</f>
        <v>0</v>
      </c>
      <c r="O10" s="74">
        <f>IF(Assumptions!$H$55=70%,Options!O11*12*Assumptions!$H$67,IF(Assumptions!$H$55=60%,Options!O18*12*Assumptions!$H$67,IF(Assumptions!$H$55=50%,Options!O22*12*Assumptions!$H$67)))</f>
        <v>0</v>
      </c>
      <c r="P10" s="74">
        <f>IF(Assumptions!$H$55=70%,Options!P11*12*Assumptions!$H$67,IF(Assumptions!$H$55=60%,Options!P18*12*Assumptions!$H$67,IF(Assumptions!$H$55=50%,Options!P22*12*Assumptions!$H$67)))</f>
        <v>0</v>
      </c>
      <c r="Q10" s="74">
        <f>IF(Assumptions!$H$55=70%,Options!Q11*12*Assumptions!$H$67,IF(Assumptions!$H$55=60%,Options!Q18*12*Assumptions!$H$67,IF(Assumptions!$H$55=50%,Options!Q22*12*Assumptions!$H$67)))</f>
        <v>0</v>
      </c>
      <c r="R10" s="74">
        <f>IF(Assumptions!$H$55=70%,Options!R11*12*Assumptions!$H$67,IF(Assumptions!$H$55=60%,Options!R18*12*Assumptions!$H$67,IF(Assumptions!$H$55=50%,Options!R22*12*Assumptions!$H$67)))</f>
        <v>0</v>
      </c>
      <c r="S10" s="74">
        <f>IF(Assumptions!$H$55=70%,Options!S11*12*Assumptions!$H$67,IF(Assumptions!$H$55=60%,Options!S18*12*Assumptions!$H$67,IF(Assumptions!$H$55=50%,Options!S22*12*Assumptions!$H$67)))</f>
        <v>0</v>
      </c>
      <c r="T10" s="74">
        <f>IF(Assumptions!$H$55=70%,Options!T11*12*Assumptions!$H$67,IF(Assumptions!$H$55=60%,Options!T18*12*Assumptions!$H$67,IF(Assumptions!$H$55=50%,Options!T22*12*Assumptions!$H$67)))</f>
        <v>0</v>
      </c>
      <c r="U10" s="74">
        <f>IF(Assumptions!$H$55=70%,Options!U11*12*Assumptions!$H$67,IF(Assumptions!$H$55=60%,Options!U18*12*Assumptions!$H$67,IF(Assumptions!$H$55=50%,Options!U22*12*Assumptions!$H$67)))</f>
        <v>0</v>
      </c>
      <c r="V10" s="74">
        <f>IF(Assumptions!$H$55=70%,Options!V11*12*Assumptions!$H$67,IF(Assumptions!$H$55=60%,Options!V18*12*Assumptions!$H$67,IF(Assumptions!$H$55=50%,Options!V22*12*Assumptions!$H$67)))</f>
        <v>0</v>
      </c>
      <c r="W10" s="74">
        <f>IF(Assumptions!$H$55=70%,Options!W11*12*Assumptions!$H$67,IF(Assumptions!$H$55=60%,Options!W18*12*Assumptions!$H$67,IF(Assumptions!$H$55=50%,Options!W22*12*Assumptions!$H$67)))</f>
        <v>0</v>
      </c>
      <c r="X10" s="74">
        <f>IF(Assumptions!$H$55=70%,Options!X11*12*Assumptions!$H$67,IF(Assumptions!$H$55=60%,Options!X18*12*Assumptions!$H$67,IF(Assumptions!$H$55=50%,Options!X22*12*Assumptions!$H$67)))</f>
        <v>0</v>
      </c>
      <c r="Y10" s="74">
        <f>IF(Assumptions!$H$55=70%,Options!Y11*12*Assumptions!$H$67,IF(Assumptions!$H$55=60%,Options!Y18*12*Assumptions!$H$67,IF(Assumptions!$H$55=50%,Options!Y22*12*Assumptions!$H$67)))</f>
        <v>0</v>
      </c>
      <c r="Z10" s="74">
        <f>IF(Assumptions!$H$55=70%,Options!Z11*12*Assumptions!$H$67,IF(Assumptions!$H$55=60%,Options!Z18*12*Assumptions!$H$67,IF(Assumptions!$H$55=50%,Options!Z22*12*Assumptions!$H$67)))</f>
        <v>0</v>
      </c>
      <c r="AA10" s="74">
        <f>IF(Assumptions!$H$55=70%,Options!AA11*12*Assumptions!$H$67,IF(Assumptions!$H$55=60%,Options!AA18*12*Assumptions!$H$67,IF(Assumptions!$H$55=50%,Options!AA22*12*Assumptions!$H$67)))</f>
        <v>0</v>
      </c>
      <c r="AB10" s="74">
        <f>IF(Assumptions!$H$55=70%,Options!AB11*12*Assumptions!$H$67,IF(Assumptions!$H$55=60%,Options!AB18*12*Assumptions!$H$67,IF(Assumptions!$H$55=50%,Options!AB22*12*Assumptions!$H$67)))</f>
        <v>0</v>
      </c>
      <c r="AC10" s="74">
        <f>IF(Assumptions!$H$55=70%,Options!AC11*12*Assumptions!$H$67,IF(Assumptions!$H$55=60%,Options!AC18*12*Assumptions!$H$67,IF(Assumptions!$H$55=50%,Options!AC22*12*Assumptions!$H$67)))</f>
        <v>0</v>
      </c>
      <c r="AD10" s="74">
        <f>IF(Assumptions!$H$55=70%,Options!AD11*12*Assumptions!$H$67,IF(Assumptions!$H$55=60%,Options!AD18*12*Assumptions!$H$67,IF(Assumptions!$H$55=50%,Options!AD22*12*Assumptions!$H$67)))</f>
        <v>0</v>
      </c>
      <c r="AE10" s="74">
        <f>IF(Assumptions!$H$55=70%,Options!AE11*12*Assumptions!$H$67,IF(Assumptions!$H$55=60%,Options!AE18*12*Assumptions!$H$67,IF(Assumptions!$H$55=50%,Options!AE22*12*Assumptions!$H$67)))</f>
        <v>0</v>
      </c>
      <c r="AF10" s="74">
        <f>IF(Assumptions!$H$55=70%,Options!AF11*12*Assumptions!$H$67,IF(Assumptions!$H$55=60%,Options!AF18*12*Assumptions!$H$67,IF(Assumptions!$H$55=50%,Options!AF22*12*Assumptions!$H$67)))</f>
        <v>0</v>
      </c>
      <c r="AG10" s="74">
        <f>IF(Assumptions!$H$55=70%,Options!AG11*12*Assumptions!$H$67,IF(Assumptions!$H$55=60%,Options!AG18*12*Assumptions!$H$67,IF(Assumptions!$H$55=50%,Options!AG22*12*Assumptions!$H$67)))</f>
        <v>0</v>
      </c>
    </row>
    <row r="11" spans="1:43">
      <c r="A11" s="3" t="s">
        <v>467</v>
      </c>
      <c r="C11" s="74">
        <f>IF(Assumptions!$B$16="Yes",Options!C28/1000*'Price_Technical Assumption'!D41,0)</f>
        <v>20298.2224006</v>
      </c>
      <c r="D11" s="74">
        <f>IF(Assumptions!$B$16="Yes",Options!D28/1000*'Price_Technical Assumption'!E41,0)</f>
        <v>35625.2936166</v>
      </c>
      <c r="E11" s="74">
        <f>IF(Assumptions!$B$16="Yes",Options!E28/1000*'Price_Technical Assumption'!F41,0)</f>
        <v>38961.009408400001</v>
      </c>
      <c r="F11" s="74">
        <f>IF(Assumptions!$B$16="Yes",Options!F28/1000*'Price_Technical Assumption'!G41,0)</f>
        <v>40900.999306499994</v>
      </c>
      <c r="G11" s="74">
        <f>IF(Assumptions!$B$16="Yes",Options!G28/1000*'Price_Technical Assumption'!H41,0)</f>
        <v>40691.004536200002</v>
      </c>
      <c r="H11" s="74">
        <f>IF(Assumptions!$B$16="Yes",Options!H28/1000*'Price_Technical Assumption'!I41,0)</f>
        <v>40391.463226800006</v>
      </c>
      <c r="I11" s="74">
        <f>IF(Assumptions!$B$16="Yes",Options!I28/1000*'Price_Technical Assumption'!J41,0)</f>
        <v>37869.142922600004</v>
      </c>
      <c r="J11" s="74">
        <f>IF(Assumptions!$B$16="Yes",Options!J28/1000*'Price_Technical Assumption'!K41,0)</f>
        <v>38338.087049599999</v>
      </c>
      <c r="K11" s="74">
        <f>IF(Assumptions!$B$16="Yes",Options!K28/1000*'Price_Technical Assumption'!L41,0)</f>
        <v>37884.584863000004</v>
      </c>
      <c r="L11" s="74">
        <f>IF(Assumptions!$B$16="Yes",Options!L28/1000*'Price_Technical Assumption'!M41,0)</f>
        <v>25750.933593000002</v>
      </c>
      <c r="M11" s="74">
        <f>Options!M28/1000*'Price_Technical Assumption'!N41</f>
        <v>0</v>
      </c>
      <c r="N11" s="74">
        <f>Options!N28/1000*'Price_Technical Assumption'!O41</f>
        <v>0</v>
      </c>
      <c r="O11" s="74">
        <f>Options!O28/1000*'Price_Technical Assumption'!P41</f>
        <v>0</v>
      </c>
      <c r="P11" s="74">
        <f>Options!P28/1000*'Price_Technical Assumption'!Q41</f>
        <v>0</v>
      </c>
      <c r="Q11" s="74">
        <f>Options!Q28/1000*'Price_Technical Assumption'!R41</f>
        <v>0</v>
      </c>
      <c r="R11" s="74">
        <f>Options!R28/1000*'Price_Technical Assumption'!S41</f>
        <v>0</v>
      </c>
      <c r="S11" s="74">
        <f>Options!S28/1000*'Price_Technical Assumption'!T41</f>
        <v>0</v>
      </c>
      <c r="T11" s="74">
        <f>Options!T28/1000*'Price_Technical Assumption'!U41</f>
        <v>0</v>
      </c>
      <c r="U11" s="74">
        <f>Options!U28/1000*'Price_Technical Assumption'!V41</f>
        <v>0</v>
      </c>
      <c r="V11" s="74">
        <f>Options!V28/1000*'Price_Technical Assumption'!W41</f>
        <v>0</v>
      </c>
      <c r="W11" s="74">
        <f>Options!W28/1000*'Price_Technical Assumption'!X41</f>
        <v>0</v>
      </c>
      <c r="X11" s="74">
        <f>Options!X28/1000*'Price_Technical Assumption'!Y41</f>
        <v>0</v>
      </c>
      <c r="Y11" s="74">
        <f>Options!Y28/1000*'Price_Technical Assumption'!Z41</f>
        <v>0</v>
      </c>
      <c r="Z11" s="74">
        <f>Options!Z28/1000*'Price_Technical Assumption'!AA41</f>
        <v>0</v>
      </c>
      <c r="AA11" s="74">
        <f>Options!AA28/1000*'Price_Technical Assumption'!AB41</f>
        <v>0</v>
      </c>
      <c r="AB11" s="74">
        <f>Options!AB28/1000*'Price_Technical Assumption'!AC41</f>
        <v>0</v>
      </c>
      <c r="AC11" s="74">
        <f>Options!AC28/1000*'Price_Technical Assumption'!AD41</f>
        <v>0</v>
      </c>
      <c r="AD11" s="74">
        <f>Options!AD28/1000*'Price_Technical Assumption'!AE41</f>
        <v>0</v>
      </c>
      <c r="AE11" s="74">
        <f>Options!AE28/1000*'Price_Technical Assumption'!AF41</f>
        <v>0</v>
      </c>
      <c r="AF11" s="74">
        <f>Options!AF28/1000*'Price_Technical Assumption'!AG41</f>
        <v>0</v>
      </c>
      <c r="AG11" s="74">
        <f>Options!AG28/1000*'Price_Technical Assumption'!AH41</f>
        <v>0</v>
      </c>
    </row>
    <row r="12" spans="1:43">
      <c r="A12" s="206" t="s">
        <v>458</v>
      </c>
      <c r="C12" s="364">
        <f>2*6*Assumptions!H69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460</v>
      </c>
      <c r="C16" s="36">
        <f>IF(Assumptions!$B$16="Yes",Options!C29,0)</f>
        <v>15094.311</v>
      </c>
      <c r="D16" s="36">
        <f>IF(Assumptions!$B$16="Yes",Options!D29,0)</f>
        <v>24529.596000000001</v>
      </c>
      <c r="E16" s="36">
        <f>IF(Assumptions!$B$16="Yes",Options!E29,0)</f>
        <v>26860.987000000001</v>
      </c>
      <c r="F16" s="36">
        <f>IF(Assumptions!$B$16="Yes",Options!F29,0)</f>
        <v>28207.439999999999</v>
      </c>
      <c r="G16" s="36">
        <f>IF(Assumptions!$B$16="Yes",Options!G29,0)</f>
        <v>28131.985000000001</v>
      </c>
      <c r="H16" s="36">
        <f>IF(Assumptions!$B$16="Yes",Options!H29,0)</f>
        <v>28053.978999999999</v>
      </c>
      <c r="I16" s="36">
        <f>IF(Assumptions!$B$16="Yes",Options!I29,0)</f>
        <v>26286.584999999999</v>
      </c>
      <c r="J16" s="36">
        <f>IF(Assumptions!$B$16="Yes",Options!J29,0)</f>
        <v>26802.971000000001</v>
      </c>
      <c r="K16" s="36">
        <f>IF(Assumptions!$B$16="Yes",Options!K29,0)</f>
        <v>26892.871999999999</v>
      </c>
      <c r="L16" s="36">
        <f>IF(Assumptions!$B$16="Yes",Options!L29,0)</f>
        <v>19682.797999999999</v>
      </c>
      <c r="M16" s="36">
        <f>IF(Assumptions!$B$16="Yes",Options!M29,0)</f>
        <v>0</v>
      </c>
      <c r="N16" s="36">
        <f>IF(Assumptions!$B$16="Yes",Options!N29,0)</f>
        <v>0</v>
      </c>
      <c r="O16" s="36">
        <f>IF(Assumptions!$B$16="Yes",Options!O29,0)</f>
        <v>0</v>
      </c>
      <c r="P16" s="36">
        <f>IF(Assumptions!$B$16="Yes",Options!P29,0)</f>
        <v>0</v>
      </c>
      <c r="Q16" s="36">
        <f>IF(Assumptions!$B$16="Yes",Options!Q29,0)</f>
        <v>0</v>
      </c>
      <c r="R16" s="36">
        <f>IF(Assumptions!$B$16="Yes",Options!R29,0)</f>
        <v>0</v>
      </c>
      <c r="S16" s="36">
        <f>IF(Assumptions!$B$16="Yes",Options!S29,0)</f>
        <v>0</v>
      </c>
      <c r="T16" s="36">
        <f>IF(Assumptions!$B$16="Yes",Options!T29,0)</f>
        <v>0</v>
      </c>
      <c r="U16" s="36">
        <f>IF(Assumptions!$B$16="Yes",Options!U29,0)</f>
        <v>0</v>
      </c>
      <c r="V16" s="36">
        <f>IF(Assumptions!$B$16="Yes",Options!V29,0)</f>
        <v>0</v>
      </c>
      <c r="W16" s="36">
        <f>IF(Assumptions!$B$16="Yes",Options!W29,0)</f>
        <v>0</v>
      </c>
      <c r="X16" s="36">
        <f>IF(Assumptions!$B$16="Yes",Options!X29,0)</f>
        <v>0</v>
      </c>
      <c r="Y16" s="36">
        <f>IF(Assumptions!$B$16="Yes",Options!Y29,0)</f>
        <v>0</v>
      </c>
      <c r="Z16" s="36">
        <f>IF(Assumptions!$B$16="Yes",Options!Z29,0)</f>
        <v>0</v>
      </c>
      <c r="AA16" s="36">
        <f>IF(Assumptions!$B$16="Yes",Options!AA29,0)</f>
        <v>0</v>
      </c>
      <c r="AB16" s="36">
        <f>IF(Assumptions!$B$16="Yes",Options!AB29,0)</f>
        <v>0</v>
      </c>
      <c r="AC16" s="36">
        <f>IF(Assumptions!$B$16="Yes",Options!AC29,0)</f>
        <v>0</v>
      </c>
      <c r="AD16" s="36">
        <f>IF(Assumptions!$B$16="Yes",Options!AD29,0)</f>
        <v>0</v>
      </c>
      <c r="AE16" s="36">
        <f>IF(Assumptions!$B$16="Yes",Options!AE29,0)</f>
        <v>0</v>
      </c>
      <c r="AF16" s="36">
        <f>IF(Assumptions!$B$16="Yes",Options!AF29,0)</f>
        <v>0</v>
      </c>
      <c r="AG16" s="36">
        <f>IF(Assumptions!$B$16="Yes",Options!AG29,0)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Assumptions!$O$23*Assumptions!$H$69*Assumptions!H18/12</f>
        <v>0</v>
      </c>
      <c r="D25" s="74">
        <f>Assumptions!$O$23*Assumptions!$H$69*(1+Assumptions!$N$11)</f>
        <v>0</v>
      </c>
      <c r="E25" s="74">
        <f>Assumptions!$O$23*Assumptions!$H$69*(1+Assumptions!$N$11)</f>
        <v>0</v>
      </c>
      <c r="F25" s="74">
        <f>Assumptions!$O$23*Assumptions!$H$69*(1+Assumptions!$N$11)</f>
        <v>0</v>
      </c>
      <c r="G25" s="74">
        <f>Assumptions!$O$23*Assumptions!$H$69*(1+Assumptions!$N$11)</f>
        <v>0</v>
      </c>
      <c r="H25" s="74">
        <f>Assumptions!$O$23*Assumptions!$H$69*(1+Assumptions!$N$11)</f>
        <v>0</v>
      </c>
      <c r="I25" s="74">
        <f>Assumptions!$O$23*Assumptions!$H$69*(1+Assumptions!$N$11)</f>
        <v>0</v>
      </c>
      <c r="J25" s="74">
        <f>Assumptions!$O$23*Assumptions!$H$69*(1+Assumptions!$N$11)</f>
        <v>0</v>
      </c>
      <c r="K25" s="74">
        <f>Assumptions!$O$23*Assumptions!$H$69*(1+Assumptions!$N$11)</f>
        <v>0</v>
      </c>
      <c r="L25" s="74">
        <f>Assumptions!$O$23*Assumptions!$H$69*(1+Assumptions!$N$11)</f>
        <v>0</v>
      </c>
      <c r="M25" s="74">
        <f>Assumptions!$O$23*Assumptions!$H$69*(1+Assumptions!$N$11)</f>
        <v>0</v>
      </c>
      <c r="N25" s="74">
        <f>Assumptions!$O$23*Assumptions!$H$69*(1+Assumptions!$N$11)</f>
        <v>0</v>
      </c>
      <c r="O25" s="74">
        <f>Assumptions!$O$23*Assumptions!$H$69*(1+Assumptions!$N$11)</f>
        <v>0</v>
      </c>
      <c r="P25" s="74">
        <f>Assumptions!$O$23*Assumptions!$H$69*(1+Assumptions!$N$11)</f>
        <v>0</v>
      </c>
      <c r="Q25" s="74">
        <f>Assumptions!$O$23*Assumptions!$H$69*(1+Assumptions!$N$11)</f>
        <v>0</v>
      </c>
      <c r="R25" s="74">
        <f>Assumptions!$O$23*Assumptions!$H$69*(1+Assumptions!$N$11)</f>
        <v>0</v>
      </c>
      <c r="S25" s="74">
        <f>Assumptions!$O$23*Assumptions!$H$69*(1+Assumptions!$N$11)</f>
        <v>0</v>
      </c>
      <c r="T25" s="74">
        <f>Assumptions!$O$23*Assumptions!$H$69*(1+Assumptions!$N$11)</f>
        <v>0</v>
      </c>
      <c r="U25" s="74">
        <f>Assumptions!$O$23*Assumptions!$H$69*(1+Assumptions!$N$11)</f>
        <v>0</v>
      </c>
      <c r="V25" s="74">
        <f>Assumptions!$O$23*Assumptions!$H$69*(1+Assumptions!$N$11)</f>
        <v>0</v>
      </c>
      <c r="W25" s="74">
        <f>Assumptions!$O$23*Assumptions!$H$69*(1+Assumptions!$N$11)</f>
        <v>0</v>
      </c>
      <c r="X25" s="74">
        <f>Assumptions!$O$23*Assumptions!$H$69*(1+Assumptions!$N$11)</f>
        <v>0</v>
      </c>
      <c r="Y25" s="74">
        <f>Assumptions!$O$23*Assumptions!$H$69*(1+Assumptions!$N$11)</f>
        <v>0</v>
      </c>
      <c r="Z25" s="74">
        <f>Assumptions!$O$23*Assumptions!$H$69*(1+Assumptions!$N$11)</f>
        <v>0</v>
      </c>
      <c r="AA25" s="74">
        <f>Assumptions!$O$23*Assumptions!$H$69*(1+Assumptions!$N$11)</f>
        <v>0</v>
      </c>
      <c r="AB25" s="74">
        <f>Assumptions!$O$23*Assumptions!$H$69*(1+Assumptions!$N$11)</f>
        <v>0</v>
      </c>
      <c r="AC25" s="74">
        <f>Assumptions!$O$23*Assumptions!$H$69*(1+Assumptions!$N$11)</f>
        <v>0</v>
      </c>
      <c r="AD25" s="74">
        <f>Assumptions!$O$23*Assumptions!$H$69*(1+Assumptions!$N$11)</f>
        <v>0</v>
      </c>
      <c r="AE25" s="74">
        <f>Assumptions!$O$23*Assumptions!$H$69*(1+Assumptions!$N$11)</f>
        <v>0</v>
      </c>
      <c r="AF25" s="74">
        <f>Assumptions!$O$23*Assumptions!$H$69*(1+Assumptions!$N$11)</f>
        <v>0</v>
      </c>
      <c r="AG25" s="74">
        <f>Assumptions!$O$23*Assumptions!$H$69*(1+Assumptions!$N$11)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6">
        <f t="shared" ref="C43:AG43" si="9">C38+C40+C41</f>
        <v>5396.7671422958374</v>
      </c>
      <c r="D43" s="366">
        <f t="shared" si="9"/>
        <v>5681.7081535205707</v>
      </c>
      <c r="E43" s="366">
        <f t="shared" si="9"/>
        <v>6614.8097973247332</v>
      </c>
      <c r="F43" s="366">
        <f t="shared" si="9"/>
        <v>7418.8497872244916</v>
      </c>
      <c r="G43" s="366">
        <f t="shared" si="9"/>
        <v>7834.9091100617961</v>
      </c>
      <c r="H43" s="366">
        <f t="shared" si="9"/>
        <v>8607.1034181847408</v>
      </c>
      <c r="I43" s="366">
        <f t="shared" si="9"/>
        <v>8919.829033282047</v>
      </c>
      <c r="J43" s="366">
        <f t="shared" si="9"/>
        <v>9242.1378832173323</v>
      </c>
      <c r="K43" s="366">
        <f t="shared" si="9"/>
        <v>9037.7415451384168</v>
      </c>
      <c r="L43" s="366">
        <f t="shared" si="9"/>
        <v>6064.6884754381899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-4848.5777479758208</v>
      </c>
      <c r="E12" s="442">
        <f>-(Debt!C44+Debt!D27+Debt!D36)</f>
        <v>-4175.4959530493234</v>
      </c>
      <c r="F12" s="442">
        <f>-(Debt!D44+Debt!E27+Debt!E36)</f>
        <v>-3457.5284504481256</v>
      </c>
      <c r="G12" s="442">
        <f>-(Debt!E44+Debt!F27+Debt!F36)</f>
        <v>-2639.2115563515649</v>
      </c>
      <c r="H12" s="442">
        <f>-(Debt!F44+Debt!G27+Debt!G36)</f>
        <v>-1758.5842390676435</v>
      </c>
      <c r="I12" s="442">
        <f>-(Debt!G44+Debt!H27+Debt!H36)</f>
        <v>-813.13526244269292</v>
      </c>
      <c r="J12" s="442">
        <f>-(Debt!H44+Debt!I27+Debt!I36)</f>
        <v>-36.117138637081069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5.2786001563072213E-2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0.12535254359245301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0.1199959099292755</v>
      </c>
    </row>
    <row r="54" spans="1:33">
      <c r="A54" s="56"/>
      <c r="B54" s="446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4" t="s">
        <v>1</v>
      </c>
      <c r="C60" s="450">
        <f>XIRR(B59:L59,B8:L8)</f>
        <v>0.12001051306724544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2000-03-20T18:28:42Z</cp:lastPrinted>
  <dcterms:created xsi:type="dcterms:W3CDTF">1999-04-02T01:38:38Z</dcterms:created>
  <dcterms:modified xsi:type="dcterms:W3CDTF">2014-09-03T11:32:28Z</dcterms:modified>
</cp:coreProperties>
</file>