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4110" tabRatio="877" activeTab="2"/>
  </bookViews>
  <sheets>
    <sheet name="Notes" sheetId="23" r:id="rId1"/>
    <sheet name="Tracking Sheet" sheetId="16" r:id="rId2"/>
    <sheet name="Assumptions" sheetId="2" r:id="rId3"/>
    <sheet name="Price_Technical Assumption" sheetId="3" r:id="rId4"/>
    <sheet name="IS" sheetId="4" r:id="rId5"/>
    <sheet name="BS" sheetId="19" r:id="rId6"/>
    <sheet name="Returns Analysis" sheetId="25" r:id="rId7"/>
    <sheet name="Debt" sheetId="6" r:id="rId8"/>
    <sheet name="Depreciation" sheetId="7" r:id="rId9"/>
    <sheet name="Taxes" sheetId="8" r:id="rId10"/>
    <sheet name="IDC" sheetId="18" r:id="rId11"/>
  </sheets>
  <externalReferences>
    <externalReference r:id="rId12"/>
    <externalReference r:id="rId13"/>
    <externalReference r:id="rId14"/>
    <externalReference r:id="rId15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Assumptions!$A$3:$P$78</definedName>
    <definedName name="_xlnm.Print_Area" localSheetId="5">BS!$A$2:$AH$9</definedName>
    <definedName name="_xlnm.Print_Area" localSheetId="7">Debt!$A$2:$AF$69</definedName>
    <definedName name="_xlnm.Print_Area" localSheetId="8">Depreciation!$A$2:$AH$50</definedName>
    <definedName name="_xlnm.Print_Area" localSheetId="10">IDC!$A$2:$L$59</definedName>
    <definedName name="_xlnm.Print_Area" localSheetId="4">IS!$A$2:$AG$45</definedName>
    <definedName name="_xlnm.Print_Area" localSheetId="9">Taxes!$A$2:$AF$41</definedName>
    <definedName name="_xlnm.Print_Titles" localSheetId="5">BS!$A:$A</definedName>
    <definedName name="_xlnm.Print_Titles" localSheetId="7">Debt!$A:$A</definedName>
    <definedName name="_xlnm.Print_Titles" localSheetId="8">Depreciation!$A:$A</definedName>
    <definedName name="_xlnm.Print_Titles" localSheetId="4">IS!$A:$A</definedName>
    <definedName name="_xlnm.Print_Titles" localSheetId="3">'Price_Technical Assumption'!$A:$B</definedName>
    <definedName name="_xlnm.Print_Titles" localSheetId="6">'Returns Analysis'!$A:$A</definedName>
    <definedName name="_xlnm.Print_Titles" localSheetId="9">Taxes!$A:$A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152511" calcMode="manual" fullCalcOnLoad="1" iterate="1"/>
</workbook>
</file>

<file path=xl/calcChain.xml><?xml version="1.0" encoding="utf-8"?>
<calcChain xmlns="http://schemas.openxmlformats.org/spreadsheetml/2006/main">
  <c r="C12" i="2" l="1"/>
  <c r="AA13" i="2"/>
  <c r="AA14" i="2" s="1"/>
  <c r="U14" i="2"/>
  <c r="V14" i="2"/>
  <c r="W14" i="2"/>
  <c r="X14" i="2"/>
  <c r="Y14" i="2"/>
  <c r="Z14" i="2"/>
  <c r="AB14" i="2"/>
  <c r="H16" i="2"/>
  <c r="N17" i="2"/>
  <c r="P17" i="2"/>
  <c r="H18" i="2"/>
  <c r="C19" i="2"/>
  <c r="Q19" i="2"/>
  <c r="Q26" i="2" s="1"/>
  <c r="C20" i="2"/>
  <c r="D20" i="2"/>
  <c r="C21" i="2"/>
  <c r="Q21" i="2"/>
  <c r="D23" i="2"/>
  <c r="Q25" i="2"/>
  <c r="N26" i="2"/>
  <c r="P26" i="2"/>
  <c r="D27" i="2"/>
  <c r="D32" i="2"/>
  <c r="G32" i="2"/>
  <c r="H35" i="2"/>
  <c r="D37" i="2"/>
  <c r="D38" i="2"/>
  <c r="H39" i="2"/>
  <c r="D41" i="2"/>
  <c r="D44" i="2"/>
  <c r="C48" i="2"/>
  <c r="G48" i="2"/>
  <c r="D49" i="2"/>
  <c r="D55" i="2"/>
  <c r="C56" i="2"/>
  <c r="D56" i="2"/>
  <c r="H57" i="2"/>
  <c r="H60" i="2"/>
  <c r="H66" i="2"/>
  <c r="H68" i="2"/>
  <c r="D25" i="2" s="1"/>
  <c r="A69" i="2"/>
  <c r="A70" i="2"/>
  <c r="A71" i="2"/>
  <c r="A2" i="19"/>
  <c r="D8" i="19"/>
  <c r="E8" i="19"/>
  <c r="F8" i="19" s="1"/>
  <c r="G8" i="19" s="1"/>
  <c r="H8" i="19" s="1"/>
  <c r="I8" i="19" s="1"/>
  <c r="J8" i="19" s="1"/>
  <c r="K8" i="19" s="1"/>
  <c r="L8" i="19" s="1"/>
  <c r="M8" i="19" s="1"/>
  <c r="N8" i="19" s="1"/>
  <c r="O8" i="19" s="1"/>
  <c r="P8" i="19" s="1"/>
  <c r="Q8" i="19" s="1"/>
  <c r="R8" i="19" s="1"/>
  <c r="S8" i="19" s="1"/>
  <c r="T8" i="19" s="1"/>
  <c r="U8" i="19" s="1"/>
  <c r="V8" i="19" s="1"/>
  <c r="W8" i="19" s="1"/>
  <c r="X8" i="19" s="1"/>
  <c r="Y8" i="19" s="1"/>
  <c r="Z8" i="19" s="1"/>
  <c r="AA8" i="19" s="1"/>
  <c r="AB8" i="19" s="1"/>
  <c r="AC8" i="19" s="1"/>
  <c r="AD8" i="19" s="1"/>
  <c r="AE8" i="19" s="1"/>
  <c r="AF8" i="19" s="1"/>
  <c r="AG8" i="19" s="1"/>
  <c r="AH8" i="19" s="1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C42" i="19"/>
  <c r="A2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N11" i="6"/>
  <c r="AN12" i="6" s="1"/>
  <c r="B33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E62" i="6"/>
  <c r="E63" i="6"/>
  <c r="E64" i="6"/>
  <c r="E65" i="6"/>
  <c r="E67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2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G13" i="7" s="1"/>
  <c r="E13" i="7"/>
  <c r="E27" i="7" s="1"/>
  <c r="H13" i="7"/>
  <c r="B14" i="7"/>
  <c r="B18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G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B33" i="7"/>
  <c r="B41" i="7"/>
  <c r="C41" i="7"/>
  <c r="B42" i="7"/>
  <c r="E42" i="7"/>
  <c r="G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B47" i="7"/>
  <c r="A2" i="18"/>
  <c r="C7" i="18"/>
  <c r="C8" i="18"/>
  <c r="D8" i="18"/>
  <c r="C15" i="18"/>
  <c r="A16" i="18"/>
  <c r="H16" i="18" s="1"/>
  <c r="H34" i="18" s="1"/>
  <c r="C46" i="2" s="1"/>
  <c r="C16" i="18"/>
  <c r="I16" i="18"/>
  <c r="A17" i="18"/>
  <c r="I17" i="18" s="1"/>
  <c r="C17" i="18"/>
  <c r="H17" i="18"/>
  <c r="A18" i="18"/>
  <c r="C18" i="18"/>
  <c r="I18" i="18"/>
  <c r="C19" i="18"/>
  <c r="C20" i="18"/>
  <c r="C21" i="18"/>
  <c r="C22" i="18"/>
  <c r="C23" i="18"/>
  <c r="C24" i="18"/>
  <c r="C25" i="18"/>
  <c r="C26" i="18"/>
  <c r="C27" i="18"/>
  <c r="C28" i="18"/>
  <c r="C34" i="18"/>
  <c r="H57" i="18"/>
  <c r="I57" i="18"/>
  <c r="J57" i="18"/>
  <c r="K57" i="18"/>
  <c r="L57" i="18"/>
  <c r="M57" i="18"/>
  <c r="D59" i="18"/>
  <c r="D15" i="18" s="1"/>
  <c r="D34" i="18" s="1"/>
  <c r="A2" i="4"/>
  <c r="C6" i="4"/>
  <c r="D17" i="4"/>
  <c r="E17" i="4" s="1"/>
  <c r="F17" i="4" s="1"/>
  <c r="G17" i="4"/>
  <c r="H17" i="4" s="1"/>
  <c r="I17" i="4" s="1"/>
  <c r="J17" i="4" s="1"/>
  <c r="K17" i="4" s="1"/>
  <c r="L17" i="4" s="1"/>
  <c r="M17" i="4" s="1"/>
  <c r="N17" i="4" s="1"/>
  <c r="O17" i="4" s="1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AE17" i="4" s="1"/>
  <c r="AF17" i="4" s="1"/>
  <c r="AG17" i="4" s="1"/>
  <c r="C20" i="4"/>
  <c r="D20" i="4"/>
  <c r="E20" i="4" s="1"/>
  <c r="F20" i="4" s="1"/>
  <c r="G20" i="4" s="1"/>
  <c r="H20" i="4" s="1"/>
  <c r="I20" i="4" s="1"/>
  <c r="J20" i="4" s="1"/>
  <c r="K20" i="4" s="1"/>
  <c r="L20" i="4" s="1"/>
  <c r="M20" i="4" s="1"/>
  <c r="N20" i="4" s="1"/>
  <c r="O20" i="4"/>
  <c r="P20" i="4" s="1"/>
  <c r="Q20" i="4" s="1"/>
  <c r="R20" i="4" s="1"/>
  <c r="S20" i="4" s="1"/>
  <c r="T20" i="4" s="1"/>
  <c r="U20" i="4" s="1"/>
  <c r="V20" i="4" s="1"/>
  <c r="W20" i="4" s="1"/>
  <c r="X20" i="4" s="1"/>
  <c r="Y20" i="4" s="1"/>
  <c r="Z20" i="4" s="1"/>
  <c r="AA20" i="4" s="1"/>
  <c r="AB20" i="4" s="1"/>
  <c r="AC20" i="4" s="1"/>
  <c r="AD20" i="4" s="1"/>
  <c r="AE20" i="4" s="1"/>
  <c r="AF20" i="4" s="1"/>
  <c r="AG20" i="4" s="1"/>
  <c r="C21" i="4"/>
  <c r="D21" i="4"/>
  <c r="E21" i="4"/>
  <c r="F21" i="4" s="1"/>
  <c r="G21" i="4" s="1"/>
  <c r="H21" i="4" s="1"/>
  <c r="I21" i="4" s="1"/>
  <c r="J21" i="4" s="1"/>
  <c r="K21" i="4" s="1"/>
  <c r="L21" i="4" s="1"/>
  <c r="M21" i="4" s="1"/>
  <c r="N21" i="4" s="1"/>
  <c r="O21" i="4" s="1"/>
  <c r="P21" i="4" s="1"/>
  <c r="Q21" i="4" s="1"/>
  <c r="R21" i="4" s="1"/>
  <c r="S21" i="4" s="1"/>
  <c r="T21" i="4" s="1"/>
  <c r="U21" i="4" s="1"/>
  <c r="V21" i="4" s="1"/>
  <c r="W21" i="4" s="1"/>
  <c r="X21" i="4" s="1"/>
  <c r="Y21" i="4" s="1"/>
  <c r="Z21" i="4" s="1"/>
  <c r="AA21" i="4" s="1"/>
  <c r="AB21" i="4" s="1"/>
  <c r="AC21" i="4" s="1"/>
  <c r="AD21" i="4" s="1"/>
  <c r="AE21" i="4" s="1"/>
  <c r="AF21" i="4" s="1"/>
  <c r="AG21" i="4" s="1"/>
  <c r="C22" i="4"/>
  <c r="D22" i="4"/>
  <c r="E22" i="4" s="1"/>
  <c r="F22" i="4"/>
  <c r="G22" i="4" s="1"/>
  <c r="H22" i="4" s="1"/>
  <c r="I22" i="4" s="1"/>
  <c r="J22" i="4"/>
  <c r="K22" i="4" s="1"/>
  <c r="L22" i="4" s="1"/>
  <c r="M22" i="4" s="1"/>
  <c r="N22" i="4" s="1"/>
  <c r="O22" i="4" s="1"/>
  <c r="P22" i="4" s="1"/>
  <c r="Q22" i="4" s="1"/>
  <c r="R22" i="4"/>
  <c r="S22" i="4" s="1"/>
  <c r="T22" i="4" s="1"/>
  <c r="U22" i="4" s="1"/>
  <c r="V22" i="4" s="1"/>
  <c r="W22" i="4" s="1"/>
  <c r="X22" i="4" s="1"/>
  <c r="Y22" i="4" s="1"/>
  <c r="Z22" i="4" s="1"/>
  <c r="AA22" i="4" s="1"/>
  <c r="AB22" i="4" s="1"/>
  <c r="AC22" i="4" s="1"/>
  <c r="AD22" i="4" s="1"/>
  <c r="AE22" i="4" s="1"/>
  <c r="AF22" i="4" s="1"/>
  <c r="AG22" i="4" s="1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8" i="4"/>
  <c r="D28" i="4"/>
  <c r="E28" i="4" s="1"/>
  <c r="F28" i="4" s="1"/>
  <c r="G28" i="4" s="1"/>
  <c r="H28" i="4" s="1"/>
  <c r="I28" i="4"/>
  <c r="J28" i="4" s="1"/>
  <c r="K28" i="4" s="1"/>
  <c r="L28" i="4" s="1"/>
  <c r="M28" i="4" s="1"/>
  <c r="N28" i="4" s="1"/>
  <c r="O28" i="4" s="1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AA28" i="4" s="1"/>
  <c r="AB28" i="4" s="1"/>
  <c r="AC28" i="4" s="1"/>
  <c r="AD28" i="4" s="1"/>
  <c r="AE28" i="4" s="1"/>
  <c r="AF28" i="4" s="1"/>
  <c r="AG28" i="4" s="1"/>
  <c r="C29" i="4"/>
  <c r="D29" i="4"/>
  <c r="E29" i="4" s="1"/>
  <c r="F29" i="4" s="1"/>
  <c r="G29" i="4"/>
  <c r="H29" i="4" s="1"/>
  <c r="I29" i="4" s="1"/>
  <c r="J29" i="4"/>
  <c r="K29" i="4" s="1"/>
  <c r="L29" i="4" s="1"/>
  <c r="M29" i="4" s="1"/>
  <c r="N29" i="4" s="1"/>
  <c r="O29" i="4" s="1"/>
  <c r="P29" i="4" s="1"/>
  <c r="Q29" i="4" s="1"/>
  <c r="R29" i="4" s="1"/>
  <c r="S29" i="4" s="1"/>
  <c r="T29" i="4" s="1"/>
  <c r="U29" i="4" s="1"/>
  <c r="V29" i="4" s="1"/>
  <c r="W29" i="4"/>
  <c r="X29" i="4" s="1"/>
  <c r="Y29" i="4" s="1"/>
  <c r="Z29" i="4" s="1"/>
  <c r="AA29" i="4" s="1"/>
  <c r="AB29" i="4" s="1"/>
  <c r="AC29" i="4"/>
  <c r="AD29" i="4" s="1"/>
  <c r="AE29" i="4" s="1"/>
  <c r="AF29" i="4" s="1"/>
  <c r="AG29" i="4" s="1"/>
  <c r="B42" i="4"/>
  <c r="B43" i="4"/>
  <c r="B2" i="3"/>
  <c r="D7" i="3"/>
  <c r="E7" i="3"/>
  <c r="D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F34" i="3" s="1"/>
  <c r="AG30" i="3"/>
  <c r="AH30" i="3"/>
  <c r="E34" i="3"/>
  <c r="I34" i="3"/>
  <c r="J34" i="3"/>
  <c r="U34" i="3"/>
  <c r="Z34" i="3"/>
  <c r="AE34" i="3"/>
  <c r="A38" i="3"/>
  <c r="D42" i="3"/>
  <c r="E42" i="3"/>
  <c r="E44" i="3" s="1"/>
  <c r="F42" i="3"/>
  <c r="G42" i="3"/>
  <c r="G44" i="3" s="1"/>
  <c r="H42" i="3"/>
  <c r="I42" i="3"/>
  <c r="J42" i="3"/>
  <c r="J44" i="3" s="1"/>
  <c r="K42" i="3"/>
  <c r="K44" i="3" s="1"/>
  <c r="K34" i="3" s="1"/>
  <c r="L42" i="3"/>
  <c r="L44" i="3" s="1"/>
  <c r="L34" i="3" s="1"/>
  <c r="M42" i="3"/>
  <c r="N42" i="3"/>
  <c r="O42" i="3"/>
  <c r="O44" i="3" s="1"/>
  <c r="P42" i="3"/>
  <c r="Q42" i="3"/>
  <c r="R42" i="3"/>
  <c r="R44" i="3" s="1"/>
  <c r="R34" i="3" s="1"/>
  <c r="S42" i="3"/>
  <c r="T42" i="3"/>
  <c r="U42" i="3"/>
  <c r="U44" i="3" s="1"/>
  <c r="V42" i="3"/>
  <c r="W42" i="3"/>
  <c r="W44" i="3" s="1"/>
  <c r="X42" i="3"/>
  <c r="Y42" i="3"/>
  <c r="Z42" i="3"/>
  <c r="Z44" i="3" s="1"/>
  <c r="AA42" i="3"/>
  <c r="AA44" i="3" s="1"/>
  <c r="AA34" i="3" s="1"/>
  <c r="AB42" i="3"/>
  <c r="AC42" i="3"/>
  <c r="AC44" i="3" s="1"/>
  <c r="AC34" i="3" s="1"/>
  <c r="AD42" i="3"/>
  <c r="AE42" i="3"/>
  <c r="AE44" i="3" s="1"/>
  <c r="AF42" i="3"/>
  <c r="AG42" i="3"/>
  <c r="AH42" i="3"/>
  <c r="AH44" i="3" s="1"/>
  <c r="AH34" i="3" s="1"/>
  <c r="D44" i="3"/>
  <c r="D34" i="3" s="1"/>
  <c r="F44" i="3"/>
  <c r="F34" i="3" s="1"/>
  <c r="H44" i="3"/>
  <c r="H34" i="3" s="1"/>
  <c r="I44" i="3"/>
  <c r="M44" i="3"/>
  <c r="M34" i="3" s="1"/>
  <c r="N44" i="3"/>
  <c r="N34" i="3" s="1"/>
  <c r="P44" i="3"/>
  <c r="P34" i="3" s="1"/>
  <c r="Q44" i="3"/>
  <c r="Q34" i="3" s="1"/>
  <c r="S44" i="3"/>
  <c r="S34" i="3" s="1"/>
  <c r="T44" i="3"/>
  <c r="T34" i="3" s="1"/>
  <c r="V44" i="3"/>
  <c r="V34" i="3" s="1"/>
  <c r="X44" i="3"/>
  <c r="Y44" i="3"/>
  <c r="Y34" i="3" s="1"/>
  <c r="AB44" i="3"/>
  <c r="AB34" i="3" s="1"/>
  <c r="AD44" i="3"/>
  <c r="AD34" i="3" s="1"/>
  <c r="AF44" i="3"/>
  <c r="AG44" i="3"/>
  <c r="AG34" i="3" s="1"/>
  <c r="A2" i="25"/>
  <c r="C6" i="25"/>
  <c r="D6" i="25"/>
  <c r="C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B13" i="25"/>
  <c r="B18" i="25"/>
  <c r="B21" i="25"/>
  <c r="B27" i="25"/>
  <c r="B37" i="25"/>
  <c r="A41" i="25"/>
  <c r="B43" i="25"/>
  <c r="D44" i="25"/>
  <c r="E44" i="25"/>
  <c r="F44" i="25"/>
  <c r="G44" i="25"/>
  <c r="H44" i="25"/>
  <c r="I44" i="25"/>
  <c r="J44" i="25"/>
  <c r="K44" i="25"/>
  <c r="L44" i="25"/>
  <c r="M44" i="25"/>
  <c r="N44" i="25"/>
  <c r="O44" i="25"/>
  <c r="P44" i="25"/>
  <c r="Q44" i="25"/>
  <c r="R44" i="25"/>
  <c r="S44" i="25"/>
  <c r="T44" i="25"/>
  <c r="U44" i="25"/>
  <c r="V44" i="25"/>
  <c r="X44" i="25"/>
  <c r="Y44" i="25"/>
  <c r="Z44" i="25"/>
  <c r="AA44" i="25"/>
  <c r="AB44" i="25"/>
  <c r="AC44" i="25"/>
  <c r="AD44" i="25"/>
  <c r="AE44" i="25"/>
  <c r="AF44" i="25"/>
  <c r="AG44" i="25"/>
  <c r="A48" i="25"/>
  <c r="B50" i="25"/>
  <c r="D51" i="25"/>
  <c r="E51" i="25"/>
  <c r="F51" i="25"/>
  <c r="G51" i="25"/>
  <c r="H51" i="25"/>
  <c r="I51" i="25"/>
  <c r="J51" i="25"/>
  <c r="K51" i="25"/>
  <c r="L51" i="25"/>
  <c r="M51" i="25"/>
  <c r="N51" i="25"/>
  <c r="O51" i="25"/>
  <c r="P51" i="25"/>
  <c r="Q51" i="25"/>
  <c r="R51" i="25"/>
  <c r="S51" i="25"/>
  <c r="T51" i="25"/>
  <c r="U51" i="25"/>
  <c r="V51" i="25"/>
  <c r="X51" i="25"/>
  <c r="Y51" i="25"/>
  <c r="Z51" i="25"/>
  <c r="AA51" i="25"/>
  <c r="AB51" i="25"/>
  <c r="AC51" i="25"/>
  <c r="AD51" i="25"/>
  <c r="AE51" i="25"/>
  <c r="AF51" i="25"/>
  <c r="AG51" i="25"/>
  <c r="A55" i="25"/>
  <c r="B57" i="25"/>
  <c r="D58" i="25"/>
  <c r="E58" i="25"/>
  <c r="F58" i="25"/>
  <c r="G58" i="25"/>
  <c r="H58" i="25"/>
  <c r="I58" i="25"/>
  <c r="J58" i="25"/>
  <c r="K58" i="25"/>
  <c r="L58" i="25"/>
  <c r="M58" i="25"/>
  <c r="N58" i="25"/>
  <c r="O58" i="25"/>
  <c r="P58" i="25"/>
  <c r="Q58" i="25"/>
  <c r="R58" i="25"/>
  <c r="S58" i="25"/>
  <c r="T58" i="25"/>
  <c r="U58" i="25"/>
  <c r="V58" i="25"/>
  <c r="W58" i="25"/>
  <c r="X58" i="25"/>
  <c r="Y58" i="25"/>
  <c r="Z58" i="25"/>
  <c r="AA58" i="25"/>
  <c r="AB58" i="25"/>
  <c r="AC58" i="25"/>
  <c r="AD58" i="25"/>
  <c r="AE58" i="25"/>
  <c r="AF58" i="25"/>
  <c r="AG58" i="25"/>
  <c r="A2" i="8"/>
  <c r="B6" i="8"/>
  <c r="C6" i="8"/>
  <c r="B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2" i="16"/>
  <c r="D7" i="19" l="1"/>
  <c r="D7" i="7"/>
  <c r="C7" i="4"/>
  <c r="E8" i="3"/>
  <c r="C50" i="2"/>
  <c r="D46" i="2"/>
  <c r="H27" i="7"/>
  <c r="H42" i="7"/>
  <c r="X34" i="3"/>
  <c r="D35" i="3"/>
  <c r="D36" i="3" s="1"/>
  <c r="D38" i="3" s="1"/>
  <c r="C11" i="4" s="1"/>
  <c r="E35" i="3"/>
  <c r="E36" i="3" s="1"/>
  <c r="E38" i="3" s="1"/>
  <c r="D11" i="4" s="1"/>
  <c r="F35" i="3"/>
  <c r="F36" i="3" s="1"/>
  <c r="F38" i="3" s="1"/>
  <c r="E11" i="4" s="1"/>
  <c r="W34" i="3"/>
  <c r="O34" i="3"/>
  <c r="G34" i="3"/>
  <c r="E6" i="19"/>
  <c r="E6" i="7"/>
  <c r="D6" i="4"/>
  <c r="F7" i="3"/>
  <c r="E21" i="3"/>
  <c r="D21" i="3"/>
  <c r="C10" i="4" s="1"/>
  <c r="N32" i="2"/>
  <c r="O32" i="2" s="1"/>
  <c r="C17" i="4"/>
  <c r="C26" i="4"/>
  <c r="N33" i="2" s="1"/>
  <c r="O33" i="2" s="1"/>
  <c r="S26" i="4"/>
  <c r="H18" i="18"/>
  <c r="A19" i="18"/>
  <c r="D6" i="19"/>
  <c r="D6" i="7"/>
  <c r="G39" i="2"/>
  <c r="B36" i="6"/>
  <c r="D48" i="2"/>
  <c r="F13" i="7"/>
  <c r="D21" i="2"/>
  <c r="H62" i="2"/>
  <c r="D47" i="2"/>
  <c r="D30" i="2"/>
  <c r="D19" i="2"/>
  <c r="D34" i="2" s="1"/>
  <c r="D45" i="2"/>
  <c r="D33" i="2"/>
  <c r="Q22" i="2"/>
  <c r="Q24" i="2"/>
  <c r="D29" i="2"/>
  <c r="D31" i="2"/>
  <c r="D43" i="2"/>
  <c r="D54" i="2"/>
  <c r="O21" i="2"/>
  <c r="O23" i="2"/>
  <c r="O25" i="2"/>
  <c r="O20" i="2"/>
  <c r="D22" i="2"/>
  <c r="D24" i="2"/>
  <c r="D26" i="2"/>
  <c r="D28" i="2"/>
  <c r="D39" i="2"/>
  <c r="D42" i="2"/>
  <c r="D53" i="2"/>
  <c r="Q20" i="2"/>
  <c r="O22" i="2"/>
  <c r="O24" i="2"/>
  <c r="Q23" i="2"/>
  <c r="D40" i="2"/>
  <c r="C34" i="2"/>
  <c r="O19" i="2"/>
  <c r="O26" i="2" s="1"/>
  <c r="D12" i="2"/>
  <c r="E14" i="7" l="1"/>
  <c r="E41" i="7"/>
  <c r="E43" i="7"/>
  <c r="E47" i="7" s="1"/>
  <c r="B49" i="6"/>
  <c r="C12" i="25"/>
  <c r="G27" i="4"/>
  <c r="O27" i="4"/>
  <c r="W27" i="4"/>
  <c r="AE27" i="4"/>
  <c r="I27" i="4"/>
  <c r="Q27" i="4"/>
  <c r="Y27" i="4"/>
  <c r="AG27" i="4"/>
  <c r="D27" i="4"/>
  <c r="L27" i="4"/>
  <c r="T27" i="4"/>
  <c r="AB27" i="4"/>
  <c r="E27" i="4"/>
  <c r="R27" i="4"/>
  <c r="AD27" i="4"/>
  <c r="H27" i="4"/>
  <c r="U27" i="4"/>
  <c r="M27" i="4"/>
  <c r="Z27" i="4"/>
  <c r="C27" i="4"/>
  <c r="X27" i="4"/>
  <c r="J27" i="4"/>
  <c r="AC27" i="4"/>
  <c r="P27" i="4"/>
  <c r="S27" i="4"/>
  <c r="K27" i="4"/>
  <c r="V27" i="4"/>
  <c r="F27" i="4"/>
  <c r="N27" i="4"/>
  <c r="AA27" i="4"/>
  <c r="AF27" i="4"/>
  <c r="F27" i="7"/>
  <c r="F42" i="7"/>
  <c r="D14" i="7"/>
  <c r="D41" i="7"/>
  <c r="D13" i="7"/>
  <c r="D43" i="7"/>
  <c r="D47" i="7" s="1"/>
  <c r="C13" i="4"/>
  <c r="E16" i="4"/>
  <c r="M16" i="4"/>
  <c r="U16" i="4"/>
  <c r="AC16" i="4"/>
  <c r="G16" i="4"/>
  <c r="O16" i="4"/>
  <c r="W16" i="4"/>
  <c r="AE16" i="4"/>
  <c r="J16" i="4"/>
  <c r="R16" i="4"/>
  <c r="Z16" i="4"/>
  <c r="C16" i="4"/>
  <c r="P16" i="4"/>
  <c r="AB16" i="4"/>
  <c r="F16" i="4"/>
  <c r="S16" i="4"/>
  <c r="AF16" i="4"/>
  <c r="C19" i="4"/>
  <c r="D19" i="4" s="1"/>
  <c r="E19" i="4" s="1"/>
  <c r="F19" i="4" s="1"/>
  <c r="G19" i="4" s="1"/>
  <c r="H19" i="4" s="1"/>
  <c r="I19" i="4" s="1"/>
  <c r="J19" i="4" s="1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AC19" i="4" s="1"/>
  <c r="AD19" i="4" s="1"/>
  <c r="AE19" i="4" s="1"/>
  <c r="AF19" i="4" s="1"/>
  <c r="AG19" i="4" s="1"/>
  <c r="K16" i="4"/>
  <c r="X16" i="4"/>
  <c r="T16" i="4"/>
  <c r="D16" i="4"/>
  <c r="Y16" i="4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R18" i="4" s="1"/>
  <c r="S18" i="4" s="1"/>
  <c r="T18" i="4" s="1"/>
  <c r="U18" i="4" s="1"/>
  <c r="V18" i="4" s="1"/>
  <c r="W18" i="4" s="1"/>
  <c r="X18" i="4" s="1"/>
  <c r="Y18" i="4" s="1"/>
  <c r="Z18" i="4" s="1"/>
  <c r="AA18" i="4" s="1"/>
  <c r="AB18" i="4" s="1"/>
  <c r="AC18" i="4" s="1"/>
  <c r="AD18" i="4" s="1"/>
  <c r="AE18" i="4" s="1"/>
  <c r="AF18" i="4" s="1"/>
  <c r="AG18" i="4" s="1"/>
  <c r="L16" i="4"/>
  <c r="AG16" i="4"/>
  <c r="N16" i="4"/>
  <c r="V16" i="4"/>
  <c r="AD16" i="4"/>
  <c r="H16" i="4"/>
  <c r="I16" i="4"/>
  <c r="Q16" i="4"/>
  <c r="AA16" i="4"/>
  <c r="D50" i="2"/>
  <c r="B17" i="7"/>
  <c r="C58" i="2"/>
  <c r="F6" i="19"/>
  <c r="F6" i="7"/>
  <c r="E6" i="4"/>
  <c r="E10" i="4" s="1"/>
  <c r="E13" i="4" s="1"/>
  <c r="G7" i="3"/>
  <c r="G21" i="3" s="1"/>
  <c r="F21" i="3"/>
  <c r="E6" i="25"/>
  <c r="D6" i="8"/>
  <c r="E7" i="19"/>
  <c r="F8" i="3"/>
  <c r="C7" i="8"/>
  <c r="E7" i="7"/>
  <c r="D7" i="25"/>
  <c r="D7" i="4"/>
  <c r="C73" i="2" s="1"/>
  <c r="B16" i="7"/>
  <c r="C6" i="18"/>
  <c r="I19" i="18"/>
  <c r="H19" i="18"/>
  <c r="A20" i="18"/>
  <c r="D10" i="4"/>
  <c r="D13" i="4" s="1"/>
  <c r="B73" i="2"/>
  <c r="B7" i="6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F14" i="7" l="1"/>
  <c r="F41" i="7"/>
  <c r="F43" i="7"/>
  <c r="F47" i="7" s="1"/>
  <c r="F46" i="7"/>
  <c r="B33" i="2"/>
  <c r="B47" i="2"/>
  <c r="B49" i="2"/>
  <c r="B27" i="2"/>
  <c r="B30" i="2"/>
  <c r="B32" i="2"/>
  <c r="B38" i="2"/>
  <c r="B41" i="2"/>
  <c r="B45" i="2"/>
  <c r="B19" i="2"/>
  <c r="B34" i="2" s="1"/>
  <c r="B29" i="2"/>
  <c r="B31" i="2"/>
  <c r="B43" i="2"/>
  <c r="B54" i="2"/>
  <c r="C11" i="2"/>
  <c r="B23" i="2"/>
  <c r="B55" i="2"/>
  <c r="C18" i="19"/>
  <c r="C20" i="19" s="1"/>
  <c r="C25" i="19" s="1"/>
  <c r="B37" i="2"/>
  <c r="B50" i="2" s="1"/>
  <c r="B42" i="2"/>
  <c r="B39" i="2"/>
  <c r="D58" i="2"/>
  <c r="C62" i="2" s="1"/>
  <c r="B22" i="2"/>
  <c r="B26" i="2"/>
  <c r="B40" i="2"/>
  <c r="B53" i="2"/>
  <c r="B56" i="2" s="1"/>
  <c r="B28" i="2"/>
  <c r="B25" i="2"/>
  <c r="B44" i="2"/>
  <c r="B24" i="2"/>
  <c r="W51" i="25"/>
  <c r="B21" i="2"/>
  <c r="B20" i="2"/>
  <c r="B46" i="2"/>
  <c r="B48" i="2"/>
  <c r="H16" i="7"/>
  <c r="H19" i="7" s="1"/>
  <c r="P16" i="7"/>
  <c r="P19" i="7" s="1"/>
  <c r="X16" i="7"/>
  <c r="X19" i="7" s="1"/>
  <c r="AF16" i="7"/>
  <c r="AF19" i="7" s="1"/>
  <c r="D16" i="7"/>
  <c r="D19" i="7" s="1"/>
  <c r="M16" i="7"/>
  <c r="M19" i="7" s="1"/>
  <c r="V16" i="7"/>
  <c r="V19" i="7" s="1"/>
  <c r="AE16" i="7"/>
  <c r="AE19" i="7" s="1"/>
  <c r="F16" i="7"/>
  <c r="F19" i="7" s="1"/>
  <c r="O16" i="7"/>
  <c r="O19" i="7" s="1"/>
  <c r="Y16" i="7"/>
  <c r="Y19" i="7" s="1"/>
  <c r="AH16" i="7"/>
  <c r="AH19" i="7" s="1"/>
  <c r="J16" i="7"/>
  <c r="J19" i="7" s="1"/>
  <c r="S16" i="7"/>
  <c r="S19" i="7" s="1"/>
  <c r="AB16" i="7"/>
  <c r="AB19" i="7" s="1"/>
  <c r="L16" i="7"/>
  <c r="L19" i="7" s="1"/>
  <c r="U16" i="7"/>
  <c r="U19" i="7" s="1"/>
  <c r="AD16" i="7"/>
  <c r="AD19" i="7" s="1"/>
  <c r="Q16" i="7"/>
  <c r="Q19" i="7" s="1"/>
  <c r="T16" i="7"/>
  <c r="T19" i="7" s="1"/>
  <c r="B19" i="7"/>
  <c r="I16" i="7"/>
  <c r="I19" i="7" s="1"/>
  <c r="AA16" i="7"/>
  <c r="AA19" i="7" s="1"/>
  <c r="N16" i="7"/>
  <c r="N19" i="7" s="1"/>
  <c r="W16" i="7"/>
  <c r="W19" i="7" s="1"/>
  <c r="E16" i="7"/>
  <c r="E19" i="7" s="1"/>
  <c r="AG16" i="7"/>
  <c r="AG19" i="7" s="1"/>
  <c r="G16" i="7"/>
  <c r="G19" i="7" s="1"/>
  <c r="B45" i="7"/>
  <c r="B48" i="7" s="1"/>
  <c r="R16" i="7"/>
  <c r="R19" i="7" s="1"/>
  <c r="AC16" i="7"/>
  <c r="AC19" i="7" s="1"/>
  <c r="B31" i="7"/>
  <c r="K16" i="7"/>
  <c r="K19" i="7" s="1"/>
  <c r="Z16" i="7"/>
  <c r="Z19" i="7" s="1"/>
  <c r="H17" i="7"/>
  <c r="P17" i="7"/>
  <c r="X17" i="7"/>
  <c r="AF17" i="7"/>
  <c r="R17" i="7"/>
  <c r="AA17" i="7"/>
  <c r="K17" i="7"/>
  <c r="T17" i="7"/>
  <c r="AC17" i="7"/>
  <c r="E17" i="7"/>
  <c r="N17" i="7"/>
  <c r="W17" i="7"/>
  <c r="AG17" i="7"/>
  <c r="G17" i="7"/>
  <c r="S17" i="7"/>
  <c r="AH17" i="7"/>
  <c r="B32" i="7"/>
  <c r="F17" i="7"/>
  <c r="V17" i="7"/>
  <c r="M17" i="7"/>
  <c r="AB17" i="7"/>
  <c r="L17" i="7"/>
  <c r="Q17" i="7"/>
  <c r="B46" i="7"/>
  <c r="Z17" i="7"/>
  <c r="D17" i="7"/>
  <c r="AD17" i="7"/>
  <c r="U17" i="7"/>
  <c r="Y17" i="7"/>
  <c r="J17" i="7"/>
  <c r="AE17" i="7"/>
  <c r="O17" i="7"/>
  <c r="N29" i="2"/>
  <c r="O29" i="2" s="1"/>
  <c r="I13" i="7"/>
  <c r="I17" i="7" s="1"/>
  <c r="D27" i="7"/>
  <c r="D42" i="7"/>
  <c r="D46" i="7" s="1"/>
  <c r="F7" i="7"/>
  <c r="F7" i="19"/>
  <c r="G8" i="3"/>
  <c r="E7" i="4"/>
  <c r="D73" i="2" s="1"/>
  <c r="E7" i="25"/>
  <c r="D7" i="8"/>
  <c r="E31" i="18"/>
  <c r="F31" i="18" s="1"/>
  <c r="E20" i="18"/>
  <c r="F20" i="18" s="1"/>
  <c r="E25" i="18"/>
  <c r="F25" i="18" s="1"/>
  <c r="E17" i="18"/>
  <c r="F17" i="18" s="1"/>
  <c r="E22" i="18"/>
  <c r="F22" i="18" s="1"/>
  <c r="E29" i="18"/>
  <c r="F29" i="18" s="1"/>
  <c r="E32" i="18"/>
  <c r="F32" i="18" s="1"/>
  <c r="E30" i="18"/>
  <c r="F30" i="18" s="1"/>
  <c r="E28" i="18"/>
  <c r="F28" i="18" s="1"/>
  <c r="E19" i="18"/>
  <c r="F19" i="18" s="1"/>
  <c r="E27" i="18"/>
  <c r="F27" i="18" s="1"/>
  <c r="E24" i="18"/>
  <c r="F24" i="18" s="1"/>
  <c r="E33" i="18"/>
  <c r="F33" i="18" s="1"/>
  <c r="E18" i="18"/>
  <c r="F18" i="18" s="1"/>
  <c r="E15" i="18"/>
  <c r="E16" i="18"/>
  <c r="F16" i="18" s="1"/>
  <c r="E26" i="18"/>
  <c r="F26" i="18" s="1"/>
  <c r="E21" i="18"/>
  <c r="F21" i="18" s="1"/>
  <c r="E23" i="18"/>
  <c r="F23" i="18" s="1"/>
  <c r="G6" i="19"/>
  <c r="G6" i="7"/>
  <c r="F6" i="25"/>
  <c r="H21" i="3"/>
  <c r="F6" i="4"/>
  <c r="F10" i="4" s="1"/>
  <c r="E6" i="8"/>
  <c r="H7" i="3"/>
  <c r="G35" i="3"/>
  <c r="G36" i="3" s="1"/>
  <c r="G38" i="3" s="1"/>
  <c r="F11" i="4" s="1"/>
  <c r="A21" i="18"/>
  <c r="H20" i="18"/>
  <c r="I20" i="18"/>
  <c r="D28" i="7"/>
  <c r="D33" i="7" s="1"/>
  <c r="D18" i="7"/>
  <c r="E28" i="7"/>
  <c r="E33" i="7" s="1"/>
  <c r="E18" i="7"/>
  <c r="D21" i="7" l="1"/>
  <c r="E21" i="7" s="1"/>
  <c r="F21" i="7" s="1"/>
  <c r="G21" i="7" s="1"/>
  <c r="H21" i="7" s="1"/>
  <c r="I21" i="7" s="1"/>
  <c r="J21" i="7" s="1"/>
  <c r="K21" i="7" s="1"/>
  <c r="L21" i="7" s="1"/>
  <c r="M21" i="7" s="1"/>
  <c r="N21" i="7" s="1"/>
  <c r="O21" i="7" s="1"/>
  <c r="P21" i="7" s="1"/>
  <c r="Q21" i="7" s="1"/>
  <c r="R21" i="7" s="1"/>
  <c r="S21" i="7" s="1"/>
  <c r="T21" i="7" s="1"/>
  <c r="U21" i="7" s="1"/>
  <c r="V21" i="7" s="1"/>
  <c r="W21" i="7" s="1"/>
  <c r="X21" i="7" s="1"/>
  <c r="Y21" i="7" s="1"/>
  <c r="Z21" i="7" s="1"/>
  <c r="AA21" i="7" s="1"/>
  <c r="AB21" i="7" s="1"/>
  <c r="AC21" i="7" s="1"/>
  <c r="AD21" i="7" s="1"/>
  <c r="AE21" i="7" s="1"/>
  <c r="AF21" i="7" s="1"/>
  <c r="AG21" i="7" s="1"/>
  <c r="AH21" i="7" s="1"/>
  <c r="B21" i="7"/>
  <c r="B11" i="2"/>
  <c r="C14" i="2"/>
  <c r="J41" i="19"/>
  <c r="J43" i="19" s="1"/>
  <c r="R41" i="19"/>
  <c r="R43" i="19" s="1"/>
  <c r="Z41" i="19"/>
  <c r="Z43" i="19" s="1"/>
  <c r="AH41" i="19"/>
  <c r="AH43" i="19" s="1"/>
  <c r="D11" i="2"/>
  <c r="E41" i="19"/>
  <c r="E43" i="19" s="1"/>
  <c r="M41" i="19"/>
  <c r="M43" i="19" s="1"/>
  <c r="U41" i="19"/>
  <c r="U43" i="19" s="1"/>
  <c r="AC41" i="19"/>
  <c r="AC43" i="19" s="1"/>
  <c r="H47" i="2"/>
  <c r="F41" i="19"/>
  <c r="F43" i="19" s="1"/>
  <c r="P41" i="19"/>
  <c r="P43" i="19" s="1"/>
  <c r="AA41" i="19"/>
  <c r="AA43" i="19" s="1"/>
  <c r="H41" i="19"/>
  <c r="H43" i="19" s="1"/>
  <c r="S41" i="19"/>
  <c r="S43" i="19" s="1"/>
  <c r="AD41" i="19"/>
  <c r="AD43" i="19" s="1"/>
  <c r="L41" i="19"/>
  <c r="L43" i="19" s="1"/>
  <c r="W41" i="19"/>
  <c r="W43" i="19" s="1"/>
  <c r="AG41" i="19"/>
  <c r="AG43" i="19" s="1"/>
  <c r="D41" i="19"/>
  <c r="D43" i="19" s="1"/>
  <c r="O41" i="19"/>
  <c r="O43" i="19" s="1"/>
  <c r="Y41" i="19"/>
  <c r="Y43" i="19" s="1"/>
  <c r="I41" i="19"/>
  <c r="I43" i="19" s="1"/>
  <c r="AE41" i="19"/>
  <c r="AE43" i="19" s="1"/>
  <c r="N41" i="19"/>
  <c r="N43" i="19" s="1"/>
  <c r="G41" i="19"/>
  <c r="G43" i="19" s="1"/>
  <c r="AB41" i="19"/>
  <c r="AB43" i="19" s="1"/>
  <c r="C41" i="19"/>
  <c r="C43" i="19" s="1"/>
  <c r="C45" i="19" s="1"/>
  <c r="Q41" i="19"/>
  <c r="Q43" i="19" s="1"/>
  <c r="X41" i="19"/>
  <c r="X43" i="19" s="1"/>
  <c r="AF41" i="19"/>
  <c r="AF43" i="19" s="1"/>
  <c r="K41" i="19"/>
  <c r="K43" i="19" s="1"/>
  <c r="V41" i="19"/>
  <c r="V43" i="19" s="1"/>
  <c r="T41" i="19"/>
  <c r="T43" i="19" s="1"/>
  <c r="B49" i="25"/>
  <c r="B52" i="25" s="1"/>
  <c r="C53" i="25" s="1"/>
  <c r="C70" i="2" s="1"/>
  <c r="B25" i="25"/>
  <c r="B36" i="25"/>
  <c r="B38" i="25" s="1"/>
  <c r="C39" i="25" s="1"/>
  <c r="B42" i="25"/>
  <c r="B45" i="25" s="1"/>
  <c r="C46" i="25" s="1"/>
  <c r="C69" i="2" s="1"/>
  <c r="B56" i="25"/>
  <c r="B59" i="25" s="1"/>
  <c r="C60" i="25" s="1"/>
  <c r="C71" i="2" s="1"/>
  <c r="H48" i="2"/>
  <c r="F45" i="7"/>
  <c r="F48" i="7" s="1"/>
  <c r="E34" i="4" s="1"/>
  <c r="D11" i="8" s="1"/>
  <c r="H21" i="18"/>
  <c r="A22" i="18"/>
  <c r="I21" i="18"/>
  <c r="H6" i="19"/>
  <c r="H6" i="7"/>
  <c r="G6" i="4"/>
  <c r="G10" i="4" s="1"/>
  <c r="G13" i="4" s="1"/>
  <c r="I7" i="3"/>
  <c r="I21" i="3" s="1"/>
  <c r="G6" i="25"/>
  <c r="F6" i="8"/>
  <c r="H35" i="3"/>
  <c r="H36" i="3" s="1"/>
  <c r="H38" i="3" s="1"/>
  <c r="G11" i="4" s="1"/>
  <c r="E45" i="7"/>
  <c r="E48" i="7" s="1"/>
  <c r="D34" i="4" s="1"/>
  <c r="C11" i="8" s="1"/>
  <c r="G7" i="19"/>
  <c r="G7" i="7"/>
  <c r="F7" i="4"/>
  <c r="F7" i="25"/>
  <c r="E7" i="8"/>
  <c r="H8" i="3"/>
  <c r="D32" i="7"/>
  <c r="D45" i="7"/>
  <c r="D48" i="7" s="1"/>
  <c r="D50" i="7" s="1"/>
  <c r="F13" i="4"/>
  <c r="G18" i="19"/>
  <c r="O18" i="19"/>
  <c r="W18" i="19"/>
  <c r="AE18" i="19"/>
  <c r="J18" i="19"/>
  <c r="R18" i="19"/>
  <c r="Z18" i="19"/>
  <c r="AH18" i="19"/>
  <c r="M18" i="19"/>
  <c r="X18" i="19"/>
  <c r="E18" i="19"/>
  <c r="P18" i="19"/>
  <c r="AA18" i="19"/>
  <c r="I18" i="19"/>
  <c r="T18" i="19"/>
  <c r="AD18" i="19"/>
  <c r="L18" i="19"/>
  <c r="V18" i="19"/>
  <c r="AG18" i="19"/>
  <c r="F18" i="19"/>
  <c r="AB18" i="19"/>
  <c r="K18" i="19"/>
  <c r="AF18" i="19"/>
  <c r="D18" i="19"/>
  <c r="Y18" i="19"/>
  <c r="U18" i="19"/>
  <c r="N18" i="19"/>
  <c r="S18" i="19"/>
  <c r="Q18" i="19"/>
  <c r="H18" i="19"/>
  <c r="AC18" i="19"/>
  <c r="B50" i="7"/>
  <c r="P32" i="7"/>
  <c r="X32" i="7"/>
  <c r="AF32" i="7"/>
  <c r="J32" i="7"/>
  <c r="R32" i="7"/>
  <c r="Z32" i="7"/>
  <c r="AH32" i="7"/>
  <c r="M32" i="7"/>
  <c r="U32" i="7"/>
  <c r="AC32" i="7"/>
  <c r="S32" i="7"/>
  <c r="K32" i="7"/>
  <c r="G32" i="7"/>
  <c r="AA32" i="7"/>
  <c r="AD32" i="7"/>
  <c r="Y32" i="7"/>
  <c r="Q32" i="7"/>
  <c r="V32" i="7"/>
  <c r="AG32" i="7"/>
  <c r="L32" i="7"/>
  <c r="N32" i="7"/>
  <c r="AE32" i="7"/>
  <c r="W32" i="7"/>
  <c r="AB32" i="7"/>
  <c r="O32" i="7"/>
  <c r="E32" i="7"/>
  <c r="T32" i="7"/>
  <c r="H32" i="7"/>
  <c r="B58" i="2"/>
  <c r="G14" i="7"/>
  <c r="G41" i="7"/>
  <c r="G45" i="7" s="1"/>
  <c r="G48" i="7" s="1"/>
  <c r="F34" i="4" s="1"/>
  <c r="E11" i="8" s="1"/>
  <c r="G43" i="7"/>
  <c r="G47" i="7" s="1"/>
  <c r="P46" i="7"/>
  <c r="X46" i="7"/>
  <c r="AF46" i="7"/>
  <c r="J46" i="7"/>
  <c r="R46" i="7"/>
  <c r="Z46" i="7"/>
  <c r="AH46" i="7"/>
  <c r="E46" i="7"/>
  <c r="M46" i="7"/>
  <c r="U46" i="7"/>
  <c r="AC46" i="7"/>
  <c r="Y46" i="7"/>
  <c r="AG46" i="7"/>
  <c r="V46" i="7"/>
  <c r="S46" i="7"/>
  <c r="AA46" i="7"/>
  <c r="K46" i="7"/>
  <c r="N46" i="7"/>
  <c r="AD46" i="7"/>
  <c r="AE46" i="7"/>
  <c r="W46" i="7"/>
  <c r="Q46" i="7"/>
  <c r="AB46" i="7"/>
  <c r="O46" i="7"/>
  <c r="T46" i="7"/>
  <c r="G46" i="7"/>
  <c r="L46" i="7"/>
  <c r="H46" i="7"/>
  <c r="E34" i="18"/>
  <c r="F15" i="18"/>
  <c r="I27" i="7"/>
  <c r="I32" i="7" s="1"/>
  <c r="I42" i="7"/>
  <c r="I46" i="7" s="1"/>
  <c r="C47" i="19"/>
  <c r="F32" i="7"/>
  <c r="H31" i="7"/>
  <c r="H34" i="7" s="1"/>
  <c r="F12" i="8" s="1"/>
  <c r="P31" i="7"/>
  <c r="P34" i="7" s="1"/>
  <c r="N12" i="8" s="1"/>
  <c r="X31" i="7"/>
  <c r="X34" i="7" s="1"/>
  <c r="V12" i="8" s="1"/>
  <c r="AF31" i="7"/>
  <c r="AF34" i="7" s="1"/>
  <c r="AD12" i="8" s="1"/>
  <c r="J31" i="7"/>
  <c r="J34" i="7" s="1"/>
  <c r="H12" i="8" s="1"/>
  <c r="R31" i="7"/>
  <c r="R34" i="7" s="1"/>
  <c r="P12" i="8" s="1"/>
  <c r="Z31" i="7"/>
  <c r="Z34" i="7" s="1"/>
  <c r="X12" i="8" s="1"/>
  <c r="AH31" i="7"/>
  <c r="AH34" i="7" s="1"/>
  <c r="AF12" i="8" s="1"/>
  <c r="E31" i="7"/>
  <c r="E34" i="7" s="1"/>
  <c r="C12" i="8" s="1"/>
  <c r="M31" i="7"/>
  <c r="M34" i="7" s="1"/>
  <c r="K12" i="8" s="1"/>
  <c r="U31" i="7"/>
  <c r="U34" i="7" s="1"/>
  <c r="S12" i="8" s="1"/>
  <c r="AC31" i="7"/>
  <c r="AC34" i="7" s="1"/>
  <c r="AA12" i="8" s="1"/>
  <c r="I31" i="7"/>
  <c r="I34" i="7" s="1"/>
  <c r="G12" i="8" s="1"/>
  <c r="V31" i="7"/>
  <c r="V34" i="7" s="1"/>
  <c r="T12" i="8" s="1"/>
  <c r="L31" i="7"/>
  <c r="L34" i="7" s="1"/>
  <c r="J12" i="8" s="1"/>
  <c r="Y31" i="7"/>
  <c r="Y34" i="7" s="1"/>
  <c r="W12" i="8" s="1"/>
  <c r="D31" i="7"/>
  <c r="D34" i="7" s="1"/>
  <c r="B12" i="8" s="1"/>
  <c r="Q31" i="7"/>
  <c r="Q34" i="7" s="1"/>
  <c r="O12" i="8" s="1"/>
  <c r="AD31" i="7"/>
  <c r="AD34" i="7" s="1"/>
  <c r="AB12" i="8" s="1"/>
  <c r="F31" i="7"/>
  <c r="F34" i="7" s="1"/>
  <c r="D12" i="8" s="1"/>
  <c r="AA31" i="7"/>
  <c r="AA34" i="7" s="1"/>
  <c r="Y12" i="8" s="1"/>
  <c r="K31" i="7"/>
  <c r="K34" i="7" s="1"/>
  <c r="I12" i="8" s="1"/>
  <c r="AE31" i="7"/>
  <c r="AE34" i="7" s="1"/>
  <c r="AC12" i="8" s="1"/>
  <c r="S31" i="7"/>
  <c r="S34" i="7" s="1"/>
  <c r="Q12" i="8" s="1"/>
  <c r="T31" i="7"/>
  <c r="T34" i="7" s="1"/>
  <c r="R12" i="8" s="1"/>
  <c r="B34" i="7"/>
  <c r="O31" i="7"/>
  <c r="O34" i="7" s="1"/>
  <c r="M12" i="8" s="1"/>
  <c r="AB31" i="7"/>
  <c r="AB34" i="7" s="1"/>
  <c r="Z12" i="8" s="1"/>
  <c r="G31" i="7"/>
  <c r="G34" i="7" s="1"/>
  <c r="E12" i="8" s="1"/>
  <c r="W31" i="7"/>
  <c r="W34" i="7" s="1"/>
  <c r="U12" i="8" s="1"/>
  <c r="N31" i="7"/>
  <c r="N34" i="7" s="1"/>
  <c r="L12" i="8" s="1"/>
  <c r="AG31" i="7"/>
  <c r="AG34" i="7" s="1"/>
  <c r="AE12" i="8" s="1"/>
  <c r="F28" i="7"/>
  <c r="F33" i="7" s="1"/>
  <c r="F18" i="7"/>
  <c r="E50" i="7" l="1"/>
  <c r="C24" i="4"/>
  <c r="N31" i="2" s="1"/>
  <c r="O31" i="2" s="1"/>
  <c r="K20" i="19"/>
  <c r="K25" i="19" s="1"/>
  <c r="AB20" i="19"/>
  <c r="AB25" i="19" s="1"/>
  <c r="C26" i="25"/>
  <c r="B29" i="25"/>
  <c r="C25" i="25" s="1"/>
  <c r="B36" i="7"/>
  <c r="D36" i="7"/>
  <c r="E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V36" i="7" s="1"/>
  <c r="W36" i="7" s="1"/>
  <c r="X36" i="7" s="1"/>
  <c r="Y36" i="7" s="1"/>
  <c r="Z36" i="7" s="1"/>
  <c r="AA36" i="7" s="1"/>
  <c r="AB36" i="7" s="1"/>
  <c r="AC36" i="7" s="1"/>
  <c r="AD36" i="7" s="1"/>
  <c r="AE36" i="7" s="1"/>
  <c r="AF36" i="7" s="1"/>
  <c r="AG36" i="7" s="1"/>
  <c r="AH36" i="7" s="1"/>
  <c r="L20" i="19"/>
  <c r="L25" i="19" s="1"/>
  <c r="B14" i="2"/>
  <c r="D14" i="2"/>
  <c r="B12" i="2"/>
  <c r="G28" i="7"/>
  <c r="G33" i="7" s="1"/>
  <c r="G18" i="7"/>
  <c r="AD20" i="19"/>
  <c r="AD25" i="19" s="1"/>
  <c r="AH20" i="19"/>
  <c r="AH25" i="19" s="1"/>
  <c r="T20" i="19"/>
  <c r="T25" i="19" s="1"/>
  <c r="H7" i="19"/>
  <c r="H7" i="7"/>
  <c r="G7" i="4"/>
  <c r="I8" i="3"/>
  <c r="G7" i="25"/>
  <c r="F7" i="8"/>
  <c r="H14" i="7"/>
  <c r="H41" i="7"/>
  <c r="H45" i="7" s="1"/>
  <c r="H48" i="7" s="1"/>
  <c r="G34" i="4" s="1"/>
  <c r="F11" i="8" s="1"/>
  <c r="H43" i="7"/>
  <c r="H47" i="7" s="1"/>
  <c r="C68" i="2"/>
  <c r="B9" i="16"/>
  <c r="B12" i="16" s="1"/>
  <c r="Q20" i="19"/>
  <c r="Q25" i="19" s="1"/>
  <c r="F20" i="19"/>
  <c r="F25" i="19" s="1"/>
  <c r="AE20" i="19"/>
  <c r="AE25" i="19" s="1"/>
  <c r="I22" i="18"/>
  <c r="A23" i="18"/>
  <c r="H22" i="18"/>
  <c r="G15" i="18"/>
  <c r="G16" i="18" s="1"/>
  <c r="G17" i="18" s="1"/>
  <c r="G18" i="18" s="1"/>
  <c r="G19" i="18" s="1"/>
  <c r="G20" i="18" s="1"/>
  <c r="G21" i="18" s="1"/>
  <c r="G22" i="18" s="1"/>
  <c r="F34" i="18"/>
  <c r="I20" i="19"/>
  <c r="I25" i="19" s="1"/>
  <c r="H19" i="19"/>
  <c r="H20" i="19" s="1"/>
  <c r="H25" i="19" s="1"/>
  <c r="P19" i="19"/>
  <c r="P20" i="19" s="1"/>
  <c r="P25" i="19" s="1"/>
  <c r="X19" i="19"/>
  <c r="AF19" i="19"/>
  <c r="AF20" i="19" s="1"/>
  <c r="AF25" i="19" s="1"/>
  <c r="K19" i="19"/>
  <c r="S19" i="19"/>
  <c r="S20" i="19" s="1"/>
  <c r="S25" i="19" s="1"/>
  <c r="AA19" i="19"/>
  <c r="AA20" i="19" s="1"/>
  <c r="AA25" i="19" s="1"/>
  <c r="D19" i="19"/>
  <c r="D20" i="19" s="1"/>
  <c r="D25" i="19" s="1"/>
  <c r="N19" i="19"/>
  <c r="N20" i="19" s="1"/>
  <c r="N25" i="19" s="1"/>
  <c r="Y19" i="19"/>
  <c r="Y20" i="19" s="1"/>
  <c r="Y25" i="19" s="1"/>
  <c r="F19" i="19"/>
  <c r="Q19" i="19"/>
  <c r="AB19" i="19"/>
  <c r="J19" i="19"/>
  <c r="J20" i="19" s="1"/>
  <c r="J25" i="19" s="1"/>
  <c r="U19" i="19"/>
  <c r="U20" i="19" s="1"/>
  <c r="U25" i="19" s="1"/>
  <c r="AE19" i="19"/>
  <c r="M19" i="19"/>
  <c r="M20" i="19" s="1"/>
  <c r="M25" i="19" s="1"/>
  <c r="W19" i="19"/>
  <c r="W20" i="19" s="1"/>
  <c r="W25" i="19" s="1"/>
  <c r="AH19" i="19"/>
  <c r="R19" i="19"/>
  <c r="R20" i="19" s="1"/>
  <c r="R25" i="19" s="1"/>
  <c r="V19" i="19"/>
  <c r="O19" i="19"/>
  <c r="O20" i="19" s="1"/>
  <c r="O25" i="19" s="1"/>
  <c r="AC19" i="19"/>
  <c r="AC20" i="19" s="1"/>
  <c r="AC25" i="19" s="1"/>
  <c r="E19" i="19"/>
  <c r="E20" i="19" s="1"/>
  <c r="E25" i="19" s="1"/>
  <c r="AG19" i="19"/>
  <c r="AG20" i="19" s="1"/>
  <c r="AG25" i="19" s="1"/>
  <c r="L19" i="19"/>
  <c r="Z19" i="19"/>
  <c r="Z20" i="19" s="1"/>
  <c r="Z25" i="19" s="1"/>
  <c r="G19" i="19"/>
  <c r="G20" i="19" s="1"/>
  <c r="G25" i="19" s="1"/>
  <c r="AD19" i="19"/>
  <c r="I19" i="19"/>
  <c r="C34" i="4"/>
  <c r="B11" i="8" s="1"/>
  <c r="T19" i="19"/>
  <c r="V20" i="19"/>
  <c r="V25" i="19" s="1"/>
  <c r="X20" i="19"/>
  <c r="X25" i="19" s="1"/>
  <c r="I6" i="19"/>
  <c r="I6" i="7"/>
  <c r="H6" i="4"/>
  <c r="H10" i="4" s="1"/>
  <c r="J7" i="3"/>
  <c r="G6" i="8"/>
  <c r="H6" i="25"/>
  <c r="I35" i="3"/>
  <c r="I36" i="3" s="1"/>
  <c r="I38" i="3" s="1"/>
  <c r="H11" i="4" s="1"/>
  <c r="H28" i="7" l="1"/>
  <c r="H33" i="7" s="1"/>
  <c r="H18" i="7"/>
  <c r="J6" i="19"/>
  <c r="I6" i="25"/>
  <c r="J6" i="7"/>
  <c r="K7" i="3"/>
  <c r="K21" i="3" s="1"/>
  <c r="I6" i="4"/>
  <c r="I10" i="4" s="1"/>
  <c r="J35" i="3"/>
  <c r="J36" i="3" s="1"/>
  <c r="J38" i="3" s="1"/>
  <c r="I11" i="4" s="1"/>
  <c r="H6" i="8"/>
  <c r="A24" i="18"/>
  <c r="H23" i="18"/>
  <c r="G23" i="18" s="1"/>
  <c r="I23" i="18"/>
  <c r="I7" i="19"/>
  <c r="I7" i="7"/>
  <c r="J8" i="3"/>
  <c r="H7" i="25"/>
  <c r="H7" i="4"/>
  <c r="G7" i="8"/>
  <c r="I14" i="7"/>
  <c r="I43" i="7"/>
  <c r="I47" i="7" s="1"/>
  <c r="I41" i="7"/>
  <c r="I45" i="7" s="1"/>
  <c r="I48" i="7" s="1"/>
  <c r="H34" i="4" s="1"/>
  <c r="G11" i="8" s="1"/>
  <c r="J21" i="3"/>
  <c r="H13" i="4"/>
  <c r="F50" i="7"/>
  <c r="D24" i="4"/>
  <c r="I13" i="4" l="1"/>
  <c r="J7" i="19"/>
  <c r="J7" i="7"/>
  <c r="I7" i="4"/>
  <c r="K8" i="3"/>
  <c r="I7" i="25"/>
  <c r="H7" i="8"/>
  <c r="I18" i="7"/>
  <c r="I28" i="7"/>
  <c r="I33" i="7" s="1"/>
  <c r="K6" i="19"/>
  <c r="K6" i="7"/>
  <c r="J6" i="4"/>
  <c r="J10" i="4" s="1"/>
  <c r="J13" i="4" s="1"/>
  <c r="L7" i="3"/>
  <c r="L21" i="3"/>
  <c r="J6" i="25"/>
  <c r="I6" i="8"/>
  <c r="K35" i="3"/>
  <c r="K36" i="3" s="1"/>
  <c r="K38" i="3" s="1"/>
  <c r="J11" i="4" s="1"/>
  <c r="E24" i="4"/>
  <c r="G50" i="7"/>
  <c r="J41" i="7"/>
  <c r="J45" i="7" s="1"/>
  <c r="J48" i="7" s="1"/>
  <c r="I34" i="4" s="1"/>
  <c r="H11" i="8" s="1"/>
  <c r="J43" i="7"/>
  <c r="J47" i="7" s="1"/>
  <c r="J14" i="7"/>
  <c r="H24" i="18"/>
  <c r="G24" i="18" s="1"/>
  <c r="I24" i="18"/>
  <c r="A25" i="18"/>
  <c r="J28" i="7" l="1"/>
  <c r="J33" i="7" s="1"/>
  <c r="J18" i="7"/>
  <c r="L6" i="19"/>
  <c r="L6" i="7"/>
  <c r="K6" i="4"/>
  <c r="K10" i="4" s="1"/>
  <c r="M21" i="3"/>
  <c r="J6" i="8"/>
  <c r="K6" i="25"/>
  <c r="M7" i="3"/>
  <c r="L35" i="3"/>
  <c r="L36" i="3" s="1"/>
  <c r="L38" i="3" s="1"/>
  <c r="K11" i="4" s="1"/>
  <c r="K7" i="19"/>
  <c r="K7" i="7"/>
  <c r="L8" i="3"/>
  <c r="J7" i="25"/>
  <c r="J7" i="4"/>
  <c r="I7" i="8"/>
  <c r="H50" i="7"/>
  <c r="F24" i="4"/>
  <c r="K14" i="7"/>
  <c r="K41" i="7"/>
  <c r="K45" i="7" s="1"/>
  <c r="K48" i="7" s="1"/>
  <c r="J34" i="4" s="1"/>
  <c r="I11" i="8" s="1"/>
  <c r="K43" i="7"/>
  <c r="K47" i="7" s="1"/>
  <c r="I25" i="18"/>
  <c r="H25" i="18"/>
  <c r="G25" i="18" s="1"/>
  <c r="A26" i="18"/>
  <c r="L14" i="7" l="1"/>
  <c r="L43" i="7"/>
  <c r="L47" i="7" s="1"/>
  <c r="L41" i="7"/>
  <c r="L45" i="7" s="1"/>
  <c r="L48" i="7" s="1"/>
  <c r="K34" i="4" s="1"/>
  <c r="J11" i="8" s="1"/>
  <c r="K28" i="7"/>
  <c r="K33" i="7" s="1"/>
  <c r="K18" i="7"/>
  <c r="L7" i="19"/>
  <c r="K7" i="4"/>
  <c r="L7" i="7"/>
  <c r="M8" i="3"/>
  <c r="J7" i="8"/>
  <c r="K7" i="25"/>
  <c r="K13" i="4"/>
  <c r="G24" i="4"/>
  <c r="I50" i="7"/>
  <c r="H26" i="18"/>
  <c r="G26" i="18" s="1"/>
  <c r="A27" i="18"/>
  <c r="I26" i="18"/>
  <c r="M6" i="19"/>
  <c r="M6" i="7"/>
  <c r="N7" i="3"/>
  <c r="N21" i="3" s="1"/>
  <c r="L6" i="4"/>
  <c r="L10" i="4" s="1"/>
  <c r="L6" i="25"/>
  <c r="K6" i="8"/>
  <c r="M35" i="3"/>
  <c r="M36" i="3" s="1"/>
  <c r="M38" i="3" s="1"/>
  <c r="L11" i="4" s="1"/>
  <c r="J50" i="7" l="1"/>
  <c r="H24" i="4"/>
  <c r="L13" i="4"/>
  <c r="N6" i="19"/>
  <c r="N6" i="7"/>
  <c r="M6" i="4"/>
  <c r="M10" i="4" s="1"/>
  <c r="M13" i="4" s="1"/>
  <c r="O21" i="3"/>
  <c r="O7" i="3"/>
  <c r="N35" i="3"/>
  <c r="N36" i="3" s="1"/>
  <c r="N38" i="3" s="1"/>
  <c r="M11" i="4" s="1"/>
  <c r="M6" i="25"/>
  <c r="L6" i="8"/>
  <c r="L28" i="7"/>
  <c r="L33" i="7" s="1"/>
  <c r="L18" i="7"/>
  <c r="M41" i="7"/>
  <c r="M45" i="7" s="1"/>
  <c r="M48" i="7" s="1"/>
  <c r="L34" i="4" s="1"/>
  <c r="K11" i="8" s="1"/>
  <c r="M43" i="7"/>
  <c r="M47" i="7" s="1"/>
  <c r="M14" i="7"/>
  <c r="M7" i="19"/>
  <c r="M7" i="7"/>
  <c r="L7" i="4"/>
  <c r="K7" i="8"/>
  <c r="N8" i="3"/>
  <c r="L7" i="25"/>
  <c r="I27" i="18"/>
  <c r="H27" i="18"/>
  <c r="G27" i="18" s="1"/>
  <c r="A28" i="18"/>
  <c r="N7" i="19" l="1"/>
  <c r="O8" i="3"/>
  <c r="N7" i="7"/>
  <c r="M7" i="4"/>
  <c r="M7" i="25"/>
  <c r="L7" i="8"/>
  <c r="N14" i="7"/>
  <c r="N41" i="7"/>
  <c r="N45" i="7" s="1"/>
  <c r="N48" i="7" s="1"/>
  <c r="M34" i="4" s="1"/>
  <c r="L11" i="8" s="1"/>
  <c r="N43" i="7"/>
  <c r="N47" i="7" s="1"/>
  <c r="I24" i="4"/>
  <c r="K50" i="7"/>
  <c r="A29" i="18"/>
  <c r="H28" i="18"/>
  <c r="G28" i="18" s="1"/>
  <c r="I28" i="18"/>
  <c r="M28" i="7"/>
  <c r="M33" i="7" s="1"/>
  <c r="M18" i="7"/>
  <c r="O6" i="19"/>
  <c r="O6" i="7"/>
  <c r="N6" i="25"/>
  <c r="P7" i="3"/>
  <c r="N6" i="4"/>
  <c r="N10" i="4" s="1"/>
  <c r="N13" i="4" s="1"/>
  <c r="M6" i="8"/>
  <c r="O35" i="3"/>
  <c r="O36" i="3" s="1"/>
  <c r="O38" i="3" s="1"/>
  <c r="N11" i="4" s="1"/>
  <c r="P6" i="19" l="1"/>
  <c r="P6" i="7"/>
  <c r="Q7" i="3"/>
  <c r="Q21" i="3" s="1"/>
  <c r="O6" i="4"/>
  <c r="O6" i="25"/>
  <c r="N6" i="8"/>
  <c r="P35" i="3"/>
  <c r="P36" i="3" s="1"/>
  <c r="P38" i="3" s="1"/>
  <c r="O11" i="4" s="1"/>
  <c r="I29" i="18"/>
  <c r="A30" i="18"/>
  <c r="H29" i="18"/>
  <c r="G29" i="18" s="1"/>
  <c r="J24" i="4"/>
  <c r="L50" i="7"/>
  <c r="O14" i="7"/>
  <c r="O43" i="7"/>
  <c r="O47" i="7" s="1"/>
  <c r="O41" i="7"/>
  <c r="O45" i="7" s="1"/>
  <c r="O48" i="7" s="1"/>
  <c r="N34" i="4" s="1"/>
  <c r="M11" i="8" s="1"/>
  <c r="O7" i="19"/>
  <c r="O7" i="7"/>
  <c r="N7" i="4"/>
  <c r="P8" i="3"/>
  <c r="N7" i="25"/>
  <c r="M7" i="8"/>
  <c r="P21" i="3"/>
  <c r="N18" i="7"/>
  <c r="N28" i="7"/>
  <c r="N33" i="7" s="1"/>
  <c r="O28" i="7" l="1"/>
  <c r="O33" i="7" s="1"/>
  <c r="O18" i="7"/>
  <c r="M50" i="7"/>
  <c r="K24" i="4"/>
  <c r="P7" i="19"/>
  <c r="P7" i="7"/>
  <c r="O7" i="4"/>
  <c r="Q8" i="3"/>
  <c r="N7" i="8"/>
  <c r="O7" i="25"/>
  <c r="O10" i="4"/>
  <c r="O13" i="4" s="1"/>
  <c r="Q6" i="19"/>
  <c r="Q6" i="7"/>
  <c r="P6" i="4"/>
  <c r="P10" i="4" s="1"/>
  <c r="R21" i="3"/>
  <c r="O6" i="8"/>
  <c r="R7" i="3"/>
  <c r="P6" i="25"/>
  <c r="Q35" i="3"/>
  <c r="Q36" i="3" s="1"/>
  <c r="Q38" i="3" s="1"/>
  <c r="P11" i="4" s="1"/>
  <c r="H30" i="18"/>
  <c r="G30" i="18" s="1"/>
  <c r="I30" i="18"/>
  <c r="A31" i="18"/>
  <c r="P14" i="7"/>
  <c r="P41" i="7"/>
  <c r="P45" i="7" s="1"/>
  <c r="P48" i="7" s="1"/>
  <c r="O34" i="4" s="1"/>
  <c r="N11" i="8" s="1"/>
  <c r="P43" i="7"/>
  <c r="P47" i="7" s="1"/>
  <c r="H31" i="18" l="1"/>
  <c r="G31" i="18" s="1"/>
  <c r="A32" i="18"/>
  <c r="I31" i="18"/>
  <c r="P28" i="7"/>
  <c r="P33" i="7" s="1"/>
  <c r="P18" i="7"/>
  <c r="P13" i="4"/>
  <c r="Q14" i="7"/>
  <c r="Q41" i="7"/>
  <c r="Q45" i="7" s="1"/>
  <c r="Q48" i="7" s="1"/>
  <c r="P34" i="4" s="1"/>
  <c r="O11" i="8" s="1"/>
  <c r="Q43" i="7"/>
  <c r="Q47" i="7" s="1"/>
  <c r="R6" i="19"/>
  <c r="Q6" i="4"/>
  <c r="Q10" i="4" s="1"/>
  <c r="Q13" i="4" s="1"/>
  <c r="S7" i="3"/>
  <c r="S21" i="3"/>
  <c r="Q6" i="25"/>
  <c r="R6" i="7"/>
  <c r="P6" i="8"/>
  <c r="R35" i="3"/>
  <c r="R36" i="3" s="1"/>
  <c r="R38" i="3" s="1"/>
  <c r="Q11" i="4" s="1"/>
  <c r="N50" i="7"/>
  <c r="L24" i="4"/>
  <c r="Q7" i="19"/>
  <c r="Q7" i="7"/>
  <c r="R8" i="3"/>
  <c r="P7" i="4"/>
  <c r="P7" i="25"/>
  <c r="O7" i="8"/>
  <c r="M24" i="4" l="1"/>
  <c r="O50" i="7"/>
  <c r="A33" i="18"/>
  <c r="I32" i="18"/>
  <c r="H32" i="18"/>
  <c r="G32" i="18" s="1"/>
  <c r="R7" i="19"/>
  <c r="R7" i="7"/>
  <c r="Q7" i="4"/>
  <c r="S8" i="3"/>
  <c r="P7" i="8"/>
  <c r="Q7" i="25"/>
  <c r="R14" i="7"/>
  <c r="R41" i="7"/>
  <c r="R45" i="7" s="1"/>
  <c r="R48" i="7" s="1"/>
  <c r="Q34" i="4" s="1"/>
  <c r="P11" i="8" s="1"/>
  <c r="R43" i="7"/>
  <c r="R47" i="7" s="1"/>
  <c r="Q28" i="7"/>
  <c r="Q33" i="7" s="1"/>
  <c r="Q18" i="7"/>
  <c r="S6" i="19"/>
  <c r="S6" i="7"/>
  <c r="R6" i="4"/>
  <c r="R10" i="4" s="1"/>
  <c r="R13" i="4" s="1"/>
  <c r="T21" i="3"/>
  <c r="T7" i="3"/>
  <c r="Q6" i="8"/>
  <c r="R6" i="25"/>
  <c r="S35" i="3"/>
  <c r="S36" i="3" s="1"/>
  <c r="S38" i="3" s="1"/>
  <c r="R11" i="4" s="1"/>
  <c r="P50" i="7" l="1"/>
  <c r="N24" i="4"/>
  <c r="S7" i="19"/>
  <c r="S7" i="7"/>
  <c r="T8" i="3"/>
  <c r="R7" i="25"/>
  <c r="R7" i="4"/>
  <c r="Q7" i="8"/>
  <c r="T6" i="19"/>
  <c r="T6" i="7"/>
  <c r="U7" i="3"/>
  <c r="U21" i="3" s="1"/>
  <c r="R6" i="8"/>
  <c r="S6" i="25"/>
  <c r="S6" i="4"/>
  <c r="S10" i="4" s="1"/>
  <c r="T35" i="3"/>
  <c r="T36" i="3" s="1"/>
  <c r="T38" i="3" s="1"/>
  <c r="S11" i="4" s="1"/>
  <c r="I33" i="18"/>
  <c r="H33" i="18"/>
  <c r="G33" i="18" s="1"/>
  <c r="R28" i="7"/>
  <c r="R33" i="7" s="1"/>
  <c r="R18" i="7"/>
  <c r="S14" i="7"/>
  <c r="S41" i="7"/>
  <c r="S45" i="7" s="1"/>
  <c r="S48" i="7" s="1"/>
  <c r="R34" i="4" s="1"/>
  <c r="Q11" i="8" s="1"/>
  <c r="S43" i="7"/>
  <c r="S47" i="7" s="1"/>
  <c r="S28" i="7" l="1"/>
  <c r="S33" i="7" s="1"/>
  <c r="S18" i="7"/>
  <c r="T7" i="19"/>
  <c r="T7" i="7"/>
  <c r="S7" i="4"/>
  <c r="U8" i="3"/>
  <c r="S7" i="25"/>
  <c r="R7" i="8"/>
  <c r="U6" i="19"/>
  <c r="U6" i="7"/>
  <c r="T6" i="4"/>
  <c r="T10" i="4" s="1"/>
  <c r="V7" i="3"/>
  <c r="T6" i="25"/>
  <c r="U35" i="3"/>
  <c r="U36" i="3" s="1"/>
  <c r="U38" i="3" s="1"/>
  <c r="T11" i="4" s="1"/>
  <c r="V21" i="3"/>
  <c r="S6" i="8"/>
  <c r="T14" i="7"/>
  <c r="T41" i="7"/>
  <c r="T45" i="7" s="1"/>
  <c r="T48" i="7" s="1"/>
  <c r="S34" i="4" s="1"/>
  <c r="R11" i="8" s="1"/>
  <c r="T43" i="7"/>
  <c r="T47" i="7" s="1"/>
  <c r="O24" i="4"/>
  <c r="Q50" i="7"/>
  <c r="S13" i="4"/>
  <c r="R50" i="7" l="1"/>
  <c r="P24" i="4"/>
  <c r="U7" i="19"/>
  <c r="T7" i="4"/>
  <c r="V8" i="3"/>
  <c r="S7" i="8"/>
  <c r="U7" i="7"/>
  <c r="T7" i="25"/>
  <c r="V6" i="7"/>
  <c r="V6" i="19"/>
  <c r="U6" i="4"/>
  <c r="U10" i="4" s="1"/>
  <c r="U13" i="4" s="1"/>
  <c r="W7" i="3"/>
  <c r="U6" i="25"/>
  <c r="T6" i="8"/>
  <c r="V35" i="3"/>
  <c r="V36" i="3" s="1"/>
  <c r="V38" i="3" s="1"/>
  <c r="U11" i="4" s="1"/>
  <c r="U41" i="7"/>
  <c r="U45" i="7" s="1"/>
  <c r="U48" i="7" s="1"/>
  <c r="T34" i="4" s="1"/>
  <c r="S11" i="8" s="1"/>
  <c r="U43" i="7"/>
  <c r="U47" i="7" s="1"/>
  <c r="U14" i="7"/>
  <c r="T13" i="4"/>
  <c r="T28" i="7"/>
  <c r="T33" i="7" s="1"/>
  <c r="T18" i="7"/>
  <c r="W6" i="19" l="1"/>
  <c r="W6" i="7"/>
  <c r="V6" i="4"/>
  <c r="V6" i="25"/>
  <c r="X7" i="3"/>
  <c r="X21" i="3" s="1"/>
  <c r="U6" i="8"/>
  <c r="W35" i="3"/>
  <c r="W36" i="3" s="1"/>
  <c r="W38" i="3" s="1"/>
  <c r="V11" i="4" s="1"/>
  <c r="U28" i="7"/>
  <c r="U33" i="7" s="1"/>
  <c r="U18" i="7"/>
  <c r="V14" i="7"/>
  <c r="V43" i="7"/>
  <c r="V47" i="7" s="1"/>
  <c r="V41" i="7"/>
  <c r="V45" i="7" s="1"/>
  <c r="V48" i="7" s="1"/>
  <c r="U34" i="4" s="1"/>
  <c r="T11" i="8" s="1"/>
  <c r="V7" i="19"/>
  <c r="V7" i="7"/>
  <c r="W8" i="3"/>
  <c r="U7" i="4"/>
  <c r="U7" i="25"/>
  <c r="T7" i="8"/>
  <c r="W21" i="3"/>
  <c r="S50" i="7"/>
  <c r="Q24" i="4"/>
  <c r="R24" i="4" l="1"/>
  <c r="T50" i="7"/>
  <c r="X6" i="19"/>
  <c r="X6" i="7"/>
  <c r="Y21" i="3"/>
  <c r="Y7" i="3"/>
  <c r="W6" i="4"/>
  <c r="W10" i="4" s="1"/>
  <c r="W13" i="4" s="1"/>
  <c r="W6" i="25"/>
  <c r="V6" i="8"/>
  <c r="X35" i="3"/>
  <c r="X36" i="3" s="1"/>
  <c r="X38" i="3" s="1"/>
  <c r="W11" i="4" s="1"/>
  <c r="V28" i="7"/>
  <c r="V33" i="7" s="1"/>
  <c r="V18" i="7"/>
  <c r="V10" i="4"/>
  <c r="V13" i="4" s="1"/>
  <c r="W14" i="7"/>
  <c r="W43" i="7"/>
  <c r="W47" i="7" s="1"/>
  <c r="W41" i="7"/>
  <c r="W45" i="7" s="1"/>
  <c r="W48" i="7" s="1"/>
  <c r="V34" i="4" s="1"/>
  <c r="U11" i="8" s="1"/>
  <c r="W7" i="19"/>
  <c r="W7" i="7"/>
  <c r="V7" i="4"/>
  <c r="X8" i="3"/>
  <c r="V7" i="25"/>
  <c r="U7" i="8"/>
  <c r="X7" i="19" l="1"/>
  <c r="X7" i="7"/>
  <c r="W7" i="4"/>
  <c r="W7" i="25"/>
  <c r="Y8" i="3"/>
  <c r="V7" i="8"/>
  <c r="X14" i="7"/>
  <c r="X41" i="7"/>
  <c r="X45" i="7" s="1"/>
  <c r="X48" i="7" s="1"/>
  <c r="W34" i="4" s="1"/>
  <c r="V11" i="8" s="1"/>
  <c r="X43" i="7"/>
  <c r="X47" i="7" s="1"/>
  <c r="W28" i="7"/>
  <c r="W33" i="7" s="1"/>
  <c r="W18" i="7"/>
  <c r="Y6" i="19"/>
  <c r="X6" i="4"/>
  <c r="X10" i="4" s="1"/>
  <c r="Y6" i="7"/>
  <c r="Z21" i="3"/>
  <c r="Z7" i="3"/>
  <c r="W6" i="8"/>
  <c r="X6" i="25"/>
  <c r="Y35" i="3"/>
  <c r="Y36" i="3" s="1"/>
  <c r="Y38" i="3" s="1"/>
  <c r="X11" i="4" s="1"/>
  <c r="U50" i="7"/>
  <c r="S24" i="4"/>
  <c r="Y43" i="7" l="1"/>
  <c r="Y47" i="7" s="1"/>
  <c r="Y14" i="7"/>
  <c r="Y41" i="7"/>
  <c r="Y45" i="7" s="1"/>
  <c r="Y48" i="7" s="1"/>
  <c r="X34" i="4" s="1"/>
  <c r="W11" i="8" s="1"/>
  <c r="X28" i="7"/>
  <c r="X33" i="7" s="1"/>
  <c r="X18" i="7"/>
  <c r="V50" i="7"/>
  <c r="T24" i="4"/>
  <c r="X13" i="4"/>
  <c r="Y7" i="19"/>
  <c r="X7" i="4"/>
  <c r="Z8" i="3"/>
  <c r="Y7" i="7"/>
  <c r="X7" i="25"/>
  <c r="W7" i="8"/>
  <c r="Z6" i="19"/>
  <c r="Z6" i="7"/>
  <c r="Y6" i="4"/>
  <c r="Y10" i="4" s="1"/>
  <c r="AA7" i="3"/>
  <c r="Y6" i="25"/>
  <c r="AA21" i="3"/>
  <c r="X6" i="8"/>
  <c r="Z35" i="3"/>
  <c r="Z36" i="3" s="1"/>
  <c r="Z38" i="3" s="1"/>
  <c r="Y11" i="4" s="1"/>
  <c r="Z7" i="19" l="1"/>
  <c r="Z7" i="7"/>
  <c r="Y7" i="4"/>
  <c r="AA8" i="3"/>
  <c r="Y7" i="25"/>
  <c r="X7" i="8"/>
  <c r="Y28" i="7"/>
  <c r="Y33" i="7" s="1"/>
  <c r="Y18" i="7"/>
  <c r="Z14" i="7"/>
  <c r="Z41" i="7"/>
  <c r="Z45" i="7" s="1"/>
  <c r="Z48" i="7" s="1"/>
  <c r="Y34" i="4" s="1"/>
  <c r="X11" i="8" s="1"/>
  <c r="Z43" i="7"/>
  <c r="Z47" i="7" s="1"/>
  <c r="U24" i="4"/>
  <c r="W50" i="7"/>
  <c r="AA6" i="19"/>
  <c r="AA6" i="7"/>
  <c r="Z6" i="4"/>
  <c r="Z10" i="4" s="1"/>
  <c r="AB7" i="3"/>
  <c r="AB21" i="3" s="1"/>
  <c r="Y6" i="8"/>
  <c r="Z6" i="25"/>
  <c r="AA35" i="3"/>
  <c r="AA36" i="3" s="1"/>
  <c r="AA38" i="3" s="1"/>
  <c r="Z11" i="4" s="1"/>
  <c r="Y13" i="4"/>
  <c r="AA14" i="7" l="1"/>
  <c r="AA41" i="7"/>
  <c r="AA45" i="7" s="1"/>
  <c r="AA48" i="7" s="1"/>
  <c r="Z34" i="4" s="1"/>
  <c r="Y11" i="8" s="1"/>
  <c r="AA43" i="7"/>
  <c r="AA47" i="7" s="1"/>
  <c r="AB6" i="19"/>
  <c r="AB6" i="7"/>
  <c r="AC7" i="3"/>
  <c r="AA6" i="4"/>
  <c r="AA10" i="4" s="1"/>
  <c r="Z6" i="8"/>
  <c r="AA6" i="25"/>
  <c r="AB35" i="3"/>
  <c r="AB36" i="3" s="1"/>
  <c r="AB38" i="3" s="1"/>
  <c r="AA11" i="4" s="1"/>
  <c r="X50" i="7"/>
  <c r="V24" i="4"/>
  <c r="AA7" i="19"/>
  <c r="AA7" i="7"/>
  <c r="Z7" i="4"/>
  <c r="AB8" i="3"/>
  <c r="Z7" i="25"/>
  <c r="Y7" i="8"/>
  <c r="Z13" i="4"/>
  <c r="Z28" i="7"/>
  <c r="Z33" i="7" s="1"/>
  <c r="Z18" i="7"/>
  <c r="AA13" i="4" l="1"/>
  <c r="AC6" i="19"/>
  <c r="AC6" i="7"/>
  <c r="AD7" i="3"/>
  <c r="AD21" i="3"/>
  <c r="AB6" i="25"/>
  <c r="AB6" i="4"/>
  <c r="AB10" i="4" s="1"/>
  <c r="AB13" i="4" s="1"/>
  <c r="AA6" i="8"/>
  <c r="AC35" i="3"/>
  <c r="AC36" i="3" s="1"/>
  <c r="AC38" i="3" s="1"/>
  <c r="AB11" i="4" s="1"/>
  <c r="AB43" i="7"/>
  <c r="AB47" i="7" s="1"/>
  <c r="AB14" i="7"/>
  <c r="AB41" i="7"/>
  <c r="AB45" i="7" s="1"/>
  <c r="AB48" i="7" s="1"/>
  <c r="AA34" i="4" s="1"/>
  <c r="Z11" i="8" s="1"/>
  <c r="W24" i="4"/>
  <c r="Y50" i="7"/>
  <c r="AB7" i="19"/>
  <c r="AB7" i="7"/>
  <c r="AA7" i="4"/>
  <c r="AC8" i="3"/>
  <c r="AA7" i="25"/>
  <c r="Z7" i="8"/>
  <c r="AC21" i="3"/>
  <c r="AA18" i="7"/>
  <c r="AA28" i="7"/>
  <c r="AA33" i="7" s="1"/>
  <c r="AD6" i="19" l="1"/>
  <c r="AD6" i="7"/>
  <c r="AC6" i="4"/>
  <c r="AC10" i="4" s="1"/>
  <c r="AC13" i="4" s="1"/>
  <c r="AC6" i="25"/>
  <c r="AE7" i="3"/>
  <c r="AB6" i="8"/>
  <c r="AD35" i="3"/>
  <c r="AD36" i="3" s="1"/>
  <c r="AD38" i="3" s="1"/>
  <c r="AC11" i="4" s="1"/>
  <c r="Z50" i="7"/>
  <c r="X24" i="4"/>
  <c r="AB28" i="7"/>
  <c r="AB33" i="7" s="1"/>
  <c r="AB18" i="7"/>
  <c r="AC7" i="19"/>
  <c r="AC7" i="7"/>
  <c r="AB7" i="4"/>
  <c r="AD8" i="3"/>
  <c r="AA7" i="8"/>
  <c r="AB7" i="25"/>
  <c r="AC14" i="7"/>
  <c r="AC41" i="7"/>
  <c r="AC45" i="7" s="1"/>
  <c r="AC48" i="7" s="1"/>
  <c r="AB34" i="4" s="1"/>
  <c r="AA11" i="8" s="1"/>
  <c r="AC43" i="7"/>
  <c r="AC47" i="7" s="1"/>
  <c r="AE6" i="19" l="1"/>
  <c r="AE6" i="7"/>
  <c r="AD6" i="4"/>
  <c r="AD10" i="4" s="1"/>
  <c r="AF7" i="3"/>
  <c r="AD6" i="25"/>
  <c r="AC6" i="8"/>
  <c r="AF21" i="3"/>
  <c r="AE35" i="3"/>
  <c r="AE36" i="3" s="1"/>
  <c r="AE38" i="3" s="1"/>
  <c r="AD11" i="4" s="1"/>
  <c r="AC28" i="7"/>
  <c r="AC33" i="7" s="1"/>
  <c r="AC18" i="7"/>
  <c r="AD14" i="7"/>
  <c r="AD41" i="7"/>
  <c r="AD45" i="7" s="1"/>
  <c r="AD48" i="7" s="1"/>
  <c r="AC34" i="4" s="1"/>
  <c r="AB11" i="8" s="1"/>
  <c r="AD43" i="7"/>
  <c r="AD47" i="7" s="1"/>
  <c r="AE21" i="3"/>
  <c r="AA50" i="7"/>
  <c r="Y24" i="4"/>
  <c r="AD7" i="19"/>
  <c r="AD7" i="7"/>
  <c r="AE8" i="3"/>
  <c r="AC7" i="25"/>
  <c r="AC7" i="4"/>
  <c r="AB7" i="8"/>
  <c r="AD13" i="4" l="1"/>
  <c r="Z24" i="4"/>
  <c r="AB50" i="7"/>
  <c r="AF6" i="19"/>
  <c r="AF6" i="7"/>
  <c r="AG7" i="3"/>
  <c r="AE6" i="4"/>
  <c r="AE10" i="4" s="1"/>
  <c r="AE13" i="4" s="1"/>
  <c r="AE6" i="25"/>
  <c r="AD6" i="8"/>
  <c r="AF35" i="3"/>
  <c r="AF36" i="3" s="1"/>
  <c r="AF38" i="3" s="1"/>
  <c r="AE11" i="4" s="1"/>
  <c r="AE7" i="19"/>
  <c r="AE7" i="7"/>
  <c r="AD7" i="4"/>
  <c r="AF8" i="3"/>
  <c r="AD7" i="25"/>
  <c r="AC7" i="8"/>
  <c r="AD28" i="7"/>
  <c r="AD33" i="7" s="1"/>
  <c r="AD18" i="7"/>
  <c r="AE41" i="7"/>
  <c r="AE45" i="7" s="1"/>
  <c r="AE48" i="7" s="1"/>
  <c r="AD34" i="4" s="1"/>
  <c r="AC11" i="8" s="1"/>
  <c r="AE43" i="7"/>
  <c r="AE47" i="7" s="1"/>
  <c r="AE14" i="7"/>
  <c r="AG6" i="19" l="1"/>
  <c r="AF6" i="4"/>
  <c r="AF10" i="4" s="1"/>
  <c r="AG6" i="7"/>
  <c r="AH7" i="3"/>
  <c r="AH21" i="3" s="1"/>
  <c r="AF6" i="25"/>
  <c r="AE6" i="8"/>
  <c r="AG35" i="3"/>
  <c r="AG36" i="3" s="1"/>
  <c r="AG38" i="3" s="1"/>
  <c r="AF11" i="4" s="1"/>
  <c r="AE28" i="7"/>
  <c r="AE33" i="7" s="1"/>
  <c r="AE18" i="7"/>
  <c r="AG21" i="3"/>
  <c r="AF14" i="7"/>
  <c r="AF41" i="7"/>
  <c r="AF45" i="7" s="1"/>
  <c r="AF48" i="7" s="1"/>
  <c r="AE34" i="4" s="1"/>
  <c r="AD11" i="8" s="1"/>
  <c r="AF43" i="7"/>
  <c r="AF47" i="7" s="1"/>
  <c r="AC50" i="7"/>
  <c r="AA24" i="4"/>
  <c r="AF7" i="19"/>
  <c r="AF7" i="7"/>
  <c r="AG8" i="3"/>
  <c r="AE7" i="4"/>
  <c r="AD7" i="8"/>
  <c r="AE7" i="25"/>
  <c r="AF28" i="7" l="1"/>
  <c r="AF33" i="7" s="1"/>
  <c r="AF18" i="7"/>
  <c r="AG7" i="19"/>
  <c r="AF7" i="4"/>
  <c r="AH8" i="3"/>
  <c r="AG7" i="7"/>
  <c r="AF7" i="25"/>
  <c r="AE7" i="8"/>
  <c r="AH6" i="19"/>
  <c r="AH6" i="7"/>
  <c r="AG6" i="4"/>
  <c r="AG10" i="4" s="1"/>
  <c r="AG6" i="25"/>
  <c r="AF6" i="8"/>
  <c r="AH35" i="3"/>
  <c r="AH36" i="3" s="1"/>
  <c r="AH38" i="3" s="1"/>
  <c r="AG11" i="4" s="1"/>
  <c r="AG14" i="7"/>
  <c r="AG41" i="7"/>
  <c r="AG45" i="7" s="1"/>
  <c r="AG48" i="7" s="1"/>
  <c r="AF34" i="4" s="1"/>
  <c r="AE11" i="8" s="1"/>
  <c r="AG43" i="7"/>
  <c r="AG47" i="7" s="1"/>
  <c r="AB24" i="4"/>
  <c r="AD50" i="7"/>
  <c r="AF13" i="4"/>
  <c r="AG18" i="7" l="1"/>
  <c r="AG28" i="7"/>
  <c r="AG33" i="7" s="1"/>
  <c r="AH7" i="19"/>
  <c r="AG7" i="4"/>
  <c r="AH7" i="7"/>
  <c r="AF7" i="8"/>
  <c r="AG7" i="25"/>
  <c r="AC24" i="4"/>
  <c r="AE50" i="7"/>
  <c r="AG13" i="4"/>
  <c r="AH14" i="7"/>
  <c r="AH41" i="7"/>
  <c r="AH45" i="7" s="1"/>
  <c r="AH48" i="7" s="1"/>
  <c r="AG34" i="4" s="1"/>
  <c r="AF11" i="8" s="1"/>
  <c r="AH43" i="7"/>
  <c r="AH47" i="7" s="1"/>
  <c r="AH28" i="7" l="1"/>
  <c r="AH33" i="7" s="1"/>
  <c r="AH18" i="7"/>
  <c r="AF50" i="7"/>
  <c r="AD24" i="4"/>
  <c r="AE24" i="4" l="1"/>
  <c r="AG50" i="7"/>
  <c r="AH50" i="7" l="1"/>
  <c r="AG24" i="4" s="1"/>
  <c r="AF24" i="4"/>
  <c r="N30" i="2"/>
  <c r="O30" i="2"/>
  <c r="G35" i="2"/>
  <c r="C65" i="2"/>
  <c r="D65" i="2"/>
  <c r="B74" i="2"/>
  <c r="C74" i="2"/>
  <c r="D74" i="2"/>
  <c r="B75" i="2"/>
  <c r="C75" i="2"/>
  <c r="D75" i="2"/>
  <c r="B76" i="2"/>
  <c r="C76" i="2"/>
  <c r="D76" i="2"/>
  <c r="B77" i="2"/>
  <c r="C77" i="2"/>
  <c r="D77" i="2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B20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E66" i="6"/>
  <c r="E68" i="6"/>
  <c r="E69" i="6"/>
  <c r="B77" i="6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W44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U35" i="8"/>
  <c r="V35" i="8"/>
  <c r="W35" i="8"/>
  <c r="X35" i="8"/>
  <c r="Y35" i="8"/>
  <c r="Z35" i="8"/>
  <c r="AA35" i="8"/>
  <c r="AB35" i="8"/>
  <c r="AC35" i="8"/>
  <c r="AD35" i="8"/>
  <c r="AE35" i="8"/>
  <c r="AF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C9" i="16"/>
  <c r="D9" i="16"/>
  <c r="C12" i="16"/>
  <c r="D12" i="16"/>
</calcChain>
</file>

<file path=xl/comments1.xml><?xml version="1.0" encoding="utf-8"?>
<comments xmlns="http://schemas.openxmlformats.org/spreadsheetml/2006/main">
  <authors>
    <author>clau</author>
    <author>Ben Rogers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C20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C21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This will increase your output per machine by 2.5 MW's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H60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Sum of Variable Op. Exp. Plus Major Maintenance
</t>
        </r>
      </text>
    </comment>
  </commentList>
</comments>
</file>

<file path=xl/comments2.xml><?xml version="1.0" encoding="utf-8"?>
<comments xmlns="http://schemas.openxmlformats.org/spreadsheetml/2006/main">
  <authors>
    <author>Ben Rogers</author>
  </authors>
  <commentList>
    <comment ref="C10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Revenue is based off of flat capacity fee; with no inflation</t>
        </r>
      </text>
    </comment>
    <comment ref="C11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Energy revenue is based off of number of run hours; with no inflation
</t>
        </r>
      </text>
    </comment>
    <comment ref="C12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Ancillary services is based off of a flat fee; with no inflation</t>
        </r>
      </text>
    </comment>
    <comment ref="C16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Fuel is based off of number of MW hours with no inflation</t>
        </r>
      </text>
    </comment>
    <comment ref="C17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Fixed Op. Exp. Based off of a flat fee with inflation adjustment
</t>
        </r>
      </text>
    </comment>
    <comment ref="C18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Variable Op. Exp. Is based off of run hours with inflation adjustment</t>
        </r>
      </text>
    </comment>
    <comment ref="C19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Major Maint. Is based off of run hours with inflation adjustment</t>
        </r>
      </text>
    </comment>
    <comment ref="C20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Flat fee based with inflation adjustment</t>
        </r>
      </text>
    </comment>
    <comment ref="C21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Flat fee based with inflation adjustment</t>
        </r>
      </text>
    </comment>
    <comment ref="C23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Fee fee based usually received from the developers or Warren Schick in the Tax Department</t>
        </r>
      </text>
    </comment>
    <comment ref="C24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Flat Fee based with no inflation adjustment</t>
        </r>
      </text>
    </comment>
    <comment ref="C25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Flat fee based with no inflation adjustment</t>
        </r>
      </text>
    </comment>
    <comment ref="C26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Flat fee based with No inflation</t>
        </r>
      </text>
    </comment>
    <comment ref="C27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Flat fee based with inflation adjustment Marketing Fee will only occur during merchant period.</t>
        </r>
      </text>
    </comment>
    <comment ref="C28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Flat fee based with inflation adjustment</t>
        </r>
      </text>
    </comment>
    <comment ref="C29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Flat fee based with inflation adjustment</t>
        </r>
      </text>
    </comment>
  </commentList>
</comments>
</file>

<file path=xl/comments3.xml><?xml version="1.0" encoding="utf-8"?>
<comments xmlns="http://schemas.openxmlformats.org/spreadsheetml/2006/main">
  <authors>
    <author>Ben Rogers</author>
  </authors>
  <commentList>
    <comment ref="C39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Change cell references when changing the term of the deal</t>
        </r>
      </text>
    </comment>
    <comment ref="C46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Change cell references when changing the term of the deal</t>
        </r>
      </text>
    </comment>
    <comment ref="C53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Change cell references when changing the term of the deal</t>
        </r>
      </text>
    </comment>
    <comment ref="C60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Change cell references when changing the term of the deal</t>
        </r>
      </text>
    </comment>
  </commentList>
</comments>
</file>

<file path=xl/comments4.xml><?xml version="1.0" encoding="utf-8"?>
<comments xmlns="http://schemas.openxmlformats.org/spreadsheetml/2006/main">
  <authors>
    <author>Ben Rogers</author>
  </authors>
  <commentList>
    <comment ref="A18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Total of * years and back for State NOL Tax
</t>
        </r>
      </text>
    </comment>
    <comment ref="A35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Total of 15 years and back for Federal NOL Tax
</t>
        </r>
      </text>
    </comment>
  </commentList>
</comments>
</file>

<file path=xl/sharedStrings.xml><?xml version="1.0" encoding="utf-8"?>
<sst xmlns="http://schemas.openxmlformats.org/spreadsheetml/2006/main" count="566" uniqueCount="437">
  <si>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</si>
  <si>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</si>
  <si>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</si>
  <si>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</si>
  <si>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</si>
  <si>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</si>
  <si>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</si>
  <si>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</si>
  <si>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</si>
  <si>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</si>
  <si>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</si>
  <si>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</si>
  <si>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</si>
  <si>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</si>
  <si>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</si>
  <si>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</si>
  <si>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</si>
  <si>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</si>
  <si>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</si>
  <si>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</si>
  <si>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</si>
  <si>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</si>
  <si>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</si>
  <si>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</si>
  <si>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</si>
  <si>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</si>
  <si>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</si>
  <si>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</si>
  <si>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</si>
  <si>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</si>
  <si>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</si>
  <si>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</si>
  <si>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</si>
  <si>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</si>
  <si>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</si>
  <si>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</si>
  <si>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</si>
  <si>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Admin Fees</t>
  </si>
  <si>
    <t>O&amp;M Fees</t>
  </si>
  <si>
    <t>Custom</t>
  </si>
  <si>
    <t>('000 $)</t>
  </si>
  <si>
    <t>Revenue</t>
  </si>
  <si>
    <t>Total Revenue</t>
  </si>
  <si>
    <t>Expense</t>
  </si>
  <si>
    <t xml:space="preserve">Fuel 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</si>
  <si>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</si>
  <si>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</si>
  <si>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</si>
  <si>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</si>
  <si>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</si>
  <si>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</si>
  <si>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</si>
  <si>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</si>
  <si>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</si>
  <si>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</si>
  <si>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</si>
  <si>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</si>
  <si>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</si>
  <si>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</si>
  <si>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</si>
  <si>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</si>
  <si>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</si>
  <si>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</si>
  <si>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</si>
  <si>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</si>
  <si>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</si>
  <si>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</si>
  <si>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</si>
  <si>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</si>
  <si>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</si>
  <si>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</si>
  <si>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</si>
  <si>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</si>
  <si>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</si>
  <si>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</si>
  <si>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</si>
  <si>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</si>
  <si>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</si>
  <si>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</si>
  <si>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</si>
  <si>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</si>
  <si>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</si>
  <si>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</si>
  <si>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</si>
  <si>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</si>
  <si>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</si>
  <si>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</si>
  <si>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</si>
  <si>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</si>
  <si>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</si>
  <si>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</si>
  <si>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</si>
  <si>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</si>
  <si>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</si>
  <si>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</si>
  <si>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</si>
  <si>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</si>
  <si>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</si>
  <si>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</si>
  <si>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</si>
  <si>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</si>
  <si>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</si>
  <si>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</si>
  <si>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 xml:space="preserve">  Financing Fee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</si>
  <si>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</si>
  <si>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</si>
  <si>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</si>
  <si>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</si>
  <si>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</si>
  <si>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</si>
  <si>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</si>
  <si>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Power Interconnection</t>
  </si>
  <si>
    <t xml:space="preserve">  SCR</t>
  </si>
  <si>
    <t xml:space="preserve">  Dual Fuel </t>
  </si>
  <si>
    <t xml:space="preserve">  Black Start</t>
  </si>
  <si>
    <t xml:space="preserve">  Demineralized Water Facility</t>
  </si>
  <si>
    <t xml:space="preserve">  Spare Parts</t>
  </si>
  <si>
    <t>DEBT</t>
  </si>
  <si>
    <t>EQUITY</t>
  </si>
  <si>
    <t>FINANCING ASSUMPTIONS:</t>
  </si>
  <si>
    <t>LM6000</t>
  </si>
  <si>
    <t>Capacity Revenue</t>
  </si>
  <si>
    <t>Energy Revenue</t>
  </si>
  <si>
    <t>Ancillary Services</t>
  </si>
  <si>
    <t>Market Price Scenario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</si>
  <si>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</si>
  <si>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</si>
  <si>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</si>
  <si>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</si>
  <si>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</si>
  <si>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</si>
  <si>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</si>
  <si>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</si>
  <si>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</si>
  <si>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</si>
  <si>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</si>
  <si>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</si>
  <si>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</si>
  <si>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</si>
  <si>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</si>
  <si>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</si>
  <si>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</si>
  <si>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</si>
  <si>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</si>
  <si>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</si>
  <si>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</si>
  <si>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</si>
  <si>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</si>
  <si>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</si>
  <si>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</si>
  <si>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</si>
  <si>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</si>
  <si>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</si>
  <si>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</si>
  <si>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</si>
  <si>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</si>
  <si>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</si>
  <si>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</si>
  <si>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</si>
  <si>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</si>
  <si>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</si>
  <si>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</si>
  <si>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</si>
  <si>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</si>
  <si>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</si>
  <si>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</si>
  <si>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</si>
  <si>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</si>
  <si>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EE&amp;CC Project Management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</si>
  <si>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</si>
  <si>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</si>
  <si>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</si>
  <si>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</si>
  <si>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</si>
  <si>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</si>
  <si>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Interconnect Study</t>
  </si>
  <si>
    <t>PROJECT NAME:</t>
  </si>
  <si>
    <t>No. of Run Hours per 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</si>
  <si>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</si>
  <si>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</si>
  <si>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</si>
  <si>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</si>
  <si>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</si>
  <si>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</si>
  <si>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</si>
  <si>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</si>
  <si>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</si>
  <si>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</si>
  <si>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</si>
  <si>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</si>
  <si>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</si>
  <si>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</si>
  <si>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</si>
  <si>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</si>
  <si>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</si>
  <si>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</si>
  <si>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</si>
  <si>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</si>
  <si>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</si>
  <si>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</si>
  <si>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</si>
  <si>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</si>
  <si>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</si>
  <si>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</si>
  <si>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</si>
  <si>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</si>
  <si>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</si>
  <si>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</si>
  <si>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</si>
  <si>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</si>
  <si>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</si>
  <si>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</si>
  <si>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</si>
  <si>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</si>
  <si>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</si>
  <si>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</si>
  <si>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</si>
  <si>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</si>
  <si>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</si>
  <si>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</si>
  <si>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</si>
  <si>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</si>
  <si>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</si>
  <si>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</si>
  <si>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</si>
  <si>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</si>
  <si>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</si>
  <si>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</si>
  <si>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</si>
  <si>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</si>
  <si>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</si>
  <si>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</si>
  <si>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</si>
  <si>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</si>
  <si>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</si>
  <si>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</si>
  <si>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</si>
  <si>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</si>
  <si>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</si>
  <si>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</si>
  <si>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</si>
  <si>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</si>
  <si>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</si>
  <si>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</si>
  <si>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</si>
  <si>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</si>
  <si>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</si>
  <si>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</si>
  <si>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</si>
  <si>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Variable Operating Expenses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</si>
  <si>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</si>
  <si>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</si>
  <si>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</si>
  <si>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</si>
  <si>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</si>
  <si>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</si>
  <si>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</si>
  <si>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Residual Value (at year 30)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</si>
  <si>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</si>
  <si>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</si>
  <si>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</si>
  <si>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</si>
  <si>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</si>
  <si>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</si>
  <si>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</si>
  <si>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</si>
  <si>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</si>
  <si>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</si>
  <si>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</si>
  <si>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</si>
  <si>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</si>
  <si>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</si>
  <si>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</si>
  <si>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</si>
  <si>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</si>
  <si>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</si>
  <si>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</si>
  <si>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</si>
  <si>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</si>
  <si>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</si>
  <si>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</si>
  <si>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</si>
  <si>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</si>
  <si>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</si>
  <si>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</si>
  <si>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</si>
  <si>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</si>
  <si>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</si>
  <si>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</si>
  <si>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</si>
  <si>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</si>
  <si>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</si>
  <si>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</si>
  <si>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</si>
  <si>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</si>
  <si>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</si>
  <si>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</si>
  <si>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</si>
  <si>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</si>
  <si>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</si>
  <si>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</si>
  <si>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</si>
  <si>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</si>
  <si>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</si>
  <si>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</si>
  <si>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</si>
  <si>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</si>
  <si>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</si>
  <si>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</si>
  <si>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</si>
  <si>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</si>
  <si>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</si>
  <si>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</si>
  <si>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</si>
  <si>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</si>
  <si>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</si>
  <si>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</si>
  <si>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</si>
  <si>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</si>
  <si>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</si>
  <si>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</si>
  <si>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</si>
  <si>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</si>
  <si>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</si>
  <si>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</si>
  <si>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</si>
  <si>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</si>
  <si>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</si>
  <si>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</si>
  <si>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</si>
  <si>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</si>
  <si>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</si>
  <si>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</si>
  <si>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</si>
  <si>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</si>
  <si>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</si>
  <si>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</si>
  <si>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</si>
  <si>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</si>
  <si>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</si>
  <si>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</si>
  <si>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</si>
  <si>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</si>
  <si>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</si>
  <si>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</si>
  <si>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</si>
  <si>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</si>
  <si>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</si>
  <si>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</si>
  <si>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</si>
  <si>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</si>
  <si>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</si>
  <si>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</si>
  <si>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</si>
  <si>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</si>
  <si>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</si>
  <si>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</si>
  <si>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</si>
  <si>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</si>
  <si>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</si>
  <si>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</si>
  <si>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</si>
  <si>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</si>
  <si>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</si>
  <si>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</si>
  <si>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</si>
  <si>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</si>
  <si>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</si>
  <si>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</si>
  <si>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</si>
  <si>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</si>
  <si>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</si>
  <si>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</si>
  <si>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</si>
  <si>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</si>
  <si>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</si>
  <si>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</si>
  <si>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30 Yrs After-Tax Cashflow with Zero Residual Value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</si>
  <si>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</si>
  <si>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</si>
  <si>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</si>
  <si>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</si>
  <si>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</si>
  <si>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</si>
  <si>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</si>
  <si>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</si>
  <si>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</si>
  <si>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</si>
  <si>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</si>
  <si>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</si>
  <si>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</si>
  <si>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</si>
  <si>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</si>
  <si>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</si>
  <si>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</si>
  <si>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</si>
  <si>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</si>
  <si>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</si>
  <si>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</si>
  <si>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</si>
  <si>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</si>
  <si>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</si>
  <si>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</si>
  <si>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</si>
  <si>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</si>
  <si>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</si>
  <si>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</si>
  <si>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</si>
  <si>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</si>
  <si>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</si>
  <si>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</si>
  <si>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</si>
  <si>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</si>
  <si>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</si>
  <si>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</si>
  <si>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</si>
  <si>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</si>
  <si>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</si>
  <si>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</si>
  <si>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</si>
  <si>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</si>
  <si>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</si>
  <si>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</si>
  <si>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</si>
  <si>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</si>
  <si>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</si>
  <si>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</si>
  <si>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</si>
  <si>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</si>
  <si>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</si>
  <si>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 xml:space="preserve">  Insurance</t>
  </si>
  <si>
    <r>
      <t xml:space="preserve">  Mobilization Expenses </t>
    </r>
    <r>
      <rPr>
        <sz val="9"/>
        <color indexed="10"/>
        <rFont val="Times New Roman"/>
        <family val="1"/>
      </rPr>
      <t>(check that it did not have spare parts)</t>
    </r>
  </si>
  <si>
    <t xml:space="preserve">  Enhanced Sprint Option</t>
  </si>
  <si>
    <t>Net Generation (MWh)</t>
  </si>
  <si>
    <t>Average Cost/Start/Turbine</t>
  </si>
  <si>
    <t>Simple-Cycle</t>
  </si>
  <si>
    <t>Combined-Cycle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</si>
</sst>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13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sz val="12"/>
      <color indexed="12"/>
      <name val="Times New Roman"/>
      <family val="1"/>
    </font>
    <font>
      <u/>
      <sz val="12"/>
      <color indexed="12"/>
      <name val="Times New Roman"/>
      <family val="1"/>
    </font>
    <font>
      <sz val="10"/>
      <color indexed="12"/>
      <name val="Times New Roman"/>
      <family val="1"/>
    </font>
    <font>
      <u/>
      <sz val="10"/>
      <color indexed="12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</fills>
  <borders count="32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550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38" fontId="3" fillId="0" borderId="0" xfId="0" applyNumberFormat="1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10" fontId="22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9" fontId="22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0" fontId="3" fillId="0" borderId="0" xfId="0" applyFont="1" applyFill="1" applyBorder="1" applyAlignment="1">
      <alignment horizontal="left"/>
    </xf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7" fillId="8" borderId="0" xfId="0" applyFont="1" applyFill="1"/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0" fontId="30" fillId="0" borderId="0" xfId="0" quotePrefix="1" applyFont="1" applyBorder="1" applyAlignment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3" fillId="0" borderId="0" xfId="0" applyNumberFormat="1" applyFont="1" applyFill="1" applyAlignment="1">
      <alignment horizontal="right"/>
    </xf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0" fontId="93" fillId="0" borderId="0" xfId="0" applyFont="1" applyFill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9" fontId="22" fillId="8" borderId="0" xfId="0" applyNumberFormat="1" applyFont="1" applyFill="1" applyBorder="1" applyAlignment="1">
      <alignment horizontal="center"/>
    </xf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0" fontId="22" fillId="0" borderId="10" xfId="0" applyFont="1" applyFill="1" applyBorder="1" applyAlignment="1" applyProtection="1">
      <alignment horizontal="left"/>
    </xf>
    <xf numFmtId="9" fontId="22" fillId="0" borderId="0" xfId="20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179" fontId="16" fillId="8" borderId="21" xfId="0" applyNumberFormat="1" applyFont="1" applyFill="1" applyBorder="1" applyAlignment="1">
      <alignment horizontal="right"/>
    </xf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0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0" applyNumberFormat="1" applyFont="1" applyFill="1" applyBorder="1" applyAlignment="1">
      <alignment horizontal="center"/>
    </xf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38" fontId="109" fillId="8" borderId="0" xfId="0" applyNumberFormat="1" applyFont="1" applyFill="1" applyBorder="1"/>
    <xf numFmtId="40" fontId="109" fillId="8" borderId="0" xfId="0" applyNumberFormat="1" applyFont="1" applyFill="1" applyBorder="1"/>
    <xf numFmtId="15" fontId="109" fillId="8" borderId="0" xfId="0" applyNumberFormat="1" applyFont="1" applyFill="1" applyBorder="1" applyAlignment="1">
      <alignment horizontal="right"/>
    </xf>
    <xf numFmtId="212" fontId="109" fillId="8" borderId="0" xfId="0" applyNumberFormat="1" applyFont="1" applyFill="1" applyBorder="1"/>
    <xf numFmtId="9" fontId="109" fillId="8" borderId="0" xfId="20" applyFont="1" applyFill="1" applyBorder="1"/>
    <xf numFmtId="166" fontId="109" fillId="8" borderId="6" xfId="3" applyNumberFormat="1" applyFont="1" applyFill="1" applyBorder="1"/>
    <xf numFmtId="313" fontId="109" fillId="8" borderId="0" xfId="0" applyNumberFormat="1" applyFont="1" applyFill="1" applyBorder="1" applyAlignment="1" applyProtection="1">
      <alignment horizontal="right"/>
    </xf>
    <xf numFmtId="37" fontId="109" fillId="8" borderId="0" xfId="0" applyNumberFormat="1" applyFont="1" applyFill="1" applyBorder="1" applyAlignment="1">
      <alignment horizontal="center"/>
    </xf>
    <xf numFmtId="38" fontId="109" fillId="8" borderId="0" xfId="3" applyNumberFormat="1" applyFont="1" applyFill="1" applyBorder="1" applyAlignment="1">
      <alignment horizontal="center"/>
    </xf>
    <xf numFmtId="38" fontId="110" fillId="8" borderId="0" xfId="3" applyNumberFormat="1" applyFont="1" applyFill="1" applyBorder="1" applyAlignment="1">
      <alignment horizontal="center"/>
    </xf>
    <xf numFmtId="173" fontId="109" fillId="8" borderId="0" xfId="0" applyNumberFormat="1" applyFont="1" applyFill="1" applyBorder="1" applyAlignment="1">
      <alignment horizontal="center"/>
    </xf>
    <xf numFmtId="173" fontId="110" fillId="8" borderId="0" xfId="0" applyNumberFormat="1" applyFont="1" applyFill="1" applyBorder="1" applyAlignment="1">
      <alignment horizontal="center"/>
    </xf>
    <xf numFmtId="10" fontId="109" fillId="8" borderId="0" xfId="0" applyNumberFormat="1" applyFont="1" applyFill="1" applyBorder="1" applyAlignment="1">
      <alignment horizontal="center"/>
    </xf>
    <xf numFmtId="0" fontId="109" fillId="0" borderId="0" xfId="0" applyFont="1" applyBorder="1"/>
    <xf numFmtId="0" fontId="111" fillId="0" borderId="0" xfId="0" applyFont="1" applyBorder="1"/>
    <xf numFmtId="38" fontId="110" fillId="8" borderId="0" xfId="0" applyNumberFormat="1" applyFont="1" applyFill="1" applyBorder="1"/>
    <xf numFmtId="38" fontId="109" fillId="8" borderId="6" xfId="0" applyNumberFormat="1" applyFont="1" applyFill="1" applyBorder="1"/>
    <xf numFmtId="43" fontId="109" fillId="8" borderId="0" xfId="3" applyNumberFormat="1" applyFont="1" applyFill="1" applyBorder="1"/>
    <xf numFmtId="166" fontId="110" fillId="8" borderId="0" xfId="3" applyNumberFormat="1" applyFont="1" applyFill="1" applyBorder="1"/>
    <xf numFmtId="166" fontId="109" fillId="8" borderId="0" xfId="3" applyNumberFormat="1" applyFont="1" applyFill="1" applyBorder="1"/>
    <xf numFmtId="10" fontId="109" fillId="8" borderId="0" xfId="20" applyNumberFormat="1" applyFont="1" applyFill="1" applyBorder="1"/>
    <xf numFmtId="10" fontId="109" fillId="8" borderId="6" xfId="20" applyNumberFormat="1" applyFont="1" applyFill="1" applyBorder="1"/>
    <xf numFmtId="165" fontId="109" fillId="8" borderId="0" xfId="4" applyNumberFormat="1" applyFont="1" applyFill="1" applyBorder="1"/>
    <xf numFmtId="37" fontId="106" fillId="8" borderId="0" xfId="18" applyFont="1" applyFill="1" applyAlignment="1"/>
    <xf numFmtId="187" fontId="102" fillId="0" borderId="0" xfId="0" applyNumberFormat="1" applyFont="1" applyBorder="1"/>
    <xf numFmtId="187" fontId="102" fillId="0" borderId="9" xfId="0" applyNumberFormat="1" applyFont="1" applyBorder="1"/>
    <xf numFmtId="187" fontId="102" fillId="0" borderId="6" xfId="0" applyNumberFormat="1" applyFont="1" applyBorder="1"/>
    <xf numFmtId="0" fontId="0" fillId="0" borderId="14" xfId="0" applyBorder="1"/>
    <xf numFmtId="0" fontId="0" fillId="0" borderId="15" xfId="0" applyBorder="1"/>
    <xf numFmtId="164" fontId="111" fillId="8" borderId="0" xfId="20" applyNumberFormat="1" applyFont="1" applyFill="1" applyBorder="1" applyAlignment="1">
      <alignment horizontal="center"/>
    </xf>
    <xf numFmtId="164" fontId="112" fillId="8" borderId="0" xfId="20" applyNumberFormat="1" applyFont="1" applyFill="1" applyBorder="1" applyAlignment="1">
      <alignment horizontal="center"/>
    </xf>
    <xf numFmtId="0" fontId="2" fillId="0" borderId="31" xfId="0" applyFont="1" applyBorder="1"/>
    <xf numFmtId="0" fontId="2" fillId="0" borderId="27" xfId="0" applyFont="1" applyBorder="1"/>
    <xf numFmtId="0" fontId="2" fillId="0" borderId="28" xfId="0" applyFont="1" applyBorder="1"/>
    <xf numFmtId="43" fontId="110" fillId="8" borderId="0" xfId="3" applyNumberFormat="1" applyFont="1" applyFill="1" applyBorder="1"/>
    <xf numFmtId="0" fontId="22" fillId="0" borderId="0" xfId="0" applyFont="1" applyBorder="1" applyAlignment="1">
      <alignment horizontal="center"/>
    </xf>
    <xf numFmtId="38" fontId="33" fillId="0" borderId="0" xfId="0" applyNumberFormat="1" applyFont="1" applyBorder="1" applyAlignment="1">
      <alignment horizontal="center"/>
    </xf>
    <xf numFmtId="40" fontId="33" fillId="8" borderId="9" xfId="0" applyNumberFormat="1" applyFont="1" applyFill="1" applyBorder="1"/>
    <xf numFmtId="40" fontId="31" fillId="8" borderId="9" xfId="0" applyNumberFormat="1" applyFont="1" applyFill="1" applyBorder="1"/>
    <xf numFmtId="166" fontId="3" fillId="0" borderId="9" xfId="0" applyNumberFormat="1" applyFont="1" applyBorder="1"/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trlProps/ctrlProp1.xml><?xml version="1.0" encoding="utf-8"?>
<formControlPr xmlns="http://schemas.microsoft.com/office/spreadsheetml/2009/9/main" objectType="Drop" dropLines="4" dropStyle="combo" dx="22" fmlaLink="$U$13" fmlaRange="$U$9:$U$11" noThreeD="1" sel="2" val="0"/>
</file>

<file path=xl/ctrlProps/ctrlProp2.xml><?xml version="1.0" encoding="utf-8"?>
<formControlPr xmlns="http://schemas.microsoft.com/office/spreadsheetml/2009/9/main" objectType="Drop" dropLines="4" dropStyle="combo" dx="22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2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2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2295525</xdr:colOff>
          <xdr:row>28</xdr:row>
          <xdr:rowOff>0</xdr:rowOff>
        </xdr:from>
        <xdr:to>
          <xdr:col>13</xdr:col>
          <xdr:colOff>28575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200025</xdr:rowOff>
        </xdr:from>
        <xdr:to>
          <xdr:col>7</xdr:col>
          <xdr:colOff>1190625</xdr:colOff>
          <xdr:row>58</xdr:row>
          <xdr:rowOff>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9525</xdr:rowOff>
        </xdr:from>
        <xdr:to>
          <xdr:col>9</xdr:col>
          <xdr:colOff>0</xdr:colOff>
          <xdr:row>60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180975</xdr:rowOff>
        </xdr:from>
        <xdr:to>
          <xdr:col>6</xdr:col>
          <xdr:colOff>1190625</xdr:colOff>
          <xdr:row>27</xdr:row>
          <xdr:rowOff>190500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15</xdr:row>
          <xdr:rowOff>28575</xdr:rowOff>
        </xdr:from>
        <xdr:to>
          <xdr:col>0</xdr:col>
          <xdr:colOff>1933575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ast%20Origination\CTG%20Models\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OldCostConfiguration-1-20-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/>
  </sheetViews>
  <sheetFormatPr defaultRowHeight="12.75"/>
  <cols>
    <col min="1" max="1" width="16.5703125" style="12" bestFit="1" customWidth="1"/>
    <col min="2" max="11" width="9.140625" style="12"/>
    <col min="12" max="12" width="11.5703125" style="12" bestFit="1" customWidth="1"/>
    <col min="13" max="14" width="9.140625" style="12"/>
    <col min="15" max="15" width="11.5703125" style="12" bestFit="1" customWidth="1"/>
    <col min="16" max="16384" width="9.140625" style="12"/>
  </cols>
  <sheetData>
    <row r="2" spans="1:18" ht="18.75">
      <c r="A2" s="170" t="s">
        <v>167</v>
      </c>
      <c r="C2" s="5"/>
    </row>
    <row r="3" spans="1:18" s="46" customFormat="1" ht="15.75"/>
    <row r="4" spans="1:18" s="46" customFormat="1" ht="18.75">
      <c r="A4" s="450">
        <v>1</v>
      </c>
      <c r="B4" s="207" t="s">
        <v>400</v>
      </c>
      <c r="C4" s="450"/>
      <c r="D4" s="450"/>
      <c r="E4" s="450"/>
      <c r="F4" s="450"/>
      <c r="G4" s="450"/>
      <c r="H4" s="450"/>
      <c r="I4" s="450"/>
      <c r="J4" s="450"/>
      <c r="K4" s="450"/>
      <c r="L4" s="450"/>
      <c r="M4" s="450"/>
      <c r="N4" s="450"/>
      <c r="O4" s="450"/>
      <c r="P4" s="450"/>
      <c r="Q4" s="450"/>
    </row>
    <row r="5" spans="1:18" s="46" customFormat="1" ht="18.75">
      <c r="B5" s="207" t="s">
        <v>401</v>
      </c>
      <c r="C5" s="450"/>
      <c r="D5" s="450"/>
      <c r="E5" s="450"/>
      <c r="F5" s="450"/>
      <c r="G5" s="450"/>
      <c r="H5" s="450"/>
      <c r="I5" s="450"/>
      <c r="J5" s="450"/>
      <c r="K5" s="450"/>
      <c r="L5" s="450"/>
      <c r="M5" s="450"/>
      <c r="N5" s="450"/>
      <c r="O5" s="450"/>
      <c r="P5" s="450"/>
      <c r="Q5" s="450"/>
    </row>
    <row r="6" spans="1:18" s="46" customFormat="1" ht="15.75">
      <c r="A6" s="12">
        <v>2</v>
      </c>
      <c r="B6" s="53" t="s">
        <v>312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75">
      <c r="A7" s="12">
        <v>3</v>
      </c>
      <c r="B7" s="53" t="s">
        <v>313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75">
      <c r="A8" s="12">
        <v>4</v>
      </c>
      <c r="B8" s="12" t="s">
        <v>320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75">
      <c r="A9" s="12">
        <v>5</v>
      </c>
      <c r="B9" s="12" t="s">
        <v>412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7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75"/>
    <row r="12" spans="1:18" s="46" customFormat="1" ht="18.75">
      <c r="A12" s="170" t="s">
        <v>206</v>
      </c>
    </row>
    <row r="13" spans="1:18" s="46" customFormat="1" ht="15.75">
      <c r="A13" s="451"/>
      <c r="B13" s="12"/>
      <c r="C13" s="12"/>
      <c r="D13" s="12"/>
      <c r="E13" s="12"/>
      <c r="F13" s="12"/>
      <c r="G13" s="12"/>
      <c r="H13" s="12"/>
      <c r="I13" s="452" t="s">
        <v>207</v>
      </c>
      <c r="J13" s="12"/>
      <c r="K13" s="12"/>
      <c r="L13" s="12"/>
      <c r="M13" s="12"/>
      <c r="N13" s="12"/>
      <c r="O13" s="452"/>
      <c r="P13" s="12"/>
    </row>
    <row r="14" spans="1:18" s="46" customFormat="1" ht="15.75">
      <c r="A14" s="12">
        <v>1</v>
      </c>
      <c r="B14" s="12" t="s">
        <v>372</v>
      </c>
      <c r="C14" s="12"/>
      <c r="D14" s="12"/>
      <c r="E14" s="12"/>
      <c r="F14" s="12"/>
      <c r="G14" s="12"/>
      <c r="H14" s="12"/>
      <c r="I14" s="12" t="s">
        <v>208</v>
      </c>
      <c r="J14" s="12"/>
      <c r="K14" s="12"/>
      <c r="L14" s="12"/>
      <c r="M14" s="12"/>
      <c r="N14" s="12"/>
      <c r="O14" s="453"/>
      <c r="P14" s="12"/>
    </row>
    <row r="15" spans="1:18" s="46" customFormat="1" ht="15.75">
      <c r="A15" s="12"/>
      <c r="B15" s="12" t="s">
        <v>274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53"/>
      <c r="P15" s="12"/>
    </row>
    <row r="16" spans="1:18" s="46" customFormat="1" ht="15.75">
      <c r="A16" s="12">
        <v>2</v>
      </c>
      <c r="B16" s="12" t="s">
        <v>234</v>
      </c>
      <c r="C16" s="12"/>
      <c r="D16" s="12"/>
      <c r="E16" s="12"/>
      <c r="F16" s="12"/>
      <c r="G16" s="12"/>
      <c r="H16" s="12"/>
      <c r="I16" s="12" t="s">
        <v>208</v>
      </c>
      <c r="J16" s="12"/>
      <c r="K16" s="12"/>
      <c r="L16" s="12"/>
      <c r="M16" s="12"/>
      <c r="N16" s="12"/>
      <c r="O16" s="453"/>
      <c r="P16" s="12"/>
    </row>
    <row r="17" spans="1:16" s="46" customFormat="1" ht="15.75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367</v>
      </c>
      <c r="J17" s="12"/>
      <c r="K17" s="12"/>
      <c r="L17" s="12"/>
      <c r="M17" s="12"/>
      <c r="N17" s="12"/>
      <c r="O17" s="453"/>
      <c r="P17" s="12"/>
    </row>
    <row r="18" spans="1:16" s="46" customFormat="1" ht="15.75">
      <c r="A18" s="12">
        <v>4</v>
      </c>
      <c r="B18" s="12" t="s">
        <v>260</v>
      </c>
      <c r="C18" s="12"/>
      <c r="D18" s="12"/>
      <c r="E18" s="12"/>
      <c r="F18" s="12"/>
      <c r="G18" s="12"/>
      <c r="H18" s="12"/>
      <c r="I18" s="12" t="s">
        <v>419</v>
      </c>
      <c r="J18" s="12"/>
      <c r="K18" s="12"/>
      <c r="L18" s="12"/>
      <c r="M18" s="12"/>
      <c r="N18" s="12"/>
      <c r="O18" s="12"/>
      <c r="P18" s="12"/>
    </row>
    <row r="19" spans="1:16" s="46" customFormat="1" ht="15.75">
      <c r="A19" s="12">
        <v>5</v>
      </c>
      <c r="B19" s="12" t="s">
        <v>314</v>
      </c>
      <c r="C19" s="12"/>
      <c r="D19" s="12"/>
      <c r="E19" s="12"/>
      <c r="F19" s="12"/>
      <c r="G19" s="12"/>
      <c r="H19" s="12"/>
      <c r="I19" s="12" t="s">
        <v>284</v>
      </c>
      <c r="J19" s="12"/>
      <c r="K19" s="12"/>
      <c r="L19" s="12"/>
      <c r="M19" s="12"/>
      <c r="N19" s="12"/>
      <c r="O19" s="453"/>
      <c r="P19" s="12"/>
    </row>
    <row r="20" spans="1:16" s="46" customFormat="1" ht="15.75">
      <c r="A20" s="12">
        <v>6</v>
      </c>
      <c r="B20" s="12" t="s">
        <v>334</v>
      </c>
      <c r="C20" s="12"/>
      <c r="D20" s="12"/>
      <c r="E20" s="12"/>
      <c r="F20" s="12"/>
      <c r="G20" s="12"/>
      <c r="H20" s="12"/>
      <c r="I20" s="12" t="s">
        <v>335</v>
      </c>
      <c r="J20" s="12"/>
      <c r="K20" s="12"/>
      <c r="L20" s="12"/>
      <c r="M20" s="12"/>
      <c r="N20" s="12"/>
      <c r="O20" s="12"/>
      <c r="P20" s="12"/>
    </row>
    <row r="21" spans="1:16" s="46" customFormat="1" ht="15.75">
      <c r="A21" s="12">
        <v>7</v>
      </c>
      <c r="B21" s="12" t="s">
        <v>365</v>
      </c>
      <c r="C21" s="12"/>
      <c r="D21" s="12"/>
      <c r="E21" s="12"/>
      <c r="F21" s="12"/>
      <c r="G21" s="12"/>
      <c r="H21" s="12"/>
      <c r="I21" s="12" t="s">
        <v>284</v>
      </c>
      <c r="J21" s="12"/>
      <c r="K21" s="12"/>
      <c r="L21" s="12"/>
      <c r="M21" s="12"/>
      <c r="N21" s="12"/>
      <c r="O21" s="453"/>
      <c r="P21" s="12"/>
    </row>
    <row r="22" spans="1:16" s="46" customFormat="1" ht="15.75">
      <c r="A22" s="12">
        <v>8</v>
      </c>
      <c r="B22" s="12" t="s">
        <v>368</v>
      </c>
      <c r="C22" s="12"/>
      <c r="D22" s="12"/>
      <c r="E22" s="12"/>
      <c r="F22" s="12"/>
      <c r="G22" s="12"/>
      <c r="H22" s="12"/>
      <c r="I22" s="12" t="s">
        <v>369</v>
      </c>
      <c r="J22" s="12"/>
      <c r="K22" s="12"/>
      <c r="L22" s="12"/>
      <c r="M22" s="12"/>
      <c r="N22" s="12"/>
      <c r="O22" s="12"/>
      <c r="P22" s="12"/>
    </row>
    <row r="23" spans="1:16" s="46" customFormat="1" ht="15.75">
      <c r="A23" s="12">
        <v>9</v>
      </c>
      <c r="B23" s="12" t="s">
        <v>409</v>
      </c>
      <c r="C23" s="12"/>
      <c r="D23" s="12"/>
      <c r="E23" s="12"/>
      <c r="F23" s="12"/>
      <c r="G23" s="12"/>
      <c r="H23" s="12"/>
      <c r="I23" s="12" t="s">
        <v>284</v>
      </c>
      <c r="J23" s="12"/>
      <c r="K23" s="12"/>
      <c r="L23" s="12"/>
      <c r="M23" s="12"/>
      <c r="N23" s="12"/>
      <c r="O23" s="12"/>
      <c r="P23" s="12"/>
    </row>
    <row r="24" spans="1:16" s="46" customFormat="1" ht="15.75"/>
    <row r="25" spans="1:16" s="46" customFormat="1" ht="15.75"/>
    <row r="26" spans="1:16" s="46" customFormat="1" ht="15.75"/>
    <row r="27" spans="1:16" s="46" customFormat="1" ht="18.75">
      <c r="A27" s="170" t="s">
        <v>277</v>
      </c>
    </row>
    <row r="28" spans="1:16" s="46" customFormat="1" ht="18.75">
      <c r="A28" s="270"/>
    </row>
    <row r="29" spans="1:16" s="46" customFormat="1" ht="15.75">
      <c r="A29" s="12"/>
      <c r="B29" s="454" t="s">
        <v>302</v>
      </c>
      <c r="C29" s="12"/>
      <c r="D29" s="12"/>
      <c r="E29" s="454" t="s">
        <v>301</v>
      </c>
      <c r="F29" s="454"/>
      <c r="G29" s="454"/>
      <c r="H29" s="454" t="s">
        <v>303</v>
      </c>
      <c r="I29" s="12"/>
      <c r="J29" s="12"/>
    </row>
    <row r="30" spans="1:16" s="46" customFormat="1" ht="15.75">
      <c r="A30" s="12"/>
      <c r="B30" s="12" t="s">
        <v>374</v>
      </c>
      <c r="C30" s="12"/>
      <c r="D30" s="12"/>
      <c r="E30" s="12" t="s">
        <v>286</v>
      </c>
      <c r="F30" s="12"/>
      <c r="G30" s="12"/>
      <c r="H30" s="12" t="s">
        <v>298</v>
      </c>
      <c r="I30" s="12"/>
      <c r="J30" s="12"/>
    </row>
    <row r="31" spans="1:16" s="46" customFormat="1" ht="15.75">
      <c r="A31" s="12"/>
      <c r="B31" s="12"/>
      <c r="C31" s="12"/>
      <c r="D31" s="12"/>
      <c r="E31" s="12" t="s">
        <v>287</v>
      </c>
      <c r="F31" s="12"/>
      <c r="G31" s="12"/>
      <c r="H31" s="12" t="s">
        <v>299</v>
      </c>
      <c r="I31" s="12"/>
      <c r="J31" s="12"/>
    </row>
    <row r="32" spans="1:16" s="46" customFormat="1" ht="15.75">
      <c r="A32" s="12"/>
      <c r="B32" s="12" t="s">
        <v>375</v>
      </c>
      <c r="C32" s="12"/>
      <c r="D32" s="12"/>
      <c r="E32" s="12" t="s">
        <v>288</v>
      </c>
      <c r="F32" s="12"/>
      <c r="G32" s="12"/>
      <c r="H32" s="12" t="s">
        <v>300</v>
      </c>
      <c r="I32" s="12"/>
      <c r="J32" s="12"/>
    </row>
    <row r="33" spans="1:10" s="46" customFormat="1" ht="15.75">
      <c r="A33" s="12"/>
      <c r="B33" s="12" t="s">
        <v>282</v>
      </c>
      <c r="C33" s="12"/>
      <c r="D33" s="12"/>
      <c r="E33" s="12" t="s">
        <v>283</v>
      </c>
      <c r="F33" s="12"/>
      <c r="G33" s="12"/>
      <c r="H33" s="12" t="s">
        <v>295</v>
      </c>
      <c r="I33" s="12"/>
      <c r="J33" s="12"/>
    </row>
    <row r="34" spans="1:10" s="46" customFormat="1" ht="15.75">
      <c r="A34" s="12"/>
      <c r="B34" s="12"/>
      <c r="C34" s="12"/>
      <c r="D34" s="12"/>
      <c r="E34" s="12" t="s">
        <v>284</v>
      </c>
      <c r="F34" s="12"/>
      <c r="G34" s="12"/>
      <c r="H34" s="12" t="s">
        <v>296</v>
      </c>
      <c r="I34" s="12"/>
      <c r="J34" s="12"/>
    </row>
    <row r="35" spans="1:10" s="46" customFormat="1" ht="15.75">
      <c r="A35" s="12"/>
      <c r="B35" s="12"/>
      <c r="C35" s="12"/>
      <c r="D35" s="12"/>
      <c r="E35" s="12" t="s">
        <v>285</v>
      </c>
      <c r="F35" s="12"/>
      <c r="G35" s="12"/>
      <c r="H35" s="12" t="s">
        <v>297</v>
      </c>
      <c r="I35" s="12"/>
      <c r="J35" s="12"/>
    </row>
    <row r="36" spans="1:10" s="46" customFormat="1" ht="15.75">
      <c r="A36" s="12"/>
      <c r="B36" s="12" t="s">
        <v>280</v>
      </c>
      <c r="C36" s="12"/>
      <c r="D36" s="12"/>
      <c r="E36" s="12" t="s">
        <v>281</v>
      </c>
      <c r="F36" s="12"/>
      <c r="G36" s="12"/>
      <c r="H36" s="12" t="s">
        <v>294</v>
      </c>
      <c r="I36" s="12"/>
      <c r="J36" s="12"/>
    </row>
    <row r="37" spans="1:10" s="46" customFormat="1" ht="15.75">
      <c r="A37" s="12"/>
      <c r="B37" s="12" t="s">
        <v>334</v>
      </c>
      <c r="C37" s="12"/>
      <c r="D37" s="12"/>
      <c r="E37" s="12" t="s">
        <v>335</v>
      </c>
      <c r="F37" s="12"/>
      <c r="G37" s="12"/>
      <c r="H37" s="12" t="s">
        <v>332</v>
      </c>
      <c r="I37" s="12"/>
      <c r="J37" s="12"/>
    </row>
    <row r="38" spans="1:10" s="46" customFormat="1" ht="15.75">
      <c r="A38" s="12"/>
      <c r="B38" s="12" t="s">
        <v>278</v>
      </c>
      <c r="C38" s="12"/>
      <c r="D38" s="12"/>
      <c r="E38" s="12" t="s">
        <v>279</v>
      </c>
      <c r="F38" s="12"/>
      <c r="G38" s="12"/>
      <c r="H38" s="12" t="s">
        <v>333</v>
      </c>
      <c r="I38" s="12"/>
      <c r="J38" s="12"/>
    </row>
    <row r="39" spans="1:10" s="46" customFormat="1" ht="15.75">
      <c r="A39" s="12"/>
      <c r="B39" s="12" t="s">
        <v>414</v>
      </c>
      <c r="C39" s="12"/>
      <c r="D39" s="12"/>
      <c r="E39" s="12" t="s">
        <v>398</v>
      </c>
      <c r="F39" s="12"/>
      <c r="G39" s="12"/>
      <c r="H39" s="12" t="s">
        <v>399</v>
      </c>
      <c r="I39" s="12"/>
      <c r="J39" s="12"/>
    </row>
    <row r="40" spans="1:10" s="46" customFormat="1" ht="15.75">
      <c r="A40" s="12"/>
      <c r="B40" s="12"/>
      <c r="C40" s="12"/>
      <c r="D40" s="12"/>
      <c r="E40" s="12" t="s">
        <v>423</v>
      </c>
      <c r="F40" s="12"/>
      <c r="G40" s="12"/>
      <c r="H40" s="12" t="s">
        <v>424</v>
      </c>
      <c r="I40" s="12"/>
      <c r="J40" s="12"/>
    </row>
    <row r="41" spans="1:10" s="46" customFormat="1" ht="15.75">
      <c r="A41" s="12"/>
      <c r="B41" s="12"/>
      <c r="C41" s="12"/>
      <c r="D41" s="12"/>
      <c r="E41" s="12" t="s">
        <v>208</v>
      </c>
      <c r="F41" s="12"/>
      <c r="G41" s="12"/>
      <c r="H41" s="12" t="s">
        <v>293</v>
      </c>
      <c r="I41" s="12"/>
      <c r="J41" s="12"/>
    </row>
    <row r="42" spans="1:10" s="46" customFormat="1" ht="15.75">
      <c r="A42" s="12"/>
      <c r="B42" s="12" t="s">
        <v>370</v>
      </c>
      <c r="C42" s="12"/>
      <c r="D42" s="12"/>
      <c r="E42" s="12" t="s">
        <v>396</v>
      </c>
      <c r="F42" s="12"/>
      <c r="G42" s="12"/>
      <c r="H42" s="12" t="s">
        <v>397</v>
      </c>
      <c r="I42" s="12"/>
      <c r="J42" s="12"/>
    </row>
    <row r="43" spans="1:10" s="46" customFormat="1" ht="15.75">
      <c r="A43" s="12"/>
      <c r="B43" s="12"/>
      <c r="C43" s="12"/>
      <c r="D43" s="12"/>
      <c r="E43" s="12" t="s">
        <v>369</v>
      </c>
      <c r="F43" s="12"/>
      <c r="G43" s="12"/>
      <c r="H43" s="12" t="s">
        <v>371</v>
      </c>
      <c r="I43" s="12"/>
      <c r="J43" s="12"/>
    </row>
    <row r="44" spans="1:10" s="46" customFormat="1" ht="15.7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75"/>
    <row r="46" spans="1:10" s="46" customFormat="1" ht="15.75"/>
    <row r="47" spans="1:10" s="46" customFormat="1" ht="15.75"/>
    <row r="48" spans="1:10" s="46" customFormat="1" ht="15.75"/>
    <row r="49" s="46" customFormat="1" ht="15.75"/>
    <row r="50" s="46" customFormat="1" ht="15.75"/>
    <row r="51" s="46" customFormat="1" ht="15.75"/>
    <row r="52" s="46" customFormat="1" ht="15.75"/>
    <row r="53" s="46" customFormat="1" ht="15.75"/>
    <row r="54" s="46" customFormat="1" ht="15.75"/>
    <row r="55" s="46" customFormat="1" ht="15.75"/>
    <row r="56" s="46" customFormat="1" ht="15.75"/>
    <row r="57" s="46" customFormat="1" ht="15.75"/>
    <row r="58" s="46" customFormat="1" ht="15.75"/>
    <row r="59" s="46" customFormat="1" ht="15.75"/>
    <row r="60" s="46" customFormat="1" ht="15.75"/>
    <row r="61" s="46" customFormat="1" ht="15.75"/>
    <row r="62" s="46" customFormat="1" ht="15.75"/>
    <row r="63" s="46" customFormat="1" ht="15.75"/>
    <row r="64" s="46" customFormat="1" ht="15.75"/>
    <row r="65" s="46" customFormat="1" ht="15.75"/>
    <row r="66" s="46" customFormat="1" ht="15.75"/>
    <row r="67" s="46" customFormat="1" ht="15.75"/>
    <row r="68" s="46" customFormat="1" ht="15.75"/>
    <row r="69" s="46" customFormat="1" ht="15.75"/>
    <row r="70" s="46" customFormat="1" ht="15.75"/>
    <row r="71" s="46" customFormat="1" ht="15.75"/>
  </sheetData>
  <pageMargins left="0.75" right="0.75" top="1" bottom="1" header="0.5" footer="0.5"/>
  <pageSetup scale="69" orientation="landscape" horizontalDpi="0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2:AF54"/>
  <sheetViews>
    <sheetView topLeftCell="A16" zoomScale="75" zoomScaleNormal="75" workbookViewId="0">
      <selection activeCell="B41" sqref="B41"/>
    </sheetView>
  </sheetViews>
  <sheetFormatPr defaultRowHeight="12.75"/>
  <cols>
    <col min="1" max="1" width="51.7109375" style="12" customWidth="1"/>
    <col min="2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32" ht="18.75">
      <c r="A2" s="87" t="str">
        <f>Assumptions!A3</f>
        <v>PROJECT NAME:</v>
      </c>
    </row>
    <row r="4" spans="1:32" ht="18.75">
      <c r="A4" s="61" t="s">
        <v>96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32">
      <c r="A6" s="128"/>
      <c r="B6" s="215">
        <f>'Price_Technical Assumption'!D7</f>
        <v>0.66666666666666663</v>
      </c>
      <c r="C6" s="215">
        <f>'Price_Technical Assumption'!E7</f>
        <v>1.6666666666666665</v>
      </c>
      <c r="D6" s="215">
        <f>'Price_Technical Assumption'!F7</f>
        <v>2.6666666666666665</v>
      </c>
      <c r="E6" s="215">
        <f>'Price_Technical Assumption'!G7</f>
        <v>3.6666666666666665</v>
      </c>
      <c r="F6" s="215">
        <f>'Price_Technical Assumption'!H7</f>
        <v>4.6666666666666661</v>
      </c>
      <c r="G6" s="215">
        <f>'Price_Technical Assumption'!I7</f>
        <v>5.6666666666666661</v>
      </c>
      <c r="H6" s="215">
        <f>'Price_Technical Assumption'!J7</f>
        <v>6.6666666666666661</v>
      </c>
      <c r="I6" s="215">
        <f>'Price_Technical Assumption'!K7</f>
        <v>7.6666666666666661</v>
      </c>
      <c r="J6" s="215">
        <f>'Price_Technical Assumption'!L7</f>
        <v>8.6666666666666661</v>
      </c>
      <c r="K6" s="215">
        <f>'Price_Technical Assumption'!M7</f>
        <v>9.6666666666666661</v>
      </c>
      <c r="L6" s="215">
        <f>'Price_Technical Assumption'!N7</f>
        <v>10.666666666666666</v>
      </c>
      <c r="M6" s="215">
        <f>'Price_Technical Assumption'!O7</f>
        <v>11.666666666666666</v>
      </c>
      <c r="N6" s="215">
        <f>'Price_Technical Assumption'!P7</f>
        <v>12.666666666666666</v>
      </c>
      <c r="O6" s="215">
        <f>'Price_Technical Assumption'!Q7</f>
        <v>13.666666666666666</v>
      </c>
      <c r="P6" s="215">
        <f>'Price_Technical Assumption'!R7</f>
        <v>14.666666666666666</v>
      </c>
      <c r="Q6" s="215">
        <f>'Price_Technical Assumption'!S7</f>
        <v>15.666666666666666</v>
      </c>
      <c r="R6" s="215">
        <f>'Price_Technical Assumption'!T7</f>
        <v>16.666666666666664</v>
      </c>
      <c r="S6" s="215">
        <f>'Price_Technical Assumption'!U7</f>
        <v>17.666666666666664</v>
      </c>
      <c r="T6" s="215">
        <f>'Price_Technical Assumption'!V7</f>
        <v>18.666666666666664</v>
      </c>
      <c r="U6" s="215">
        <f>'Price_Technical Assumption'!W7</f>
        <v>19.666666666666664</v>
      </c>
      <c r="V6" s="215">
        <f>'Price_Technical Assumption'!X7</f>
        <v>20.666666666666664</v>
      </c>
      <c r="W6" s="215">
        <f>'Price_Technical Assumption'!Y7</f>
        <v>21.666666666666664</v>
      </c>
      <c r="X6" s="215">
        <f>'Price_Technical Assumption'!Z7</f>
        <v>22.666666666666664</v>
      </c>
      <c r="Y6" s="215">
        <f>'Price_Technical Assumption'!AA7</f>
        <v>23.666666666666664</v>
      </c>
      <c r="Z6" s="215">
        <f>'Price_Technical Assumption'!AB7</f>
        <v>24.666666666666664</v>
      </c>
      <c r="AA6" s="215">
        <f>'Price_Technical Assumption'!AC7</f>
        <v>25.666666666666664</v>
      </c>
      <c r="AB6" s="215">
        <f>'Price_Technical Assumption'!AD7</f>
        <v>26.666666666666664</v>
      </c>
      <c r="AC6" s="215">
        <f>'Price_Technical Assumption'!AE7</f>
        <v>27.666666666666664</v>
      </c>
      <c r="AD6" s="215">
        <f>'Price_Technical Assumption'!AF7</f>
        <v>28.666666666666664</v>
      </c>
      <c r="AE6" s="215">
        <f>'Price_Technical Assumption'!AG7</f>
        <v>29.666666666666664</v>
      </c>
      <c r="AF6" s="215">
        <f>'Price_Technical Assumption'!AH7</f>
        <v>30.666666666666664</v>
      </c>
    </row>
    <row r="7" spans="1:32" ht="13.5" thickBot="1">
      <c r="A7" s="123" t="s">
        <v>40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8"/>
      <c r="B8" s="206">
        <f>Depreciation!D8</f>
        <v>37256</v>
      </c>
      <c r="C8" s="206">
        <f>Depreciation!E8</f>
        <v>37621</v>
      </c>
      <c r="D8" s="206">
        <f>Depreciation!F8</f>
        <v>37986</v>
      </c>
      <c r="E8" s="206">
        <f>Depreciation!G8</f>
        <v>38352</v>
      </c>
      <c r="F8" s="206">
        <f>Depreciation!H8</f>
        <v>38717</v>
      </c>
      <c r="G8" s="206">
        <f>Depreciation!I8</f>
        <v>39082</v>
      </c>
      <c r="H8" s="206">
        <f>Depreciation!J8</f>
        <v>39447</v>
      </c>
      <c r="I8" s="206">
        <f>Depreciation!K8</f>
        <v>39813</v>
      </c>
      <c r="J8" s="206">
        <f>Depreciation!L8</f>
        <v>40178</v>
      </c>
      <c r="K8" s="206">
        <f>Depreciation!M8</f>
        <v>40543</v>
      </c>
      <c r="L8" s="206">
        <f>Depreciation!N8</f>
        <v>40908</v>
      </c>
      <c r="M8" s="206">
        <f>Depreciation!O8</f>
        <v>41274</v>
      </c>
      <c r="N8" s="206">
        <f>Depreciation!P8</f>
        <v>41639</v>
      </c>
      <c r="O8" s="206">
        <f>Depreciation!Q8</f>
        <v>42004</v>
      </c>
      <c r="P8" s="206">
        <f>Depreciation!R8</f>
        <v>42369</v>
      </c>
      <c r="Q8" s="206">
        <f>Depreciation!S8</f>
        <v>42735</v>
      </c>
      <c r="R8" s="206">
        <f>Depreciation!T8</f>
        <v>43100</v>
      </c>
      <c r="S8" s="206">
        <f>Depreciation!U8</f>
        <v>43465</v>
      </c>
      <c r="T8" s="206">
        <f>Depreciation!V8</f>
        <v>43830</v>
      </c>
      <c r="U8" s="206">
        <f>Depreciation!W8</f>
        <v>44196</v>
      </c>
      <c r="V8" s="206">
        <f>Depreciation!X8</f>
        <v>44561</v>
      </c>
      <c r="W8" s="206">
        <f>Depreciation!Y8</f>
        <v>44926</v>
      </c>
      <c r="X8" s="206">
        <f>Depreciation!Z8</f>
        <v>45291</v>
      </c>
      <c r="Y8" s="206">
        <f>Depreciation!AA8</f>
        <v>45657</v>
      </c>
      <c r="Z8" s="206">
        <f>Depreciation!AB8</f>
        <v>46022</v>
      </c>
      <c r="AA8" s="206">
        <f>Depreciation!AC8</f>
        <v>46387</v>
      </c>
      <c r="AB8" s="206">
        <f>Depreciation!AD8</f>
        <v>46752</v>
      </c>
      <c r="AC8" s="206">
        <f>Depreciation!AE8</f>
        <v>47118</v>
      </c>
      <c r="AD8" s="206">
        <f>Depreciation!AF8</f>
        <v>47483</v>
      </c>
      <c r="AE8" s="206">
        <f>Depreciation!AG8</f>
        <v>47848</v>
      </c>
      <c r="AF8" s="206">
        <f>Depreciation!AH8</f>
        <v>48213</v>
      </c>
    </row>
    <row r="9" spans="1:32">
      <c r="A9" s="129" t="s">
        <v>69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212</v>
      </c>
      <c r="B10" s="19" t="e">
        <f ca="1">IS!C40</f>
        <v>#N/A</v>
      </c>
      <c r="C10" s="19" t="e">
        <f ca="1">IS!D40</f>
        <v>#N/A</v>
      </c>
      <c r="D10" s="19" t="e">
        <f ca="1">IS!E40</f>
        <v>#N/A</v>
      </c>
      <c r="E10" s="19" t="e">
        <f ca="1">IS!F40</f>
        <v>#N/A</v>
      </c>
      <c r="F10" s="19" t="e">
        <f ca="1">IS!G40</f>
        <v>#N/A</v>
      </c>
      <c r="G10" s="19" t="e">
        <f ca="1">IS!H40</f>
        <v>#N/A</v>
      </c>
      <c r="H10" s="19" t="e">
        <f ca="1">IS!I40</f>
        <v>#N/A</v>
      </c>
      <c r="I10" s="19" t="e">
        <f ca="1">IS!J40</f>
        <v>#N/A</v>
      </c>
      <c r="J10" s="19" t="e">
        <f ca="1">IS!K40</f>
        <v>#N/A</v>
      </c>
      <c r="K10" s="19" t="e">
        <f ca="1">IS!L40</f>
        <v>#N/A</v>
      </c>
      <c r="L10" s="19" t="e">
        <f ca="1">IS!M40</f>
        <v>#N/A</v>
      </c>
      <c r="M10" s="19" t="e">
        <f ca="1">IS!N40</f>
        <v>#N/A</v>
      </c>
      <c r="N10" s="19" t="e">
        <f ca="1">IS!O40</f>
        <v>#N/A</v>
      </c>
      <c r="O10" s="19" t="e">
        <f ca="1">IS!P40</f>
        <v>#N/A</v>
      </c>
      <c r="P10" s="19" t="e">
        <f ca="1">IS!Q40</f>
        <v>#N/A</v>
      </c>
      <c r="Q10" s="19" t="e">
        <f ca="1">IS!R40</f>
        <v>#N/A</v>
      </c>
      <c r="R10" s="19" t="e">
        <f ca="1">IS!S40</f>
        <v>#N/A</v>
      </c>
      <c r="S10" s="19" t="e">
        <f ca="1">IS!T40</f>
        <v>#N/A</v>
      </c>
      <c r="T10" s="19" t="e">
        <f ca="1">IS!U40</f>
        <v>#N/A</v>
      </c>
      <c r="U10" s="19" t="e">
        <f ca="1">IS!V40</f>
        <v>#N/A</v>
      </c>
      <c r="V10" s="19" t="e">
        <f ca="1">IS!W40</f>
        <v>#N/A</v>
      </c>
      <c r="W10" s="19" t="e">
        <f ca="1">IS!X40</f>
        <v>#N/A</v>
      </c>
      <c r="X10" s="19" t="e">
        <f ca="1">IS!Y40</f>
        <v>#N/A</v>
      </c>
      <c r="Y10" s="19" t="e">
        <f ca="1">IS!Z40</f>
        <v>#N/A</v>
      </c>
      <c r="Z10" s="19" t="e">
        <f ca="1">IS!AA40</f>
        <v>#N/A</v>
      </c>
      <c r="AA10" s="19" t="e">
        <f ca="1">IS!AB40</f>
        <v>#N/A</v>
      </c>
      <c r="AB10" s="19" t="e">
        <f ca="1">IS!AC40</f>
        <v>#N/A</v>
      </c>
      <c r="AC10" s="19" t="e">
        <f ca="1">IS!AD40</f>
        <v>#N/A</v>
      </c>
      <c r="AD10" s="19" t="e">
        <f ca="1">IS!AE40</f>
        <v>#N/A</v>
      </c>
      <c r="AE10" s="19" t="e">
        <f ca="1">IS!AF40</f>
        <v>#N/A</v>
      </c>
      <c r="AF10" s="19" t="e">
        <f ca="1">IS!AG40</f>
        <v>#N/A</v>
      </c>
    </row>
    <row r="11" spans="1:32">
      <c r="A11" s="21" t="s">
        <v>70</v>
      </c>
      <c r="B11" s="19" t="e">
        <f>IS!C34</f>
        <v>#N/A</v>
      </c>
      <c r="C11" s="19" t="e">
        <f>IS!D34</f>
        <v>#N/A</v>
      </c>
      <c r="D11" s="19" t="e">
        <f>IS!E34</f>
        <v>#N/A</v>
      </c>
      <c r="E11" s="19" t="e">
        <f>IS!F34</f>
        <v>#N/A</v>
      </c>
      <c r="F11" s="19" t="e">
        <f>IS!G34</f>
        <v>#N/A</v>
      </c>
      <c r="G11" s="19" t="e">
        <f>IS!H34</f>
        <v>#N/A</v>
      </c>
      <c r="H11" s="19" t="e">
        <f>IS!I34</f>
        <v>#N/A</v>
      </c>
      <c r="I11" s="19" t="e">
        <f>IS!J34</f>
        <v>#N/A</v>
      </c>
      <c r="J11" s="19" t="e">
        <f>IS!K34</f>
        <v>#N/A</v>
      </c>
      <c r="K11" s="19" t="e">
        <f>IS!L34</f>
        <v>#N/A</v>
      </c>
      <c r="L11" s="19" t="e">
        <f>IS!M34</f>
        <v>#N/A</v>
      </c>
      <c r="M11" s="19" t="e">
        <f>IS!N34</f>
        <v>#N/A</v>
      </c>
      <c r="N11" s="19" t="e">
        <f>IS!O34</f>
        <v>#N/A</v>
      </c>
      <c r="O11" s="19" t="e">
        <f>IS!P34</f>
        <v>#N/A</v>
      </c>
      <c r="P11" s="19" t="e">
        <f>IS!Q34</f>
        <v>#N/A</v>
      </c>
      <c r="Q11" s="19" t="e">
        <f>IS!R34</f>
        <v>#N/A</v>
      </c>
      <c r="R11" s="19" t="e">
        <f>IS!S34</f>
        <v>#N/A</v>
      </c>
      <c r="S11" s="19" t="e">
        <f>IS!T34</f>
        <v>#N/A</v>
      </c>
      <c r="T11" s="19" t="e">
        <f>IS!U34</f>
        <v>#N/A</v>
      </c>
      <c r="U11" s="19" t="e">
        <f>IS!V34</f>
        <v>#N/A</v>
      </c>
      <c r="V11" s="19" t="e">
        <f>IS!W34</f>
        <v>#N/A</v>
      </c>
      <c r="W11" s="19" t="e">
        <f>IS!X34</f>
        <v>#N/A</v>
      </c>
      <c r="X11" s="19" t="e">
        <f>IS!Y34</f>
        <v>#N/A</v>
      </c>
      <c r="Y11" s="19" t="e">
        <f>IS!Z34</f>
        <v>#N/A</v>
      </c>
      <c r="Z11" s="19" t="e">
        <f>IS!AA34</f>
        <v>#N/A</v>
      </c>
      <c r="AA11" s="19" t="e">
        <f>IS!AB34</f>
        <v>#N/A</v>
      </c>
      <c r="AB11" s="19" t="e">
        <f>IS!AC34</f>
        <v>#N/A</v>
      </c>
      <c r="AC11" s="19" t="e">
        <f>IS!AD34</f>
        <v>#N/A</v>
      </c>
      <c r="AD11" s="19" t="e">
        <f>IS!AE34</f>
        <v>#N/A</v>
      </c>
      <c r="AE11" s="19" t="e">
        <f>IS!AF34</f>
        <v>#N/A</v>
      </c>
      <c r="AF11" s="19" t="e">
        <f>IS!AG34</f>
        <v>#N/A</v>
      </c>
    </row>
    <row r="12" spans="1:32" ht="15">
      <c r="A12" s="21" t="s">
        <v>71</v>
      </c>
      <c r="B12" s="131" t="e">
        <f>-Depreciation!D34</f>
        <v>#N/A</v>
      </c>
      <c r="C12" s="131" t="e">
        <f>-Depreciation!E34</f>
        <v>#N/A</v>
      </c>
      <c r="D12" s="131" t="e">
        <f>-Depreciation!F34</f>
        <v>#N/A</v>
      </c>
      <c r="E12" s="131" t="e">
        <f>-Depreciation!G34</f>
        <v>#N/A</v>
      </c>
      <c r="F12" s="131" t="e">
        <f>-Depreciation!H34</f>
        <v>#N/A</v>
      </c>
      <c r="G12" s="131" t="e">
        <f>-Depreciation!I34</f>
        <v>#N/A</v>
      </c>
      <c r="H12" s="131" t="e">
        <f>-Depreciation!J34</f>
        <v>#N/A</v>
      </c>
      <c r="I12" s="131" t="e">
        <f>-Depreciation!K34</f>
        <v>#N/A</v>
      </c>
      <c r="J12" s="131" t="e">
        <f>-Depreciation!L34</f>
        <v>#N/A</v>
      </c>
      <c r="K12" s="131" t="e">
        <f>-Depreciation!M34</f>
        <v>#N/A</v>
      </c>
      <c r="L12" s="131" t="e">
        <f>-Depreciation!N34</f>
        <v>#N/A</v>
      </c>
      <c r="M12" s="131" t="e">
        <f>-Depreciation!O34</f>
        <v>#N/A</v>
      </c>
      <c r="N12" s="131" t="e">
        <f>-Depreciation!P34</f>
        <v>#N/A</v>
      </c>
      <c r="O12" s="131" t="e">
        <f>-Depreciation!Q34</f>
        <v>#N/A</v>
      </c>
      <c r="P12" s="131" t="e">
        <f>-Depreciation!R34</f>
        <v>#N/A</v>
      </c>
      <c r="Q12" s="131" t="e">
        <f>-Depreciation!S34</f>
        <v>#N/A</v>
      </c>
      <c r="R12" s="131" t="e">
        <f>-Depreciation!T34</f>
        <v>#N/A</v>
      </c>
      <c r="S12" s="131" t="e">
        <f>-Depreciation!U34</f>
        <v>#N/A</v>
      </c>
      <c r="T12" s="131" t="e">
        <f>-Depreciation!V34</f>
        <v>#N/A</v>
      </c>
      <c r="U12" s="131" t="e">
        <f>-Depreciation!W34</f>
        <v>#N/A</v>
      </c>
      <c r="V12" s="131" t="e">
        <f>-Depreciation!X34</f>
        <v>#N/A</v>
      </c>
      <c r="W12" s="131" t="e">
        <f>-Depreciation!Y34</f>
        <v>#N/A</v>
      </c>
      <c r="X12" s="131" t="e">
        <f>-Depreciation!Z34</f>
        <v>#N/A</v>
      </c>
      <c r="Y12" s="131" t="e">
        <f>-Depreciation!AA34</f>
        <v>#N/A</v>
      </c>
      <c r="Z12" s="131" t="e">
        <f>-Depreciation!AB34</f>
        <v>#N/A</v>
      </c>
      <c r="AA12" s="131" t="e">
        <f>-Depreciation!AC34</f>
        <v>#N/A</v>
      </c>
      <c r="AB12" s="131" t="e">
        <f>-Depreciation!AD34</f>
        <v>#N/A</v>
      </c>
      <c r="AC12" s="131" t="e">
        <f>-Depreciation!AE34</f>
        <v>#N/A</v>
      </c>
      <c r="AD12" s="131" t="e">
        <f>-Depreciation!AF34</f>
        <v>#N/A</v>
      </c>
      <c r="AE12" s="131" t="e">
        <f>-Depreciation!AG34</f>
        <v>#N/A</v>
      </c>
      <c r="AF12" s="131" t="e">
        <f>-Depreciation!AH34</f>
        <v>#N/A</v>
      </c>
    </row>
    <row r="13" spans="1:32">
      <c r="A13" s="130" t="s">
        <v>72</v>
      </c>
      <c r="B13" s="23" t="e">
        <f ca="1">SUM(B10:B12)</f>
        <v>#N/A</v>
      </c>
      <c r="C13" s="23" t="e">
        <f t="shared" ref="C13:W13" ca="1" si="0">SUM(C10:C12)</f>
        <v>#N/A</v>
      </c>
      <c r="D13" s="23" t="e">
        <f t="shared" ca="1" si="0"/>
        <v>#N/A</v>
      </c>
      <c r="E13" s="23" t="e">
        <f t="shared" ca="1" si="0"/>
        <v>#N/A</v>
      </c>
      <c r="F13" s="23" t="e">
        <f t="shared" ca="1" si="0"/>
        <v>#N/A</v>
      </c>
      <c r="G13" s="23" t="e">
        <f t="shared" ca="1" si="0"/>
        <v>#N/A</v>
      </c>
      <c r="H13" s="23" t="e">
        <f t="shared" ca="1" si="0"/>
        <v>#N/A</v>
      </c>
      <c r="I13" s="23" t="e">
        <f t="shared" ca="1" si="0"/>
        <v>#N/A</v>
      </c>
      <c r="J13" s="23" t="e">
        <f t="shared" ca="1" si="0"/>
        <v>#N/A</v>
      </c>
      <c r="K13" s="23" t="e">
        <f t="shared" ca="1" si="0"/>
        <v>#N/A</v>
      </c>
      <c r="L13" s="23" t="e">
        <f t="shared" ca="1" si="0"/>
        <v>#N/A</v>
      </c>
      <c r="M13" s="23" t="e">
        <f t="shared" ca="1" si="0"/>
        <v>#N/A</v>
      </c>
      <c r="N13" s="23" t="e">
        <f t="shared" ca="1" si="0"/>
        <v>#N/A</v>
      </c>
      <c r="O13" s="23" t="e">
        <f t="shared" ca="1" si="0"/>
        <v>#N/A</v>
      </c>
      <c r="P13" s="23" t="e">
        <f t="shared" ca="1" si="0"/>
        <v>#N/A</v>
      </c>
      <c r="Q13" s="23" t="e">
        <f t="shared" ca="1" si="0"/>
        <v>#N/A</v>
      </c>
      <c r="R13" s="23" t="e">
        <f t="shared" ca="1" si="0"/>
        <v>#N/A</v>
      </c>
      <c r="S13" s="23" t="e">
        <f t="shared" ca="1" si="0"/>
        <v>#N/A</v>
      </c>
      <c r="T13" s="23" t="e">
        <f t="shared" ca="1" si="0"/>
        <v>#N/A</v>
      </c>
      <c r="U13" s="23" t="e">
        <f t="shared" ca="1" si="0"/>
        <v>#N/A</v>
      </c>
      <c r="V13" s="23" t="e">
        <f t="shared" ca="1" si="0"/>
        <v>#N/A</v>
      </c>
      <c r="W13" s="23" t="e">
        <f t="shared" ca="1" si="0"/>
        <v>#N/A</v>
      </c>
      <c r="X13" s="23" t="e">
        <f t="shared" ref="X13:AF13" ca="1" si="1">SUM(X10:X12)</f>
        <v>#N/A</v>
      </c>
      <c r="Y13" s="23" t="e">
        <f t="shared" ca="1" si="1"/>
        <v>#N/A</v>
      </c>
      <c r="Z13" s="23" t="e">
        <f t="shared" ca="1" si="1"/>
        <v>#N/A</v>
      </c>
      <c r="AA13" s="23" t="e">
        <f t="shared" ca="1" si="1"/>
        <v>#N/A</v>
      </c>
      <c r="AB13" s="23" t="e">
        <f t="shared" ca="1" si="1"/>
        <v>#N/A</v>
      </c>
      <c r="AC13" s="23" t="e">
        <f t="shared" ca="1" si="1"/>
        <v>#N/A</v>
      </c>
      <c r="AD13" s="23" t="e">
        <f t="shared" ca="1" si="1"/>
        <v>#N/A</v>
      </c>
      <c r="AE13" s="23" t="e">
        <f t="shared" ca="1" si="1"/>
        <v>#N/A</v>
      </c>
      <c r="AF13" s="23" t="e">
        <f t="shared" ca="1" si="1"/>
        <v>#N/A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98</v>
      </c>
      <c r="B15" s="132">
        <f>Assumptions!$N$51</f>
        <v>0</v>
      </c>
      <c r="C15" s="132">
        <f>Assumptions!$N$51</f>
        <v>0</v>
      </c>
      <c r="D15" s="132">
        <f>Assumptions!$N$51</f>
        <v>0</v>
      </c>
      <c r="E15" s="132">
        <f>Assumptions!$N$51</f>
        <v>0</v>
      </c>
      <c r="F15" s="132">
        <f>Assumptions!$N$51</f>
        <v>0</v>
      </c>
      <c r="G15" s="132">
        <f>Assumptions!$N$51</f>
        <v>0</v>
      </c>
      <c r="H15" s="132">
        <f>Assumptions!$N$51</f>
        <v>0</v>
      </c>
      <c r="I15" s="132">
        <f>Assumptions!$N$51</f>
        <v>0</v>
      </c>
      <c r="J15" s="132">
        <f>Assumptions!$N$51</f>
        <v>0</v>
      </c>
      <c r="K15" s="132">
        <f>Assumptions!$N$51</f>
        <v>0</v>
      </c>
      <c r="L15" s="132">
        <f>Assumptions!$N$51</f>
        <v>0</v>
      </c>
      <c r="M15" s="132">
        <f>Assumptions!$N$51</f>
        <v>0</v>
      </c>
      <c r="N15" s="132">
        <f>Assumptions!$N$51</f>
        <v>0</v>
      </c>
      <c r="O15" s="132">
        <f>Assumptions!$N$51</f>
        <v>0</v>
      </c>
      <c r="P15" s="132">
        <f>Assumptions!$N$51</f>
        <v>0</v>
      </c>
      <c r="Q15" s="132">
        <f>Assumptions!$N$51</f>
        <v>0</v>
      </c>
      <c r="R15" s="132">
        <f>Assumptions!$N$51</f>
        <v>0</v>
      </c>
      <c r="S15" s="132">
        <f>Assumptions!$N$51</f>
        <v>0</v>
      </c>
      <c r="T15" s="132">
        <f>Assumptions!$N$51</f>
        <v>0</v>
      </c>
      <c r="U15" s="132">
        <f>Assumptions!$N$51</f>
        <v>0</v>
      </c>
      <c r="V15" s="132">
        <f>Assumptions!$N$51</f>
        <v>0</v>
      </c>
      <c r="W15" s="132">
        <f>Assumptions!$N$51</f>
        <v>0</v>
      </c>
      <c r="X15" s="132">
        <f>Assumptions!$N$51</f>
        <v>0</v>
      </c>
      <c r="Y15" s="132">
        <f>Assumptions!$N$51</f>
        <v>0</v>
      </c>
      <c r="Z15" s="132">
        <f>Assumptions!$N$51</f>
        <v>0</v>
      </c>
      <c r="AA15" s="132">
        <f>Assumptions!$N$51</f>
        <v>0</v>
      </c>
      <c r="AB15" s="132">
        <f>Assumptions!$N$51</f>
        <v>0</v>
      </c>
      <c r="AC15" s="132">
        <f>Assumptions!$N$51</f>
        <v>0</v>
      </c>
      <c r="AD15" s="132">
        <f>Assumptions!$N$51</f>
        <v>0</v>
      </c>
      <c r="AE15" s="132">
        <f>Assumptions!$N$51</f>
        <v>0</v>
      </c>
      <c r="AF15" s="132">
        <f>Assumptions!$N$51</f>
        <v>0</v>
      </c>
    </row>
    <row r="16" spans="1:32">
      <c r="A16" s="21" t="s">
        <v>73</v>
      </c>
      <c r="B16" s="19" t="e">
        <f t="shared" ref="B16:AF16" ca="1" si="2">B13*B15</f>
        <v>#N/A</v>
      </c>
      <c r="C16" s="19" t="e">
        <f t="shared" ca="1" si="2"/>
        <v>#N/A</v>
      </c>
      <c r="D16" s="19" t="e">
        <f t="shared" ca="1" si="2"/>
        <v>#N/A</v>
      </c>
      <c r="E16" s="19" t="e">
        <f t="shared" ca="1" si="2"/>
        <v>#N/A</v>
      </c>
      <c r="F16" s="19" t="e">
        <f t="shared" ca="1" si="2"/>
        <v>#N/A</v>
      </c>
      <c r="G16" s="19" t="e">
        <f t="shared" ca="1" si="2"/>
        <v>#N/A</v>
      </c>
      <c r="H16" s="19" t="e">
        <f t="shared" ca="1" si="2"/>
        <v>#N/A</v>
      </c>
      <c r="I16" s="19" t="e">
        <f t="shared" ca="1" si="2"/>
        <v>#N/A</v>
      </c>
      <c r="J16" s="19" t="e">
        <f t="shared" ca="1" si="2"/>
        <v>#N/A</v>
      </c>
      <c r="K16" s="19" t="e">
        <f t="shared" ca="1" si="2"/>
        <v>#N/A</v>
      </c>
      <c r="L16" s="19" t="e">
        <f t="shared" ca="1" si="2"/>
        <v>#N/A</v>
      </c>
      <c r="M16" s="19" t="e">
        <f t="shared" ca="1" si="2"/>
        <v>#N/A</v>
      </c>
      <c r="N16" s="19" t="e">
        <f t="shared" ca="1" si="2"/>
        <v>#N/A</v>
      </c>
      <c r="O16" s="19" t="e">
        <f t="shared" ca="1" si="2"/>
        <v>#N/A</v>
      </c>
      <c r="P16" s="19" t="e">
        <f t="shared" ca="1" si="2"/>
        <v>#N/A</v>
      </c>
      <c r="Q16" s="19" t="e">
        <f t="shared" ca="1" si="2"/>
        <v>#N/A</v>
      </c>
      <c r="R16" s="19" t="e">
        <f t="shared" ca="1" si="2"/>
        <v>#N/A</v>
      </c>
      <c r="S16" s="19" t="e">
        <f t="shared" ca="1" si="2"/>
        <v>#N/A</v>
      </c>
      <c r="T16" s="19" t="e">
        <f t="shared" ca="1" si="2"/>
        <v>#N/A</v>
      </c>
      <c r="U16" s="19" t="e">
        <f t="shared" ca="1" si="2"/>
        <v>#N/A</v>
      </c>
      <c r="V16" s="19" t="e">
        <f t="shared" ca="1" si="2"/>
        <v>#N/A</v>
      </c>
      <c r="W16" s="19" t="e">
        <f t="shared" ca="1" si="2"/>
        <v>#N/A</v>
      </c>
      <c r="X16" s="19" t="e">
        <f t="shared" ca="1" si="2"/>
        <v>#N/A</v>
      </c>
      <c r="Y16" s="19" t="e">
        <f t="shared" ca="1" si="2"/>
        <v>#N/A</v>
      </c>
      <c r="Z16" s="19" t="e">
        <f t="shared" ca="1" si="2"/>
        <v>#N/A</v>
      </c>
      <c r="AA16" s="19" t="e">
        <f t="shared" ca="1" si="2"/>
        <v>#N/A</v>
      </c>
      <c r="AB16" s="19" t="e">
        <f t="shared" ca="1" si="2"/>
        <v>#N/A</v>
      </c>
      <c r="AC16" s="19" t="e">
        <f t="shared" ca="1" si="2"/>
        <v>#N/A</v>
      </c>
      <c r="AD16" s="19" t="e">
        <f t="shared" ca="1" si="2"/>
        <v>#N/A</v>
      </c>
      <c r="AE16" s="19" t="e">
        <f t="shared" ca="1" si="2"/>
        <v>#N/A</v>
      </c>
      <c r="AF16" s="19" t="e">
        <f t="shared" ca="1" si="2"/>
        <v>#N/A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74</v>
      </c>
      <c r="B18" s="19">
        <v>0</v>
      </c>
      <c r="C18" s="19" t="e">
        <f ca="1">B22</f>
        <v>#N/A</v>
      </c>
      <c r="D18" s="19" t="e">
        <f t="shared" ref="D18:W18" ca="1" si="3">C22</f>
        <v>#N/A</v>
      </c>
      <c r="E18" s="19" t="e">
        <f t="shared" ca="1" si="3"/>
        <v>#N/A</v>
      </c>
      <c r="F18" s="19" t="e">
        <f t="shared" ca="1" si="3"/>
        <v>#N/A</v>
      </c>
      <c r="G18" s="19" t="e">
        <f t="shared" ca="1" si="3"/>
        <v>#N/A</v>
      </c>
      <c r="H18" s="19" t="e">
        <f t="shared" ca="1" si="3"/>
        <v>#N/A</v>
      </c>
      <c r="I18" s="19" t="e">
        <f t="shared" ca="1" si="3"/>
        <v>#N/A</v>
      </c>
      <c r="J18" s="19" t="e">
        <f t="shared" ca="1" si="3"/>
        <v>#N/A</v>
      </c>
      <c r="K18" s="19" t="e">
        <f t="shared" ca="1" si="3"/>
        <v>#N/A</v>
      </c>
      <c r="L18" s="19" t="e">
        <f t="shared" ca="1" si="3"/>
        <v>#N/A</v>
      </c>
      <c r="M18" s="19" t="e">
        <f t="shared" ca="1" si="3"/>
        <v>#N/A</v>
      </c>
      <c r="N18" s="19" t="e">
        <f t="shared" ca="1" si="3"/>
        <v>#N/A</v>
      </c>
      <c r="O18" s="19" t="e">
        <f t="shared" ca="1" si="3"/>
        <v>#N/A</v>
      </c>
      <c r="P18" s="19" t="e">
        <f ca="1">O22</f>
        <v>#N/A</v>
      </c>
      <c r="Q18" s="19" t="e">
        <f t="shared" ca="1" si="3"/>
        <v>#N/A</v>
      </c>
      <c r="R18" s="19" t="e">
        <f t="shared" ca="1" si="3"/>
        <v>#N/A</v>
      </c>
      <c r="S18" s="19" t="e">
        <f t="shared" ca="1" si="3"/>
        <v>#N/A</v>
      </c>
      <c r="T18" s="19">
        <v>0</v>
      </c>
      <c r="U18" s="19" t="e">
        <f t="shared" ca="1" si="3"/>
        <v>#N/A</v>
      </c>
      <c r="V18" s="19" t="e">
        <f t="shared" ca="1" si="3"/>
        <v>#N/A</v>
      </c>
      <c r="W18" s="19" t="e">
        <f t="shared" ca="1" si="3"/>
        <v>#N/A</v>
      </c>
      <c r="X18" s="19" t="e">
        <f t="shared" ref="X18:AF18" ca="1" si="4">W22</f>
        <v>#N/A</v>
      </c>
      <c r="Y18" s="19" t="e">
        <f t="shared" ca="1" si="4"/>
        <v>#N/A</v>
      </c>
      <c r="Z18" s="19" t="e">
        <f t="shared" ca="1" si="4"/>
        <v>#N/A</v>
      </c>
      <c r="AA18" s="19" t="e">
        <f t="shared" ca="1" si="4"/>
        <v>#N/A</v>
      </c>
      <c r="AB18" s="19" t="e">
        <f t="shared" ca="1" si="4"/>
        <v>#N/A</v>
      </c>
      <c r="AC18" s="19" t="e">
        <f t="shared" ca="1" si="4"/>
        <v>#N/A</v>
      </c>
      <c r="AD18" s="19" t="e">
        <f t="shared" ca="1" si="4"/>
        <v>#N/A</v>
      </c>
      <c r="AE18" s="19" t="e">
        <f t="shared" ca="1" si="4"/>
        <v>#N/A</v>
      </c>
      <c r="AF18" s="19" t="e">
        <f t="shared" ca="1" si="4"/>
        <v>#N/A</v>
      </c>
    </row>
    <row r="19" spans="1:32">
      <c r="A19" s="21" t="s">
        <v>75</v>
      </c>
      <c r="B19" s="140" t="e">
        <f ca="1">IF(B16&lt;0,-B16,0)</f>
        <v>#N/A</v>
      </c>
      <c r="C19" s="140" t="e">
        <f t="shared" ref="C19:W19" ca="1" si="5">IF(C16&lt;0,-C16,0)</f>
        <v>#N/A</v>
      </c>
      <c r="D19" s="140" t="e">
        <f t="shared" ca="1" si="5"/>
        <v>#N/A</v>
      </c>
      <c r="E19" s="140" t="e">
        <f t="shared" ca="1" si="5"/>
        <v>#N/A</v>
      </c>
      <c r="F19" s="140" t="e">
        <f t="shared" ca="1" si="5"/>
        <v>#N/A</v>
      </c>
      <c r="G19" s="140" t="e">
        <f t="shared" ca="1" si="5"/>
        <v>#N/A</v>
      </c>
      <c r="H19" s="140" t="e">
        <f t="shared" ca="1" si="5"/>
        <v>#N/A</v>
      </c>
      <c r="I19" s="140" t="e">
        <f t="shared" ca="1" si="5"/>
        <v>#N/A</v>
      </c>
      <c r="J19" s="140" t="e">
        <f t="shared" ca="1" si="5"/>
        <v>#N/A</v>
      </c>
      <c r="K19" s="140" t="e">
        <f t="shared" ca="1" si="5"/>
        <v>#N/A</v>
      </c>
      <c r="L19" s="140" t="e">
        <f t="shared" ca="1" si="5"/>
        <v>#N/A</v>
      </c>
      <c r="M19" s="140" t="e">
        <f t="shared" ca="1" si="5"/>
        <v>#N/A</v>
      </c>
      <c r="N19" s="140" t="e">
        <f t="shared" ca="1" si="5"/>
        <v>#N/A</v>
      </c>
      <c r="O19" s="140" t="e">
        <f t="shared" ca="1" si="5"/>
        <v>#N/A</v>
      </c>
      <c r="P19" s="140" t="e">
        <f t="shared" ca="1" si="5"/>
        <v>#N/A</v>
      </c>
      <c r="Q19" s="140" t="e">
        <f t="shared" ca="1" si="5"/>
        <v>#N/A</v>
      </c>
      <c r="R19" s="140" t="e">
        <f t="shared" ca="1" si="5"/>
        <v>#N/A</v>
      </c>
      <c r="S19" s="140" t="e">
        <f t="shared" ca="1" si="5"/>
        <v>#N/A</v>
      </c>
      <c r="T19" s="140" t="e">
        <f t="shared" ca="1" si="5"/>
        <v>#N/A</v>
      </c>
      <c r="U19" s="140" t="e">
        <f t="shared" ca="1" si="5"/>
        <v>#N/A</v>
      </c>
      <c r="V19" s="140" t="e">
        <f t="shared" ca="1" si="5"/>
        <v>#N/A</v>
      </c>
      <c r="W19" s="140" t="e">
        <f t="shared" ca="1" si="5"/>
        <v>#N/A</v>
      </c>
      <c r="X19" s="140" t="e">
        <f t="shared" ref="X19:AF19" ca="1" si="6">IF(X16&lt;0,-X16,0)</f>
        <v>#N/A</v>
      </c>
      <c r="Y19" s="140" t="e">
        <f t="shared" ca="1" si="6"/>
        <v>#N/A</v>
      </c>
      <c r="Z19" s="140" t="e">
        <f t="shared" ca="1" si="6"/>
        <v>#N/A</v>
      </c>
      <c r="AA19" s="140" t="e">
        <f t="shared" ca="1" si="6"/>
        <v>#N/A</v>
      </c>
      <c r="AB19" s="140" t="e">
        <f t="shared" ca="1" si="6"/>
        <v>#N/A</v>
      </c>
      <c r="AC19" s="140" t="e">
        <f t="shared" ca="1" si="6"/>
        <v>#N/A</v>
      </c>
      <c r="AD19" s="140" t="e">
        <f t="shared" ca="1" si="6"/>
        <v>#N/A</v>
      </c>
      <c r="AE19" s="140" t="e">
        <f t="shared" ca="1" si="6"/>
        <v>#N/A</v>
      </c>
      <c r="AF19" s="140" t="e">
        <f t="shared" ca="1" si="6"/>
        <v>#N/A</v>
      </c>
    </row>
    <row r="20" spans="1:32">
      <c r="A20" s="13" t="s">
        <v>291</v>
      </c>
      <c r="B20" s="445">
        <v>0</v>
      </c>
      <c r="C20" s="446">
        <v>0</v>
      </c>
      <c r="D20" s="446">
        <v>0</v>
      </c>
      <c r="E20" s="446">
        <v>0</v>
      </c>
      <c r="F20" s="446">
        <v>0</v>
      </c>
      <c r="G20" s="446">
        <v>0</v>
      </c>
      <c r="H20" s="446">
        <v>0</v>
      </c>
      <c r="I20" s="447">
        <v>0</v>
      </c>
      <c r="J20" s="448" t="e">
        <f ca="1">IF(-SUM(B21:I21, B20:I20)&gt;B19,0,-B19-SUM(B21:I21,B20:I20))</f>
        <v>#N/A</v>
      </c>
      <c r="K20" s="448" t="e">
        <f t="shared" ref="K20:AF20" ca="1" si="7">IF(-SUM(C21:J21, C20:J20)&gt;C19,0,-C19-SUM(C21:J21,C20:J20))</f>
        <v>#N/A</v>
      </c>
      <c r="L20" s="448" t="e">
        <f t="shared" ca="1" si="7"/>
        <v>#N/A</v>
      </c>
      <c r="M20" s="448" t="e">
        <f t="shared" ca="1" si="7"/>
        <v>#N/A</v>
      </c>
      <c r="N20" s="448" t="e">
        <f t="shared" ca="1" si="7"/>
        <v>#N/A</v>
      </c>
      <c r="O20" s="448" t="e">
        <f t="shared" ca="1" si="7"/>
        <v>#N/A</v>
      </c>
      <c r="P20" s="448" t="e">
        <f t="shared" ca="1" si="7"/>
        <v>#N/A</v>
      </c>
      <c r="Q20" s="448" t="e">
        <f t="shared" ca="1" si="7"/>
        <v>#N/A</v>
      </c>
      <c r="R20" s="448" t="e">
        <f t="shared" ca="1" si="7"/>
        <v>#N/A</v>
      </c>
      <c r="S20" s="448" t="e">
        <f t="shared" ca="1" si="7"/>
        <v>#N/A</v>
      </c>
      <c r="T20" s="448" t="e">
        <f t="shared" ca="1" si="7"/>
        <v>#N/A</v>
      </c>
      <c r="U20" s="448" t="e">
        <f t="shared" ca="1" si="7"/>
        <v>#N/A</v>
      </c>
      <c r="V20" s="448" t="e">
        <f t="shared" ca="1" si="7"/>
        <v>#N/A</v>
      </c>
      <c r="W20" s="448" t="e">
        <f t="shared" ca="1" si="7"/>
        <v>#N/A</v>
      </c>
      <c r="X20" s="448" t="e">
        <f t="shared" ca="1" si="7"/>
        <v>#N/A</v>
      </c>
      <c r="Y20" s="448" t="e">
        <f t="shared" ca="1" si="7"/>
        <v>#N/A</v>
      </c>
      <c r="Z20" s="448" t="e">
        <f t="shared" ca="1" si="7"/>
        <v>#N/A</v>
      </c>
      <c r="AA20" s="448" t="e">
        <f t="shared" ca="1" si="7"/>
        <v>#N/A</v>
      </c>
      <c r="AB20" s="448" t="e">
        <f t="shared" ca="1" si="7"/>
        <v>#N/A</v>
      </c>
      <c r="AC20" s="448" t="e">
        <f t="shared" ca="1" si="7"/>
        <v>#N/A</v>
      </c>
      <c r="AD20" s="448" t="e">
        <f t="shared" ca="1" si="7"/>
        <v>#N/A</v>
      </c>
      <c r="AE20" s="448" t="e">
        <f t="shared" ca="1" si="7"/>
        <v>#N/A</v>
      </c>
      <c r="AF20" s="448" t="e">
        <f t="shared" ca="1" si="7"/>
        <v>#N/A</v>
      </c>
    </row>
    <row r="21" spans="1:32">
      <c r="A21" s="13" t="s">
        <v>290</v>
      </c>
      <c r="B21" s="133" t="e">
        <f ca="1">IF(B16&lt;0,0,IF(B18&gt;B16,-B16,-B18))</f>
        <v>#N/A</v>
      </c>
      <c r="C21" s="133" t="e">
        <f t="shared" ref="C21:V21" ca="1" si="8">IF(C16&lt;0,0,IF(C18&gt;C16,-C16,-C18))</f>
        <v>#N/A</v>
      </c>
      <c r="D21" s="133" t="e">
        <f t="shared" ca="1" si="8"/>
        <v>#N/A</v>
      </c>
      <c r="E21" s="133" t="e">
        <f t="shared" ca="1" si="8"/>
        <v>#N/A</v>
      </c>
      <c r="F21" s="133" t="e">
        <f t="shared" ca="1" si="8"/>
        <v>#N/A</v>
      </c>
      <c r="G21" s="133" t="e">
        <f t="shared" ca="1" si="8"/>
        <v>#N/A</v>
      </c>
      <c r="H21" s="133" t="e">
        <f t="shared" ca="1" si="8"/>
        <v>#N/A</v>
      </c>
      <c r="I21" s="133" t="e">
        <f t="shared" ca="1" si="8"/>
        <v>#N/A</v>
      </c>
      <c r="J21" s="133" t="e">
        <f t="shared" ca="1" si="8"/>
        <v>#N/A</v>
      </c>
      <c r="K21" s="133" t="e">
        <f t="shared" ca="1" si="8"/>
        <v>#N/A</v>
      </c>
      <c r="L21" s="133" t="e">
        <f t="shared" ca="1" si="8"/>
        <v>#N/A</v>
      </c>
      <c r="M21" s="133" t="e">
        <f t="shared" ca="1" si="8"/>
        <v>#N/A</v>
      </c>
      <c r="N21" s="133" t="e">
        <f t="shared" ca="1" si="8"/>
        <v>#N/A</v>
      </c>
      <c r="O21" s="133" t="e">
        <f t="shared" ca="1" si="8"/>
        <v>#N/A</v>
      </c>
      <c r="P21" s="133" t="e">
        <f t="shared" ca="1" si="8"/>
        <v>#N/A</v>
      </c>
      <c r="Q21" s="133" t="e">
        <f t="shared" ca="1" si="8"/>
        <v>#N/A</v>
      </c>
      <c r="R21" s="133" t="e">
        <f t="shared" ca="1" si="8"/>
        <v>#N/A</v>
      </c>
      <c r="S21" s="133" t="e">
        <f t="shared" ca="1" si="8"/>
        <v>#N/A</v>
      </c>
      <c r="T21" s="133" t="e">
        <f t="shared" ca="1" si="8"/>
        <v>#N/A</v>
      </c>
      <c r="U21" s="133" t="e">
        <f t="shared" ca="1" si="8"/>
        <v>#N/A</v>
      </c>
      <c r="V21" s="133" t="e">
        <f t="shared" ca="1" si="8"/>
        <v>#N/A</v>
      </c>
      <c r="W21" s="133" t="e">
        <f ca="1">IF(W16&lt;0,0,IF(W18&gt;W16,-W16,-W18))</f>
        <v>#N/A</v>
      </c>
      <c r="X21" s="133" t="e">
        <f t="shared" ref="X21:AF21" ca="1" si="9">IF(X16&lt;0,0,IF(X18&gt;X16,-X16,-X18))</f>
        <v>#N/A</v>
      </c>
      <c r="Y21" s="133" t="e">
        <f t="shared" ca="1" si="9"/>
        <v>#N/A</v>
      </c>
      <c r="Z21" s="133" t="e">
        <f t="shared" ca="1" si="9"/>
        <v>#N/A</v>
      </c>
      <c r="AA21" s="133" t="e">
        <f t="shared" ca="1" si="9"/>
        <v>#N/A</v>
      </c>
      <c r="AB21" s="133" t="e">
        <f t="shared" ca="1" si="9"/>
        <v>#N/A</v>
      </c>
      <c r="AC21" s="133" t="e">
        <f t="shared" ca="1" si="9"/>
        <v>#N/A</v>
      </c>
      <c r="AD21" s="133" t="e">
        <f t="shared" ca="1" si="9"/>
        <v>#N/A</v>
      </c>
      <c r="AE21" s="133" t="e">
        <f t="shared" ca="1" si="9"/>
        <v>#N/A</v>
      </c>
      <c r="AF21" s="133" t="e">
        <f t="shared" ca="1" si="9"/>
        <v>#N/A</v>
      </c>
    </row>
    <row r="22" spans="1:32">
      <c r="A22" s="13" t="s">
        <v>76</v>
      </c>
      <c r="B22" s="133" t="e">
        <f t="shared" ref="B22:AF22" ca="1" si="10">SUM(B18:B21)</f>
        <v>#N/A</v>
      </c>
      <c r="C22" s="133" t="e">
        <f t="shared" ca="1" si="10"/>
        <v>#N/A</v>
      </c>
      <c r="D22" s="133" t="e">
        <f t="shared" ca="1" si="10"/>
        <v>#N/A</v>
      </c>
      <c r="E22" s="133" t="e">
        <f t="shared" ca="1" si="10"/>
        <v>#N/A</v>
      </c>
      <c r="F22" s="133" t="e">
        <f t="shared" ca="1" si="10"/>
        <v>#N/A</v>
      </c>
      <c r="G22" s="133" t="e">
        <f t="shared" ca="1" si="10"/>
        <v>#N/A</v>
      </c>
      <c r="H22" s="133" t="e">
        <f t="shared" ca="1" si="10"/>
        <v>#N/A</v>
      </c>
      <c r="I22" s="133" t="e">
        <f t="shared" ca="1" si="10"/>
        <v>#N/A</v>
      </c>
      <c r="J22" s="133" t="e">
        <f t="shared" ca="1" si="10"/>
        <v>#N/A</v>
      </c>
      <c r="K22" s="133" t="e">
        <f t="shared" ca="1" si="10"/>
        <v>#N/A</v>
      </c>
      <c r="L22" s="133" t="e">
        <f t="shared" ca="1" si="10"/>
        <v>#N/A</v>
      </c>
      <c r="M22" s="133" t="e">
        <f t="shared" ca="1" si="10"/>
        <v>#N/A</v>
      </c>
      <c r="N22" s="133" t="e">
        <f t="shared" ca="1" si="10"/>
        <v>#N/A</v>
      </c>
      <c r="O22" s="133" t="e">
        <f t="shared" ca="1" si="10"/>
        <v>#N/A</v>
      </c>
      <c r="P22" s="133" t="e">
        <f t="shared" ca="1" si="10"/>
        <v>#N/A</v>
      </c>
      <c r="Q22" s="133" t="e">
        <f t="shared" ca="1" si="10"/>
        <v>#N/A</v>
      </c>
      <c r="R22" s="133" t="e">
        <f t="shared" ca="1" si="10"/>
        <v>#N/A</v>
      </c>
      <c r="S22" s="133" t="e">
        <f t="shared" ca="1" si="10"/>
        <v>#N/A</v>
      </c>
      <c r="T22" s="133" t="e">
        <f t="shared" ca="1" si="10"/>
        <v>#N/A</v>
      </c>
      <c r="U22" s="133" t="e">
        <f t="shared" ca="1" si="10"/>
        <v>#N/A</v>
      </c>
      <c r="V22" s="133" t="e">
        <f t="shared" ca="1" si="10"/>
        <v>#N/A</v>
      </c>
      <c r="W22" s="133" t="e">
        <f t="shared" ca="1" si="10"/>
        <v>#N/A</v>
      </c>
      <c r="X22" s="133" t="e">
        <f t="shared" ca="1" si="10"/>
        <v>#N/A</v>
      </c>
      <c r="Y22" s="133" t="e">
        <f t="shared" ca="1" si="10"/>
        <v>#N/A</v>
      </c>
      <c r="Z22" s="133" t="e">
        <f t="shared" ca="1" si="10"/>
        <v>#N/A</v>
      </c>
      <c r="AA22" s="133" t="e">
        <f t="shared" ca="1" si="10"/>
        <v>#N/A</v>
      </c>
      <c r="AB22" s="133" t="e">
        <f t="shared" ca="1" si="10"/>
        <v>#N/A</v>
      </c>
      <c r="AC22" s="133" t="e">
        <f t="shared" ca="1" si="10"/>
        <v>#N/A</v>
      </c>
      <c r="AD22" s="133" t="e">
        <f t="shared" ca="1" si="10"/>
        <v>#N/A</v>
      </c>
      <c r="AE22" s="133" t="e">
        <f t="shared" ca="1" si="10"/>
        <v>#N/A</v>
      </c>
      <c r="AF22" s="133" t="e">
        <f t="shared" ca="1" si="10"/>
        <v>#N/A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214</v>
      </c>
      <c r="B24" s="137" t="e">
        <f ca="1">IF(B13&lt;0,0,B21+B16)</f>
        <v>#N/A</v>
      </c>
      <c r="C24" s="137" t="e">
        <f t="shared" ref="C24:AF24" ca="1" si="11">IF(C13&lt;0,0,C21+C16)</f>
        <v>#N/A</v>
      </c>
      <c r="D24" s="137" t="e">
        <f t="shared" ca="1" si="11"/>
        <v>#N/A</v>
      </c>
      <c r="E24" s="137" t="e">
        <f t="shared" ca="1" si="11"/>
        <v>#N/A</v>
      </c>
      <c r="F24" s="137" t="e">
        <f t="shared" ca="1" si="11"/>
        <v>#N/A</v>
      </c>
      <c r="G24" s="137" t="e">
        <f t="shared" ca="1" si="11"/>
        <v>#N/A</v>
      </c>
      <c r="H24" s="137" t="e">
        <f t="shared" ca="1" si="11"/>
        <v>#N/A</v>
      </c>
      <c r="I24" s="137" t="e">
        <f t="shared" ca="1" si="11"/>
        <v>#N/A</v>
      </c>
      <c r="J24" s="137" t="e">
        <f t="shared" ca="1" si="11"/>
        <v>#N/A</v>
      </c>
      <c r="K24" s="137" t="e">
        <f t="shared" ca="1" si="11"/>
        <v>#N/A</v>
      </c>
      <c r="L24" s="137" t="e">
        <f t="shared" ca="1" si="11"/>
        <v>#N/A</v>
      </c>
      <c r="M24" s="137" t="e">
        <f t="shared" ca="1" si="11"/>
        <v>#N/A</v>
      </c>
      <c r="N24" s="137" t="e">
        <f t="shared" ca="1" si="11"/>
        <v>#N/A</v>
      </c>
      <c r="O24" s="137" t="e">
        <f t="shared" ca="1" si="11"/>
        <v>#N/A</v>
      </c>
      <c r="P24" s="137" t="e">
        <f t="shared" ca="1" si="11"/>
        <v>#N/A</v>
      </c>
      <c r="Q24" s="137" t="e">
        <f t="shared" ca="1" si="11"/>
        <v>#N/A</v>
      </c>
      <c r="R24" s="137" t="e">
        <f t="shared" ca="1" si="11"/>
        <v>#N/A</v>
      </c>
      <c r="S24" s="137" t="e">
        <f t="shared" ca="1" si="11"/>
        <v>#N/A</v>
      </c>
      <c r="T24" s="137" t="e">
        <f t="shared" ca="1" si="11"/>
        <v>#N/A</v>
      </c>
      <c r="U24" s="137" t="e">
        <f t="shared" ca="1" si="11"/>
        <v>#N/A</v>
      </c>
      <c r="V24" s="137" t="e">
        <f t="shared" ca="1" si="11"/>
        <v>#N/A</v>
      </c>
      <c r="W24" s="137" t="e">
        <f t="shared" ca="1" si="11"/>
        <v>#N/A</v>
      </c>
      <c r="X24" s="137" t="e">
        <f t="shared" ca="1" si="11"/>
        <v>#N/A</v>
      </c>
      <c r="Y24" s="137" t="e">
        <f t="shared" ca="1" si="11"/>
        <v>#N/A</v>
      </c>
      <c r="Z24" s="137" t="e">
        <f t="shared" ca="1" si="11"/>
        <v>#N/A</v>
      </c>
      <c r="AA24" s="137" t="e">
        <f t="shared" ca="1" si="11"/>
        <v>#N/A</v>
      </c>
      <c r="AB24" s="137" t="e">
        <f t="shared" ca="1" si="11"/>
        <v>#N/A</v>
      </c>
      <c r="AC24" s="137" t="e">
        <f t="shared" ca="1" si="11"/>
        <v>#N/A</v>
      </c>
      <c r="AD24" s="137" t="e">
        <f t="shared" ca="1" si="11"/>
        <v>#N/A</v>
      </c>
      <c r="AE24" s="137" t="e">
        <f t="shared" ca="1" si="11"/>
        <v>#N/A</v>
      </c>
      <c r="AF24" s="137" t="e">
        <f t="shared" ca="1" si="11"/>
        <v>#N/A</v>
      </c>
    </row>
    <row r="25" spans="1:32">
      <c r="A25" s="43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9" t="s">
        <v>77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72</v>
      </c>
      <c r="B28" s="19" t="e">
        <f ca="1">B13</f>
        <v>#N/A</v>
      </c>
      <c r="C28" s="19" t="e">
        <f t="shared" ref="C28:AF28" ca="1" si="12">C13</f>
        <v>#N/A</v>
      </c>
      <c r="D28" s="19" t="e">
        <f t="shared" ca="1" si="12"/>
        <v>#N/A</v>
      </c>
      <c r="E28" s="19" t="e">
        <f t="shared" ca="1" si="12"/>
        <v>#N/A</v>
      </c>
      <c r="F28" s="19" t="e">
        <f t="shared" ca="1" si="12"/>
        <v>#N/A</v>
      </c>
      <c r="G28" s="19" t="e">
        <f t="shared" ca="1" si="12"/>
        <v>#N/A</v>
      </c>
      <c r="H28" s="19" t="e">
        <f t="shared" ca="1" si="12"/>
        <v>#N/A</v>
      </c>
      <c r="I28" s="19" t="e">
        <f t="shared" ca="1" si="12"/>
        <v>#N/A</v>
      </c>
      <c r="J28" s="19" t="e">
        <f t="shared" ca="1" si="12"/>
        <v>#N/A</v>
      </c>
      <c r="K28" s="19" t="e">
        <f t="shared" ca="1" si="12"/>
        <v>#N/A</v>
      </c>
      <c r="L28" s="19" t="e">
        <f t="shared" ca="1" si="12"/>
        <v>#N/A</v>
      </c>
      <c r="M28" s="19" t="e">
        <f t="shared" ca="1" si="12"/>
        <v>#N/A</v>
      </c>
      <c r="N28" s="19" t="e">
        <f t="shared" ca="1" si="12"/>
        <v>#N/A</v>
      </c>
      <c r="O28" s="19" t="e">
        <f t="shared" ca="1" si="12"/>
        <v>#N/A</v>
      </c>
      <c r="P28" s="19" t="e">
        <f t="shared" ca="1" si="12"/>
        <v>#N/A</v>
      </c>
      <c r="Q28" s="19" t="e">
        <f t="shared" ca="1" si="12"/>
        <v>#N/A</v>
      </c>
      <c r="R28" s="19" t="e">
        <f t="shared" ca="1" si="12"/>
        <v>#N/A</v>
      </c>
      <c r="S28" s="19" t="e">
        <f t="shared" ca="1" si="12"/>
        <v>#N/A</v>
      </c>
      <c r="T28" s="19" t="e">
        <f t="shared" ca="1" si="12"/>
        <v>#N/A</v>
      </c>
      <c r="U28" s="19" t="e">
        <f t="shared" ca="1" si="12"/>
        <v>#N/A</v>
      </c>
      <c r="V28" s="19" t="e">
        <f t="shared" ca="1" si="12"/>
        <v>#N/A</v>
      </c>
      <c r="W28" s="19" t="e">
        <f t="shared" ca="1" si="12"/>
        <v>#N/A</v>
      </c>
      <c r="X28" s="19" t="e">
        <f t="shared" ca="1" si="12"/>
        <v>#N/A</v>
      </c>
      <c r="Y28" s="19" t="e">
        <f t="shared" ca="1" si="12"/>
        <v>#N/A</v>
      </c>
      <c r="Z28" s="19" t="e">
        <f t="shared" ca="1" si="12"/>
        <v>#N/A</v>
      </c>
      <c r="AA28" s="19" t="e">
        <f t="shared" ca="1" si="12"/>
        <v>#N/A</v>
      </c>
      <c r="AB28" s="19" t="e">
        <f t="shared" ca="1" si="12"/>
        <v>#N/A</v>
      </c>
      <c r="AC28" s="19" t="e">
        <f t="shared" ca="1" si="12"/>
        <v>#N/A</v>
      </c>
      <c r="AD28" s="19" t="e">
        <f t="shared" ca="1" si="12"/>
        <v>#N/A</v>
      </c>
      <c r="AE28" s="19" t="e">
        <f t="shared" ca="1" si="12"/>
        <v>#N/A</v>
      </c>
      <c r="AF28" s="19" t="e">
        <f t="shared" ca="1" si="12"/>
        <v>#N/A</v>
      </c>
    </row>
    <row r="29" spans="1:32" ht="15">
      <c r="A29" s="21" t="s">
        <v>78</v>
      </c>
      <c r="B29" s="135" t="e">
        <f ca="1">-B24</f>
        <v>#N/A</v>
      </c>
      <c r="C29" s="135" t="e">
        <f t="shared" ref="C29:AF29" ca="1" si="13">-C24</f>
        <v>#N/A</v>
      </c>
      <c r="D29" s="135" t="e">
        <f t="shared" ca="1" si="13"/>
        <v>#N/A</v>
      </c>
      <c r="E29" s="135" t="e">
        <f t="shared" ca="1" si="13"/>
        <v>#N/A</v>
      </c>
      <c r="F29" s="135" t="e">
        <f t="shared" ca="1" si="13"/>
        <v>#N/A</v>
      </c>
      <c r="G29" s="135" t="e">
        <f t="shared" ca="1" si="13"/>
        <v>#N/A</v>
      </c>
      <c r="H29" s="135" t="e">
        <f t="shared" ca="1" si="13"/>
        <v>#N/A</v>
      </c>
      <c r="I29" s="135" t="e">
        <f t="shared" ca="1" si="13"/>
        <v>#N/A</v>
      </c>
      <c r="J29" s="135" t="e">
        <f t="shared" ca="1" si="13"/>
        <v>#N/A</v>
      </c>
      <c r="K29" s="135" t="e">
        <f t="shared" ca="1" si="13"/>
        <v>#N/A</v>
      </c>
      <c r="L29" s="135" t="e">
        <f t="shared" ca="1" si="13"/>
        <v>#N/A</v>
      </c>
      <c r="M29" s="135" t="e">
        <f t="shared" ca="1" si="13"/>
        <v>#N/A</v>
      </c>
      <c r="N29" s="135" t="e">
        <f t="shared" ca="1" si="13"/>
        <v>#N/A</v>
      </c>
      <c r="O29" s="135" t="e">
        <f t="shared" ca="1" si="13"/>
        <v>#N/A</v>
      </c>
      <c r="P29" s="135" t="e">
        <f t="shared" ca="1" si="13"/>
        <v>#N/A</v>
      </c>
      <c r="Q29" s="135" t="e">
        <f t="shared" ca="1" si="13"/>
        <v>#N/A</v>
      </c>
      <c r="R29" s="135" t="e">
        <f t="shared" ca="1" si="13"/>
        <v>#N/A</v>
      </c>
      <c r="S29" s="135" t="e">
        <f t="shared" ca="1" si="13"/>
        <v>#N/A</v>
      </c>
      <c r="T29" s="135" t="e">
        <f t="shared" ca="1" si="13"/>
        <v>#N/A</v>
      </c>
      <c r="U29" s="135" t="e">
        <f t="shared" ca="1" si="13"/>
        <v>#N/A</v>
      </c>
      <c r="V29" s="135" t="e">
        <f t="shared" ca="1" si="13"/>
        <v>#N/A</v>
      </c>
      <c r="W29" s="135" t="e">
        <f t="shared" ca="1" si="13"/>
        <v>#N/A</v>
      </c>
      <c r="X29" s="135" t="e">
        <f t="shared" ca="1" si="13"/>
        <v>#N/A</v>
      </c>
      <c r="Y29" s="135" t="e">
        <f t="shared" ca="1" si="13"/>
        <v>#N/A</v>
      </c>
      <c r="Z29" s="135" t="e">
        <f t="shared" ca="1" si="13"/>
        <v>#N/A</v>
      </c>
      <c r="AA29" s="135" t="e">
        <f t="shared" ca="1" si="13"/>
        <v>#N/A</v>
      </c>
      <c r="AB29" s="135" t="e">
        <f t="shared" ca="1" si="13"/>
        <v>#N/A</v>
      </c>
      <c r="AC29" s="135" t="e">
        <f t="shared" ca="1" si="13"/>
        <v>#N/A</v>
      </c>
      <c r="AD29" s="135" t="e">
        <f t="shared" ca="1" si="13"/>
        <v>#N/A</v>
      </c>
      <c r="AE29" s="135" t="e">
        <f t="shared" ca="1" si="13"/>
        <v>#N/A</v>
      </c>
      <c r="AF29" s="135" t="e">
        <f t="shared" ca="1" si="13"/>
        <v>#N/A</v>
      </c>
    </row>
    <row r="30" spans="1:32">
      <c r="A30" s="130" t="s">
        <v>213</v>
      </c>
      <c r="B30" s="44" t="e">
        <f t="shared" ref="B30:AF30" ca="1" si="14">SUM(B28:B29)</f>
        <v>#N/A</v>
      </c>
      <c r="C30" s="44" t="e">
        <f t="shared" ca="1" si="14"/>
        <v>#N/A</v>
      </c>
      <c r="D30" s="44" t="e">
        <f t="shared" ca="1" si="14"/>
        <v>#N/A</v>
      </c>
      <c r="E30" s="44" t="e">
        <f t="shared" ca="1" si="14"/>
        <v>#N/A</v>
      </c>
      <c r="F30" s="44" t="e">
        <f t="shared" ca="1" si="14"/>
        <v>#N/A</v>
      </c>
      <c r="G30" s="44" t="e">
        <f t="shared" ca="1" si="14"/>
        <v>#N/A</v>
      </c>
      <c r="H30" s="44" t="e">
        <f t="shared" ca="1" si="14"/>
        <v>#N/A</v>
      </c>
      <c r="I30" s="44" t="e">
        <f t="shared" ca="1" si="14"/>
        <v>#N/A</v>
      </c>
      <c r="J30" s="44" t="e">
        <f t="shared" ca="1" si="14"/>
        <v>#N/A</v>
      </c>
      <c r="K30" s="44" t="e">
        <f t="shared" ca="1" si="14"/>
        <v>#N/A</v>
      </c>
      <c r="L30" s="44" t="e">
        <f t="shared" ca="1" si="14"/>
        <v>#N/A</v>
      </c>
      <c r="M30" s="44" t="e">
        <f t="shared" ca="1" si="14"/>
        <v>#N/A</v>
      </c>
      <c r="N30" s="44" t="e">
        <f t="shared" ca="1" si="14"/>
        <v>#N/A</v>
      </c>
      <c r="O30" s="44" t="e">
        <f t="shared" ca="1" si="14"/>
        <v>#N/A</v>
      </c>
      <c r="P30" s="44" t="e">
        <f t="shared" ca="1" si="14"/>
        <v>#N/A</v>
      </c>
      <c r="Q30" s="44" t="e">
        <f t="shared" ca="1" si="14"/>
        <v>#N/A</v>
      </c>
      <c r="R30" s="44" t="e">
        <f t="shared" ca="1" si="14"/>
        <v>#N/A</v>
      </c>
      <c r="S30" s="44" t="e">
        <f t="shared" ca="1" si="14"/>
        <v>#N/A</v>
      </c>
      <c r="T30" s="44" t="e">
        <f t="shared" ca="1" si="14"/>
        <v>#N/A</v>
      </c>
      <c r="U30" s="44" t="e">
        <f t="shared" ca="1" si="14"/>
        <v>#N/A</v>
      </c>
      <c r="V30" s="44" t="e">
        <f t="shared" ca="1" si="14"/>
        <v>#N/A</v>
      </c>
      <c r="W30" s="44" t="e">
        <f t="shared" ca="1" si="14"/>
        <v>#N/A</v>
      </c>
      <c r="X30" s="44" t="e">
        <f t="shared" ca="1" si="14"/>
        <v>#N/A</v>
      </c>
      <c r="Y30" s="44" t="e">
        <f t="shared" ca="1" si="14"/>
        <v>#N/A</v>
      </c>
      <c r="Z30" s="44" t="e">
        <f t="shared" ca="1" si="14"/>
        <v>#N/A</v>
      </c>
      <c r="AA30" s="44" t="e">
        <f t="shared" ca="1" si="14"/>
        <v>#N/A</v>
      </c>
      <c r="AB30" s="44" t="e">
        <f t="shared" ca="1" si="14"/>
        <v>#N/A</v>
      </c>
      <c r="AC30" s="44" t="e">
        <f t="shared" ca="1" si="14"/>
        <v>#N/A</v>
      </c>
      <c r="AD30" s="44" t="e">
        <f t="shared" ca="1" si="14"/>
        <v>#N/A</v>
      </c>
      <c r="AE30" s="44" t="e">
        <f t="shared" ca="1" si="14"/>
        <v>#N/A</v>
      </c>
      <c r="AF30" s="44" t="e">
        <f t="shared" ca="1" si="14"/>
        <v>#N/A</v>
      </c>
    </row>
    <row r="31" spans="1:32">
      <c r="A31" s="130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79</v>
      </c>
      <c r="B32" s="136">
        <f>Assumptions!$N$50</f>
        <v>0.35</v>
      </c>
      <c r="C32" s="136">
        <f>Assumptions!$N$50</f>
        <v>0.35</v>
      </c>
      <c r="D32" s="136">
        <f>Assumptions!$N$50</f>
        <v>0.35</v>
      </c>
      <c r="E32" s="136">
        <f>Assumptions!$N$50</f>
        <v>0.35</v>
      </c>
      <c r="F32" s="136">
        <f>Assumptions!$N$50</f>
        <v>0.35</v>
      </c>
      <c r="G32" s="136">
        <f>Assumptions!$N$50</f>
        <v>0.35</v>
      </c>
      <c r="H32" s="136">
        <f>Assumptions!$N$50</f>
        <v>0.35</v>
      </c>
      <c r="I32" s="136">
        <f>Assumptions!$N$50</f>
        <v>0.35</v>
      </c>
      <c r="J32" s="136">
        <f>Assumptions!$N$50</f>
        <v>0.35</v>
      </c>
      <c r="K32" s="136">
        <f>Assumptions!$N$50</f>
        <v>0.35</v>
      </c>
      <c r="L32" s="136">
        <f>Assumptions!$N$50</f>
        <v>0.35</v>
      </c>
      <c r="M32" s="136">
        <f>Assumptions!$N$50</f>
        <v>0.35</v>
      </c>
      <c r="N32" s="136">
        <f>Assumptions!$N$50</f>
        <v>0.35</v>
      </c>
      <c r="O32" s="136">
        <f>Assumptions!$N$50</f>
        <v>0.35</v>
      </c>
      <c r="P32" s="136">
        <f>Assumptions!$N$50</f>
        <v>0.35</v>
      </c>
      <c r="Q32" s="136">
        <f>Assumptions!$N$50</f>
        <v>0.35</v>
      </c>
      <c r="R32" s="136">
        <f>Assumptions!$N$50</f>
        <v>0.35</v>
      </c>
      <c r="S32" s="136">
        <f>Assumptions!$N$50</f>
        <v>0.35</v>
      </c>
      <c r="T32" s="136">
        <f>Assumptions!$N$50</f>
        <v>0.35</v>
      </c>
      <c r="U32" s="136">
        <f>Assumptions!$N$50</f>
        <v>0.35</v>
      </c>
      <c r="V32" s="136">
        <f>Assumptions!$N$50</f>
        <v>0.35</v>
      </c>
      <c r="W32" s="136">
        <f>Assumptions!$N$50</f>
        <v>0.35</v>
      </c>
      <c r="X32" s="136">
        <f>Assumptions!$N$50</f>
        <v>0.35</v>
      </c>
      <c r="Y32" s="136">
        <f>Assumptions!$N$50</f>
        <v>0.35</v>
      </c>
      <c r="Z32" s="136">
        <f>Assumptions!$N$50</f>
        <v>0.35</v>
      </c>
      <c r="AA32" s="136">
        <f>Assumptions!$N$50</f>
        <v>0.35</v>
      </c>
      <c r="AB32" s="136">
        <f>Assumptions!$N$50</f>
        <v>0.35</v>
      </c>
      <c r="AC32" s="136">
        <f>Assumptions!$N$50</f>
        <v>0.35</v>
      </c>
      <c r="AD32" s="136">
        <f>Assumptions!$N$50</f>
        <v>0.35</v>
      </c>
      <c r="AE32" s="136">
        <f>Assumptions!$N$50</f>
        <v>0.35</v>
      </c>
      <c r="AF32" s="136">
        <f>Assumptions!$N$50</f>
        <v>0.35</v>
      </c>
    </row>
    <row r="33" spans="1:32">
      <c r="A33" s="21" t="s">
        <v>80</v>
      </c>
      <c r="B33" s="19" t="e">
        <f ca="1">B30*B32</f>
        <v>#N/A</v>
      </c>
      <c r="C33" s="19" t="e">
        <f t="shared" ref="C33:W33" ca="1" si="15">C30*C32</f>
        <v>#N/A</v>
      </c>
      <c r="D33" s="19" t="e">
        <f t="shared" ca="1" si="15"/>
        <v>#N/A</v>
      </c>
      <c r="E33" s="19" t="e">
        <f t="shared" ca="1" si="15"/>
        <v>#N/A</v>
      </c>
      <c r="F33" s="19" t="e">
        <f t="shared" ca="1" si="15"/>
        <v>#N/A</v>
      </c>
      <c r="G33" s="19" t="e">
        <f t="shared" ca="1" si="15"/>
        <v>#N/A</v>
      </c>
      <c r="H33" s="19" t="e">
        <f t="shared" ca="1" si="15"/>
        <v>#N/A</v>
      </c>
      <c r="I33" s="19" t="e">
        <f t="shared" ca="1" si="15"/>
        <v>#N/A</v>
      </c>
      <c r="J33" s="19" t="e">
        <f t="shared" ca="1" si="15"/>
        <v>#N/A</v>
      </c>
      <c r="K33" s="19" t="e">
        <f t="shared" ca="1" si="15"/>
        <v>#N/A</v>
      </c>
      <c r="L33" s="19" t="e">
        <f t="shared" ca="1" si="15"/>
        <v>#N/A</v>
      </c>
      <c r="M33" s="19" t="e">
        <f t="shared" ca="1" si="15"/>
        <v>#N/A</v>
      </c>
      <c r="N33" s="19" t="e">
        <f t="shared" ca="1" si="15"/>
        <v>#N/A</v>
      </c>
      <c r="O33" s="19" t="e">
        <f t="shared" ca="1" si="15"/>
        <v>#N/A</v>
      </c>
      <c r="P33" s="19" t="e">
        <f t="shared" ca="1" si="15"/>
        <v>#N/A</v>
      </c>
      <c r="Q33" s="19" t="e">
        <f t="shared" ca="1" si="15"/>
        <v>#N/A</v>
      </c>
      <c r="R33" s="19" t="e">
        <f t="shared" ca="1" si="15"/>
        <v>#N/A</v>
      </c>
      <c r="S33" s="19" t="e">
        <f t="shared" ca="1" si="15"/>
        <v>#N/A</v>
      </c>
      <c r="T33" s="19" t="e">
        <f t="shared" ca="1" si="15"/>
        <v>#N/A</v>
      </c>
      <c r="U33" s="19" t="e">
        <f t="shared" ca="1" si="15"/>
        <v>#N/A</v>
      </c>
      <c r="V33" s="19" t="e">
        <f t="shared" ca="1" si="15"/>
        <v>#N/A</v>
      </c>
      <c r="W33" s="19" t="e">
        <f t="shared" ca="1" si="15"/>
        <v>#N/A</v>
      </c>
      <c r="X33" s="19" t="e">
        <f t="shared" ref="X33:AF33" ca="1" si="16">X30*X32</f>
        <v>#N/A</v>
      </c>
      <c r="Y33" s="19" t="e">
        <f t="shared" ca="1" si="16"/>
        <v>#N/A</v>
      </c>
      <c r="Z33" s="19" t="e">
        <f t="shared" ca="1" si="16"/>
        <v>#N/A</v>
      </c>
      <c r="AA33" s="19" t="e">
        <f t="shared" ca="1" si="16"/>
        <v>#N/A</v>
      </c>
      <c r="AB33" s="19" t="e">
        <f t="shared" ca="1" si="16"/>
        <v>#N/A</v>
      </c>
      <c r="AC33" s="19" t="e">
        <f t="shared" ca="1" si="16"/>
        <v>#N/A</v>
      </c>
      <c r="AD33" s="19" t="e">
        <f t="shared" ca="1" si="16"/>
        <v>#N/A</v>
      </c>
      <c r="AE33" s="19" t="e">
        <f t="shared" ca="1" si="16"/>
        <v>#N/A</v>
      </c>
      <c r="AF33" s="19" t="e">
        <f t="shared" ca="1" si="16"/>
        <v>#N/A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74</v>
      </c>
      <c r="B35" s="19">
        <v>0</v>
      </c>
      <c r="C35" s="19" t="e">
        <f t="shared" ref="C35:S35" ca="1" si="17">B39</f>
        <v>#N/A</v>
      </c>
      <c r="D35" s="19" t="e">
        <f t="shared" ca="1" si="17"/>
        <v>#N/A</v>
      </c>
      <c r="E35" s="19" t="e">
        <f t="shared" ca="1" si="17"/>
        <v>#N/A</v>
      </c>
      <c r="F35" s="19" t="e">
        <f t="shared" ca="1" si="17"/>
        <v>#N/A</v>
      </c>
      <c r="G35" s="19" t="e">
        <f t="shared" ca="1" si="17"/>
        <v>#N/A</v>
      </c>
      <c r="H35" s="19" t="e">
        <f t="shared" ca="1" si="17"/>
        <v>#N/A</v>
      </c>
      <c r="I35" s="19" t="e">
        <f t="shared" ca="1" si="17"/>
        <v>#N/A</v>
      </c>
      <c r="J35" s="19" t="e">
        <f t="shared" ca="1" si="17"/>
        <v>#N/A</v>
      </c>
      <c r="K35" s="19" t="e">
        <f t="shared" ca="1" si="17"/>
        <v>#N/A</v>
      </c>
      <c r="L35" s="19" t="e">
        <f t="shared" ca="1" si="17"/>
        <v>#N/A</v>
      </c>
      <c r="M35" s="19" t="e">
        <f t="shared" ca="1" si="17"/>
        <v>#N/A</v>
      </c>
      <c r="N35" s="19" t="e">
        <f t="shared" ca="1" si="17"/>
        <v>#N/A</v>
      </c>
      <c r="O35" s="19" t="e">
        <f t="shared" ca="1" si="17"/>
        <v>#N/A</v>
      </c>
      <c r="P35" s="19" t="e">
        <f t="shared" ca="1" si="17"/>
        <v>#N/A</v>
      </c>
      <c r="Q35" s="19" t="e">
        <f t="shared" ca="1" si="17"/>
        <v>#N/A</v>
      </c>
      <c r="R35" s="19" t="e">
        <f t="shared" ca="1" si="17"/>
        <v>#N/A</v>
      </c>
      <c r="S35" s="19" t="e">
        <f t="shared" ca="1" si="17"/>
        <v>#N/A</v>
      </c>
      <c r="T35" s="19">
        <v>0</v>
      </c>
      <c r="U35" s="19" t="e">
        <f t="shared" ref="U35:AF35" ca="1" si="18">T39</f>
        <v>#N/A</v>
      </c>
      <c r="V35" s="19" t="e">
        <f t="shared" ca="1" si="18"/>
        <v>#N/A</v>
      </c>
      <c r="W35" s="19" t="e">
        <f t="shared" ca="1" si="18"/>
        <v>#N/A</v>
      </c>
      <c r="X35" s="19" t="e">
        <f t="shared" ca="1" si="18"/>
        <v>#N/A</v>
      </c>
      <c r="Y35" s="19" t="e">
        <f t="shared" ca="1" si="18"/>
        <v>#N/A</v>
      </c>
      <c r="Z35" s="19" t="e">
        <f t="shared" ca="1" si="18"/>
        <v>#N/A</v>
      </c>
      <c r="AA35" s="19" t="e">
        <f t="shared" ca="1" si="18"/>
        <v>#N/A</v>
      </c>
      <c r="AB35" s="19" t="e">
        <f t="shared" ca="1" si="18"/>
        <v>#N/A</v>
      </c>
      <c r="AC35" s="19" t="e">
        <f t="shared" ca="1" si="18"/>
        <v>#N/A</v>
      </c>
      <c r="AD35" s="19" t="e">
        <f t="shared" ca="1" si="18"/>
        <v>#N/A</v>
      </c>
      <c r="AE35" s="19" t="e">
        <f t="shared" ca="1" si="18"/>
        <v>#N/A</v>
      </c>
      <c r="AF35" s="19" t="e">
        <f t="shared" ca="1" si="18"/>
        <v>#N/A</v>
      </c>
    </row>
    <row r="36" spans="1:32">
      <c r="A36" s="21" t="s">
        <v>75</v>
      </c>
      <c r="B36" s="140" t="e">
        <f ca="1">IF(B33&lt;0,-B33,0)</f>
        <v>#N/A</v>
      </c>
      <c r="C36" s="140" t="e">
        <f t="shared" ref="C36:AF36" ca="1" si="19">IF(C33&lt;0,-C33,0)</f>
        <v>#N/A</v>
      </c>
      <c r="D36" s="140" t="e">
        <f t="shared" ca="1" si="19"/>
        <v>#N/A</v>
      </c>
      <c r="E36" s="140" t="e">
        <f t="shared" ca="1" si="19"/>
        <v>#N/A</v>
      </c>
      <c r="F36" s="140" t="e">
        <f t="shared" ca="1" si="19"/>
        <v>#N/A</v>
      </c>
      <c r="G36" s="140" t="e">
        <f t="shared" ca="1" si="19"/>
        <v>#N/A</v>
      </c>
      <c r="H36" s="140" t="e">
        <f t="shared" ca="1" si="19"/>
        <v>#N/A</v>
      </c>
      <c r="I36" s="140" t="e">
        <f t="shared" ca="1" si="19"/>
        <v>#N/A</v>
      </c>
      <c r="J36" s="140" t="e">
        <f t="shared" ca="1" si="19"/>
        <v>#N/A</v>
      </c>
      <c r="K36" s="140" t="e">
        <f t="shared" ca="1" si="19"/>
        <v>#N/A</v>
      </c>
      <c r="L36" s="140" t="e">
        <f t="shared" ca="1" si="19"/>
        <v>#N/A</v>
      </c>
      <c r="M36" s="140" t="e">
        <f t="shared" ca="1" si="19"/>
        <v>#N/A</v>
      </c>
      <c r="N36" s="140" t="e">
        <f t="shared" ca="1" si="19"/>
        <v>#N/A</v>
      </c>
      <c r="O36" s="140" t="e">
        <f t="shared" ca="1" si="19"/>
        <v>#N/A</v>
      </c>
      <c r="P36" s="140" t="e">
        <f t="shared" ca="1" si="19"/>
        <v>#N/A</v>
      </c>
      <c r="Q36" s="140" t="e">
        <f t="shared" ca="1" si="19"/>
        <v>#N/A</v>
      </c>
      <c r="R36" s="140" t="e">
        <f t="shared" ca="1" si="19"/>
        <v>#N/A</v>
      </c>
      <c r="S36" s="140" t="e">
        <f t="shared" ca="1" si="19"/>
        <v>#N/A</v>
      </c>
      <c r="T36" s="140" t="e">
        <f t="shared" ca="1" si="19"/>
        <v>#N/A</v>
      </c>
      <c r="U36" s="140" t="e">
        <f t="shared" ca="1" si="19"/>
        <v>#N/A</v>
      </c>
      <c r="V36" s="140" t="e">
        <f t="shared" ca="1" si="19"/>
        <v>#N/A</v>
      </c>
      <c r="W36" s="140" t="e">
        <f t="shared" ca="1" si="19"/>
        <v>#N/A</v>
      </c>
      <c r="X36" s="140" t="e">
        <f t="shared" ca="1" si="19"/>
        <v>#N/A</v>
      </c>
      <c r="Y36" s="140" t="e">
        <f t="shared" ca="1" si="19"/>
        <v>#N/A</v>
      </c>
      <c r="Z36" s="140" t="e">
        <f t="shared" ca="1" si="19"/>
        <v>#N/A</v>
      </c>
      <c r="AA36" s="140" t="e">
        <f t="shared" ca="1" si="19"/>
        <v>#N/A</v>
      </c>
      <c r="AB36" s="140" t="e">
        <f t="shared" ca="1" si="19"/>
        <v>#N/A</v>
      </c>
      <c r="AC36" s="140" t="e">
        <f t="shared" ca="1" si="19"/>
        <v>#N/A</v>
      </c>
      <c r="AD36" s="140" t="e">
        <f t="shared" ca="1" si="19"/>
        <v>#N/A</v>
      </c>
      <c r="AE36" s="140" t="e">
        <f t="shared" ca="1" si="19"/>
        <v>#N/A</v>
      </c>
      <c r="AF36" s="140" t="e">
        <f t="shared" ca="1" si="19"/>
        <v>#N/A</v>
      </c>
    </row>
    <row r="37" spans="1:32">
      <c r="A37" s="13" t="s">
        <v>291</v>
      </c>
      <c r="B37" s="445">
        <v>0</v>
      </c>
      <c r="C37" s="446">
        <v>0</v>
      </c>
      <c r="D37" s="446">
        <v>0</v>
      </c>
      <c r="E37" s="446">
        <v>0</v>
      </c>
      <c r="F37" s="446">
        <v>0</v>
      </c>
      <c r="G37" s="446">
        <v>0</v>
      </c>
      <c r="H37" s="446">
        <v>0</v>
      </c>
      <c r="I37" s="446">
        <v>0</v>
      </c>
      <c r="J37" s="446">
        <v>0</v>
      </c>
      <c r="K37" s="446">
        <v>0</v>
      </c>
      <c r="L37" s="446">
        <v>0</v>
      </c>
      <c r="M37" s="446">
        <v>0</v>
      </c>
      <c r="N37" s="446">
        <v>0</v>
      </c>
      <c r="O37" s="446">
        <v>0</v>
      </c>
      <c r="P37" s="447">
        <v>0</v>
      </c>
      <c r="Q37" s="448" t="e">
        <f ca="1">IF(-SUM(B38:P38, B37:P37)&gt;B36,0,-B36-SUM(B38:P38,B37:P37))</f>
        <v>#N/A</v>
      </c>
      <c r="R37" s="448" t="e">
        <f t="shared" ref="R37:AF37" ca="1" si="20">IF(-SUM(C38:Q38, C37:Q37)&gt;C36,0,-C36-SUM(C38:Q38,C37:Q37))</f>
        <v>#N/A</v>
      </c>
      <c r="S37" s="448" t="e">
        <f t="shared" ca="1" si="20"/>
        <v>#N/A</v>
      </c>
      <c r="T37" s="448" t="e">
        <f t="shared" ca="1" si="20"/>
        <v>#N/A</v>
      </c>
      <c r="U37" s="448" t="e">
        <f t="shared" ca="1" si="20"/>
        <v>#N/A</v>
      </c>
      <c r="V37" s="448" t="e">
        <f t="shared" ca="1" si="20"/>
        <v>#N/A</v>
      </c>
      <c r="W37" s="448" t="e">
        <f t="shared" ca="1" si="20"/>
        <v>#N/A</v>
      </c>
      <c r="X37" s="448" t="e">
        <f t="shared" ca="1" si="20"/>
        <v>#N/A</v>
      </c>
      <c r="Y37" s="448" t="e">
        <f t="shared" ca="1" si="20"/>
        <v>#N/A</v>
      </c>
      <c r="Z37" s="448" t="e">
        <f t="shared" ca="1" si="20"/>
        <v>#N/A</v>
      </c>
      <c r="AA37" s="448" t="e">
        <f t="shared" ca="1" si="20"/>
        <v>#N/A</v>
      </c>
      <c r="AB37" s="448" t="e">
        <f t="shared" ca="1" si="20"/>
        <v>#N/A</v>
      </c>
      <c r="AC37" s="448" t="e">
        <f t="shared" ca="1" si="20"/>
        <v>#N/A</v>
      </c>
      <c r="AD37" s="448" t="e">
        <f t="shared" ca="1" si="20"/>
        <v>#N/A</v>
      </c>
      <c r="AE37" s="448" t="e">
        <f t="shared" ca="1" si="20"/>
        <v>#N/A</v>
      </c>
      <c r="AF37" s="448" t="e">
        <f t="shared" ca="1" si="20"/>
        <v>#N/A</v>
      </c>
    </row>
    <row r="38" spans="1:32">
      <c r="A38" s="13" t="s">
        <v>292</v>
      </c>
      <c r="B38" s="133" t="e">
        <f ca="1">IF(B33&lt;0,0,IF(B35&gt;B33,-B33,-B35))</f>
        <v>#N/A</v>
      </c>
      <c r="C38" s="133" t="e">
        <f t="shared" ref="C38:V38" ca="1" si="21">IF(C33&lt;0,0,IF(C35&gt;C33,-C33,-C35))</f>
        <v>#N/A</v>
      </c>
      <c r="D38" s="133" t="e">
        <f t="shared" ca="1" si="21"/>
        <v>#N/A</v>
      </c>
      <c r="E38" s="133" t="e">
        <f t="shared" ca="1" si="21"/>
        <v>#N/A</v>
      </c>
      <c r="F38" s="133" t="e">
        <f t="shared" ca="1" si="21"/>
        <v>#N/A</v>
      </c>
      <c r="G38" s="133" t="e">
        <f t="shared" ca="1" si="21"/>
        <v>#N/A</v>
      </c>
      <c r="H38" s="133" t="e">
        <f t="shared" ca="1" si="21"/>
        <v>#N/A</v>
      </c>
      <c r="I38" s="133" t="e">
        <f t="shared" ca="1" si="21"/>
        <v>#N/A</v>
      </c>
      <c r="J38" s="133" t="e">
        <f t="shared" ca="1" si="21"/>
        <v>#N/A</v>
      </c>
      <c r="K38" s="133" t="e">
        <f t="shared" ca="1" si="21"/>
        <v>#N/A</v>
      </c>
      <c r="L38" s="133" t="e">
        <f t="shared" ca="1" si="21"/>
        <v>#N/A</v>
      </c>
      <c r="M38" s="133" t="e">
        <f t="shared" ca="1" si="21"/>
        <v>#N/A</v>
      </c>
      <c r="N38" s="133" t="e">
        <f t="shared" ca="1" si="21"/>
        <v>#N/A</v>
      </c>
      <c r="O38" s="133" t="e">
        <f t="shared" ca="1" si="21"/>
        <v>#N/A</v>
      </c>
      <c r="P38" s="133" t="e">
        <f t="shared" ca="1" si="21"/>
        <v>#N/A</v>
      </c>
      <c r="Q38" s="133" t="e">
        <f t="shared" ca="1" si="21"/>
        <v>#N/A</v>
      </c>
      <c r="R38" s="133" t="e">
        <f t="shared" ca="1" si="21"/>
        <v>#N/A</v>
      </c>
      <c r="S38" s="133" t="e">
        <f t="shared" ca="1" si="21"/>
        <v>#N/A</v>
      </c>
      <c r="T38" s="133" t="e">
        <f t="shared" ca="1" si="21"/>
        <v>#N/A</v>
      </c>
      <c r="U38" s="133" t="e">
        <f t="shared" ca="1" si="21"/>
        <v>#N/A</v>
      </c>
      <c r="V38" s="133" t="e">
        <f t="shared" ca="1" si="21"/>
        <v>#N/A</v>
      </c>
      <c r="W38" s="133" t="e">
        <f ca="1">IF(W33&lt;0,0,IF(W35&gt;W33,-W33,-W35))</f>
        <v>#N/A</v>
      </c>
      <c r="X38" s="133" t="e">
        <f t="shared" ref="X38:AF38" ca="1" si="22">IF(X33&lt;0,0,IF(X35&gt;X33,-X33,-X35))</f>
        <v>#N/A</v>
      </c>
      <c r="Y38" s="133" t="e">
        <f t="shared" ca="1" si="22"/>
        <v>#N/A</v>
      </c>
      <c r="Z38" s="133" t="e">
        <f t="shared" ca="1" si="22"/>
        <v>#N/A</v>
      </c>
      <c r="AA38" s="133" t="e">
        <f t="shared" ca="1" si="22"/>
        <v>#N/A</v>
      </c>
      <c r="AB38" s="133" t="e">
        <f t="shared" ca="1" si="22"/>
        <v>#N/A</v>
      </c>
      <c r="AC38" s="133" t="e">
        <f t="shared" ca="1" si="22"/>
        <v>#N/A</v>
      </c>
      <c r="AD38" s="133" t="e">
        <f t="shared" ca="1" si="22"/>
        <v>#N/A</v>
      </c>
      <c r="AE38" s="133" t="e">
        <f t="shared" ca="1" si="22"/>
        <v>#N/A</v>
      </c>
      <c r="AF38" s="133" t="e">
        <f t="shared" ca="1" si="22"/>
        <v>#N/A</v>
      </c>
    </row>
    <row r="39" spans="1:32">
      <c r="A39" s="13" t="s">
        <v>76</v>
      </c>
      <c r="B39" s="133" t="e">
        <f t="shared" ref="B39:AF39" ca="1" si="23">SUM(B35:B38)</f>
        <v>#N/A</v>
      </c>
      <c r="C39" s="133" t="e">
        <f t="shared" ca="1" si="23"/>
        <v>#N/A</v>
      </c>
      <c r="D39" s="133" t="e">
        <f t="shared" ca="1" si="23"/>
        <v>#N/A</v>
      </c>
      <c r="E39" s="133" t="e">
        <f t="shared" ca="1" si="23"/>
        <v>#N/A</v>
      </c>
      <c r="F39" s="133" t="e">
        <f t="shared" ca="1" si="23"/>
        <v>#N/A</v>
      </c>
      <c r="G39" s="133" t="e">
        <f t="shared" ca="1" si="23"/>
        <v>#N/A</v>
      </c>
      <c r="H39" s="133" t="e">
        <f t="shared" ca="1" si="23"/>
        <v>#N/A</v>
      </c>
      <c r="I39" s="133" t="e">
        <f t="shared" ca="1" si="23"/>
        <v>#N/A</v>
      </c>
      <c r="J39" s="133" t="e">
        <f t="shared" ca="1" si="23"/>
        <v>#N/A</v>
      </c>
      <c r="K39" s="133" t="e">
        <f t="shared" ca="1" si="23"/>
        <v>#N/A</v>
      </c>
      <c r="L39" s="133" t="e">
        <f t="shared" ca="1" si="23"/>
        <v>#N/A</v>
      </c>
      <c r="M39" s="133" t="e">
        <f t="shared" ca="1" si="23"/>
        <v>#N/A</v>
      </c>
      <c r="N39" s="133" t="e">
        <f t="shared" ca="1" si="23"/>
        <v>#N/A</v>
      </c>
      <c r="O39" s="133" t="e">
        <f t="shared" ca="1" si="23"/>
        <v>#N/A</v>
      </c>
      <c r="P39" s="133" t="e">
        <f t="shared" ca="1" si="23"/>
        <v>#N/A</v>
      </c>
      <c r="Q39" s="133" t="e">
        <f t="shared" ca="1" si="23"/>
        <v>#N/A</v>
      </c>
      <c r="R39" s="133" t="e">
        <f t="shared" ca="1" si="23"/>
        <v>#N/A</v>
      </c>
      <c r="S39" s="133" t="e">
        <f t="shared" ca="1" si="23"/>
        <v>#N/A</v>
      </c>
      <c r="T39" s="133" t="e">
        <f t="shared" ca="1" si="23"/>
        <v>#N/A</v>
      </c>
      <c r="U39" s="133" t="e">
        <f t="shared" ca="1" si="23"/>
        <v>#N/A</v>
      </c>
      <c r="V39" s="133" t="e">
        <f t="shared" ca="1" si="23"/>
        <v>#N/A</v>
      </c>
      <c r="W39" s="133" t="e">
        <f t="shared" ca="1" si="23"/>
        <v>#N/A</v>
      </c>
      <c r="X39" s="133" t="e">
        <f t="shared" ca="1" si="23"/>
        <v>#N/A</v>
      </c>
      <c r="Y39" s="133" t="e">
        <f t="shared" ca="1" si="23"/>
        <v>#N/A</v>
      </c>
      <c r="Z39" s="133" t="e">
        <f t="shared" ca="1" si="23"/>
        <v>#N/A</v>
      </c>
      <c r="AA39" s="133" t="e">
        <f t="shared" ca="1" si="23"/>
        <v>#N/A</v>
      </c>
      <c r="AB39" s="133" t="e">
        <f t="shared" ca="1" si="23"/>
        <v>#N/A</v>
      </c>
      <c r="AC39" s="133" t="e">
        <f t="shared" ca="1" si="23"/>
        <v>#N/A</v>
      </c>
      <c r="AD39" s="133" t="e">
        <f t="shared" ca="1" si="23"/>
        <v>#N/A</v>
      </c>
      <c r="AE39" s="133" t="e">
        <f t="shared" ca="1" si="23"/>
        <v>#N/A</v>
      </c>
      <c r="AF39" s="133" t="e">
        <f t="shared" ca="1" si="23"/>
        <v>#N/A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214</v>
      </c>
      <c r="B41" s="137" t="e">
        <f ca="1">IF(B30&lt;0,0,B38+B33)</f>
        <v>#N/A</v>
      </c>
      <c r="C41" s="137" t="e">
        <f t="shared" ref="C41:AF41" ca="1" si="24">IF(C30&lt;0,0,C38+C33)</f>
        <v>#N/A</v>
      </c>
      <c r="D41" s="137" t="e">
        <f t="shared" ca="1" si="24"/>
        <v>#N/A</v>
      </c>
      <c r="E41" s="137" t="e">
        <f t="shared" ca="1" si="24"/>
        <v>#N/A</v>
      </c>
      <c r="F41" s="137" t="e">
        <f t="shared" ca="1" si="24"/>
        <v>#N/A</v>
      </c>
      <c r="G41" s="137" t="e">
        <f t="shared" ca="1" si="24"/>
        <v>#N/A</v>
      </c>
      <c r="H41" s="137" t="e">
        <f t="shared" ca="1" si="24"/>
        <v>#N/A</v>
      </c>
      <c r="I41" s="137" t="e">
        <f t="shared" ca="1" si="24"/>
        <v>#N/A</v>
      </c>
      <c r="J41" s="137" t="e">
        <f t="shared" ca="1" si="24"/>
        <v>#N/A</v>
      </c>
      <c r="K41" s="137" t="e">
        <f t="shared" ca="1" si="24"/>
        <v>#N/A</v>
      </c>
      <c r="L41" s="137" t="e">
        <f t="shared" ca="1" si="24"/>
        <v>#N/A</v>
      </c>
      <c r="M41" s="137" t="e">
        <f t="shared" ca="1" si="24"/>
        <v>#N/A</v>
      </c>
      <c r="N41" s="137" t="e">
        <f t="shared" ca="1" si="24"/>
        <v>#N/A</v>
      </c>
      <c r="O41" s="137" t="e">
        <f t="shared" ca="1" si="24"/>
        <v>#N/A</v>
      </c>
      <c r="P41" s="137" t="e">
        <f t="shared" ca="1" si="24"/>
        <v>#N/A</v>
      </c>
      <c r="Q41" s="137" t="e">
        <f t="shared" ca="1" si="24"/>
        <v>#N/A</v>
      </c>
      <c r="R41" s="137" t="e">
        <f t="shared" ca="1" si="24"/>
        <v>#N/A</v>
      </c>
      <c r="S41" s="137" t="e">
        <f t="shared" ca="1" si="24"/>
        <v>#N/A</v>
      </c>
      <c r="T41" s="137" t="e">
        <f t="shared" ca="1" si="24"/>
        <v>#N/A</v>
      </c>
      <c r="U41" s="137" t="e">
        <f t="shared" ca="1" si="24"/>
        <v>#N/A</v>
      </c>
      <c r="V41" s="137" t="e">
        <f t="shared" ca="1" si="24"/>
        <v>#N/A</v>
      </c>
      <c r="W41" s="137" t="e">
        <f t="shared" ca="1" si="24"/>
        <v>#N/A</v>
      </c>
      <c r="X41" s="137" t="e">
        <f t="shared" ca="1" si="24"/>
        <v>#N/A</v>
      </c>
      <c r="Y41" s="137" t="e">
        <f t="shared" ca="1" si="24"/>
        <v>#N/A</v>
      </c>
      <c r="Z41" s="137" t="e">
        <f t="shared" ca="1" si="24"/>
        <v>#N/A</v>
      </c>
      <c r="AA41" s="137" t="e">
        <f t="shared" ca="1" si="24"/>
        <v>#N/A</v>
      </c>
      <c r="AB41" s="137" t="e">
        <f t="shared" ca="1" si="24"/>
        <v>#N/A</v>
      </c>
      <c r="AC41" s="137" t="e">
        <f t="shared" ca="1" si="24"/>
        <v>#N/A</v>
      </c>
      <c r="AD41" s="137" t="e">
        <f t="shared" ca="1" si="24"/>
        <v>#N/A</v>
      </c>
      <c r="AE41" s="137" t="e">
        <f t="shared" ca="1" si="24"/>
        <v>#N/A</v>
      </c>
      <c r="AF41" s="137" t="e">
        <f t="shared" ca="1" si="24"/>
        <v>#N/A</v>
      </c>
    </row>
    <row r="42" spans="1:32">
      <c r="A42" s="43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92"/>
      <c r="Y42" s="92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1"/>
      <c r="Y43" s="91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zoomScale="75" zoomScaleNormal="75" workbookViewId="0">
      <selection activeCell="C6" sqref="C6"/>
    </sheetView>
  </sheetViews>
  <sheetFormatPr defaultRowHeight="12.75"/>
  <cols>
    <col min="1" max="1" width="29.5703125" style="12" customWidth="1"/>
    <col min="2" max="6" width="16.28515625" style="12" customWidth="1"/>
    <col min="7" max="7" width="20" style="12" customWidth="1"/>
    <col min="8" max="16" width="16.28515625" style="12" customWidth="1"/>
    <col min="17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25" ht="18.75">
      <c r="A2" s="87" t="str">
        <f>Assumptions!A3</f>
        <v>PROJECT NAME:</v>
      </c>
    </row>
    <row r="4" spans="1:25" ht="18.75">
      <c r="A4" s="61" t="s">
        <v>193</v>
      </c>
      <c r="B4" s="216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25">
      <c r="A6" s="63" t="s">
        <v>351</v>
      </c>
      <c r="B6" s="232"/>
      <c r="C6" s="530">
        <f>Assumptions!C34-Assumptions!C19-Assumptions!C20-Assumptions!C21</f>
        <v>0</v>
      </c>
      <c r="D6" s="233"/>
      <c r="E6" s="233"/>
      <c r="F6" s="233"/>
      <c r="G6" s="233"/>
      <c r="H6" s="233"/>
      <c r="I6" s="234"/>
      <c r="J6" s="233"/>
      <c r="K6" s="233"/>
      <c r="L6" s="233"/>
      <c r="M6" s="233"/>
      <c r="N6" s="233"/>
      <c r="O6" s="234"/>
      <c r="P6" s="233"/>
      <c r="Q6" s="233"/>
      <c r="R6" s="233"/>
      <c r="S6" s="233"/>
      <c r="T6" s="233"/>
      <c r="U6" s="234"/>
      <c r="V6" s="233"/>
      <c r="W6" s="233"/>
      <c r="X6" s="236"/>
      <c r="Y6" s="236"/>
    </row>
    <row r="7" spans="1:25">
      <c r="A7" s="63" t="s">
        <v>200</v>
      </c>
      <c r="B7" s="232"/>
      <c r="C7" s="431" t="e">
        <f>Assumptions!H16</f>
        <v>#N/A</v>
      </c>
      <c r="D7" s="233"/>
      <c r="E7" s="233"/>
      <c r="F7" s="233"/>
      <c r="G7" s="233"/>
      <c r="H7" s="233"/>
      <c r="I7" s="234"/>
      <c r="J7" s="233"/>
      <c r="K7" s="233"/>
      <c r="L7" s="233"/>
      <c r="M7" s="233"/>
      <c r="N7" s="233"/>
      <c r="O7" s="234"/>
      <c r="P7" s="233"/>
      <c r="Q7" s="233"/>
      <c r="R7" s="233"/>
      <c r="S7" s="233"/>
      <c r="T7" s="233"/>
      <c r="U7" s="234"/>
      <c r="V7" s="233"/>
      <c r="W7" s="233"/>
      <c r="X7" s="236"/>
      <c r="Y7" s="236"/>
    </row>
    <row r="8" spans="1:25">
      <c r="A8" s="63" t="s">
        <v>198</v>
      </c>
      <c r="B8" s="232"/>
      <c r="C8" s="504">
        <f>Assumptions!H39</f>
        <v>7.8299999999999995E-2</v>
      </c>
      <c r="D8" s="241">
        <f>C8/360</f>
        <v>2.1749999999999997E-4</v>
      </c>
      <c r="E8" s="233"/>
      <c r="F8" s="233"/>
      <c r="G8" s="233"/>
      <c r="H8" s="233"/>
      <c r="I8" s="234"/>
      <c r="J8" s="233"/>
      <c r="K8" s="233"/>
      <c r="L8" s="233"/>
      <c r="M8" s="233"/>
      <c r="N8" s="233"/>
      <c r="O8" s="234"/>
      <c r="P8" s="233"/>
      <c r="Q8" s="233"/>
      <c r="R8" s="233"/>
      <c r="S8" s="233"/>
      <c r="T8" s="233"/>
      <c r="U8" s="234"/>
      <c r="V8" s="233"/>
      <c r="W8" s="233"/>
      <c r="X8" s="236"/>
      <c r="Y8" s="236"/>
    </row>
    <row r="9" spans="1:25">
      <c r="A9" s="63"/>
      <c r="B9" s="232"/>
      <c r="C9" s="240" t="s">
        <v>199</v>
      </c>
      <c r="D9" s="240" t="s">
        <v>233</v>
      </c>
      <c r="E9" s="233"/>
      <c r="F9" s="233"/>
      <c r="G9" s="233"/>
      <c r="H9" s="233"/>
      <c r="I9" s="234"/>
      <c r="J9" s="233"/>
      <c r="K9" s="233"/>
      <c r="L9" s="233"/>
      <c r="M9" s="233"/>
      <c r="N9" s="233"/>
      <c r="O9" s="234"/>
      <c r="P9" s="233"/>
      <c r="Q9" s="233"/>
      <c r="R9" s="233"/>
      <c r="S9" s="233"/>
      <c r="T9" s="233"/>
      <c r="U9" s="234"/>
      <c r="V9" s="233"/>
      <c r="W9" s="233"/>
      <c r="X9" s="236"/>
      <c r="Y9" s="236"/>
    </row>
    <row r="10" spans="1:25">
      <c r="A10" s="63"/>
      <c r="B10" s="232"/>
      <c r="C10" s="240"/>
      <c r="D10" s="240"/>
      <c r="E10" s="233"/>
      <c r="F10" s="233"/>
      <c r="G10" s="233"/>
      <c r="H10" s="233"/>
      <c r="I10" s="234"/>
      <c r="J10" s="233"/>
      <c r="K10" s="233"/>
      <c r="L10" s="233"/>
      <c r="M10" s="233"/>
      <c r="N10" s="233"/>
      <c r="O10" s="234"/>
      <c r="P10" s="233"/>
      <c r="Q10" s="233"/>
      <c r="R10" s="233"/>
      <c r="S10" s="233"/>
      <c r="T10" s="233"/>
      <c r="U10" s="234"/>
      <c r="V10" s="233"/>
      <c r="W10" s="233"/>
      <c r="X10" s="236"/>
      <c r="Y10" s="236"/>
    </row>
    <row r="11" spans="1:25">
      <c r="A11" s="63"/>
      <c r="B11" s="232"/>
      <c r="C11" s="240"/>
      <c r="D11" s="240"/>
      <c r="E11" s="233"/>
      <c r="F11" s="233"/>
      <c r="G11" s="233"/>
      <c r="H11" s="233"/>
      <c r="I11" s="234"/>
      <c r="J11" s="233"/>
      <c r="K11" s="233"/>
      <c r="L11" s="233"/>
      <c r="M11" s="233"/>
      <c r="N11" s="233"/>
      <c r="O11" s="234"/>
      <c r="P11" s="233"/>
      <c r="Q11" s="233"/>
      <c r="R11" s="233"/>
      <c r="S11" s="233"/>
      <c r="T11" s="233"/>
      <c r="U11" s="234"/>
      <c r="V11" s="233"/>
      <c r="W11" s="233"/>
      <c r="X11" s="236"/>
      <c r="Y11" s="236"/>
    </row>
    <row r="12" spans="1:25">
      <c r="A12" s="5"/>
      <c r="B12" s="229"/>
      <c r="C12" s="229"/>
      <c r="D12" s="230" t="s">
        <v>187</v>
      </c>
      <c r="E12" s="228" t="s">
        <v>194</v>
      </c>
      <c r="F12" s="229"/>
      <c r="G12" s="229"/>
      <c r="H12" s="229"/>
      <c r="I12" s="229"/>
      <c r="J12" s="224"/>
    </row>
    <row r="13" spans="1:25">
      <c r="A13" s="228" t="s">
        <v>184</v>
      </c>
      <c r="B13" s="5"/>
      <c r="C13" s="5"/>
      <c r="D13" s="230" t="s">
        <v>195</v>
      </c>
      <c r="E13" s="230" t="s">
        <v>188</v>
      </c>
      <c r="F13" s="230" t="s">
        <v>189</v>
      </c>
      <c r="G13" s="235" t="s">
        <v>190</v>
      </c>
      <c r="H13" s="230" t="s">
        <v>191</v>
      </c>
      <c r="I13" s="230" t="s">
        <v>192</v>
      </c>
      <c r="J13" s="66"/>
    </row>
    <row r="14" spans="1:25">
      <c r="A14" s="225" t="s">
        <v>185</v>
      </c>
      <c r="B14" s="225" t="s">
        <v>135</v>
      </c>
      <c r="C14" s="225" t="s">
        <v>186</v>
      </c>
      <c r="D14" s="225" t="s">
        <v>197</v>
      </c>
      <c r="E14" s="225" t="s">
        <v>197</v>
      </c>
      <c r="F14" s="225" t="s">
        <v>197</v>
      </c>
      <c r="G14" s="225" t="s">
        <v>197</v>
      </c>
      <c r="H14" s="225" t="s">
        <v>197</v>
      </c>
      <c r="I14" s="225" t="s">
        <v>197</v>
      </c>
      <c r="J14" s="66"/>
    </row>
    <row r="15" spans="1:25">
      <c r="A15" s="226">
        <v>1</v>
      </c>
      <c r="B15" s="227">
        <v>36617</v>
      </c>
      <c r="C15" s="258" t="e">
        <f>HLOOKUP(Assumptions!$H$12,IDC!$H$40:$M$56,2+F42)</f>
        <v>#N/A</v>
      </c>
      <c r="D15" s="237">
        <f>D59*Assumptions!H12</f>
        <v>0</v>
      </c>
      <c r="E15" s="238" t="e">
        <f t="shared" ref="E15:E33" si="0">C15*$C$6</f>
        <v>#N/A</v>
      </c>
      <c r="F15" s="238" t="e">
        <f t="shared" ref="F15:F33" si="1">+E15+D15</f>
        <v>#N/A</v>
      </c>
      <c r="G15" s="238" t="e">
        <f>F15+H15</f>
        <v>#N/A</v>
      </c>
      <c r="H15" s="238">
        <v>0</v>
      </c>
      <c r="I15" s="238">
        <v>0</v>
      </c>
      <c r="K15" s="420"/>
    </row>
    <row r="16" spans="1:25">
      <c r="A16" s="226">
        <f t="shared" ref="A16:A33" si="2">A15+1</f>
        <v>2</v>
      </c>
      <c r="B16" s="227">
        <v>36647</v>
      </c>
      <c r="C16" s="258" t="e">
        <f>HLOOKUP(Assumptions!$H$12,IDC!$I$40:$M$56,2+F43)</f>
        <v>#N/A</v>
      </c>
      <c r="D16" s="237">
        <v>0</v>
      </c>
      <c r="E16" s="238" t="e">
        <f t="shared" si="0"/>
        <v>#N/A</v>
      </c>
      <c r="F16" s="238" t="e">
        <f t="shared" si="1"/>
        <v>#N/A</v>
      </c>
      <c r="G16" s="238" t="e">
        <f t="shared" ref="G16:G33" si="3">F16+G15+H16</f>
        <v>#N/A</v>
      </c>
      <c r="H16" s="238" t="e">
        <f>IF(A16&gt;$C$7+1,0,G15*(B16-B15)*$D$8)</f>
        <v>#N/A</v>
      </c>
      <c r="I16" s="238" t="e">
        <f>IF(A16&lt;=$C$7+1,H16+I15,I15)</f>
        <v>#N/A</v>
      </c>
      <c r="K16" s="420"/>
    </row>
    <row r="17" spans="1:11">
      <c r="A17" s="226">
        <f t="shared" si="2"/>
        <v>3</v>
      </c>
      <c r="B17" s="227">
        <v>36678</v>
      </c>
      <c r="C17" s="258" t="e">
        <f>HLOOKUP(Assumptions!$H$12,IDC!$I$40:$M$56,2+F44)</f>
        <v>#N/A</v>
      </c>
      <c r="D17" s="237">
        <v>0</v>
      </c>
      <c r="E17" s="238" t="e">
        <f t="shared" si="0"/>
        <v>#N/A</v>
      </c>
      <c r="F17" s="238" t="e">
        <f t="shared" si="1"/>
        <v>#N/A</v>
      </c>
      <c r="G17" s="238" t="e">
        <f t="shared" si="3"/>
        <v>#N/A</v>
      </c>
      <c r="H17" s="238" t="e">
        <f t="shared" ref="H17:H33" si="4">IF(A17&gt;$C$7+1,0,G16*(B17-B16)*$D$8)</f>
        <v>#N/A</v>
      </c>
      <c r="I17" s="238" t="e">
        <f t="shared" ref="I17:I33" si="5">IF(A17&lt;=$C$7+1,H17+I16,I16)</f>
        <v>#N/A</v>
      </c>
      <c r="K17" s="420"/>
    </row>
    <row r="18" spans="1:11">
      <c r="A18" s="226">
        <f t="shared" si="2"/>
        <v>4</v>
      </c>
      <c r="B18" s="227">
        <v>36708</v>
      </c>
      <c r="C18" s="258" t="e">
        <f>HLOOKUP(Assumptions!$H$12,IDC!$I$40:$M$56,2+F45)</f>
        <v>#N/A</v>
      </c>
      <c r="D18" s="237">
        <v>0</v>
      </c>
      <c r="E18" s="238" t="e">
        <f t="shared" si="0"/>
        <v>#N/A</v>
      </c>
      <c r="F18" s="238" t="e">
        <f t="shared" si="1"/>
        <v>#N/A</v>
      </c>
      <c r="G18" s="238" t="e">
        <f t="shared" si="3"/>
        <v>#N/A</v>
      </c>
      <c r="H18" s="238" t="e">
        <f t="shared" si="4"/>
        <v>#N/A</v>
      </c>
      <c r="I18" s="238" t="e">
        <f t="shared" si="5"/>
        <v>#N/A</v>
      </c>
      <c r="K18" s="420"/>
    </row>
    <row r="19" spans="1:11">
      <c r="A19" s="226">
        <f t="shared" si="2"/>
        <v>5</v>
      </c>
      <c r="B19" s="227">
        <v>36739</v>
      </c>
      <c r="C19" s="258" t="e">
        <f>HLOOKUP(Assumptions!$H$12,IDC!$I$40:$M$56,2+F46)</f>
        <v>#N/A</v>
      </c>
      <c r="D19" s="237">
        <v>0</v>
      </c>
      <c r="E19" s="238" t="e">
        <f t="shared" si="0"/>
        <v>#N/A</v>
      </c>
      <c r="F19" s="238" t="e">
        <f t="shared" si="1"/>
        <v>#N/A</v>
      </c>
      <c r="G19" s="238" t="e">
        <f t="shared" si="3"/>
        <v>#N/A</v>
      </c>
      <c r="H19" s="238" t="e">
        <f t="shared" si="4"/>
        <v>#N/A</v>
      </c>
      <c r="I19" s="238" t="e">
        <f t="shared" si="5"/>
        <v>#N/A</v>
      </c>
      <c r="K19" s="420"/>
    </row>
    <row r="20" spans="1:11">
      <c r="A20" s="226">
        <f t="shared" si="2"/>
        <v>6</v>
      </c>
      <c r="B20" s="227">
        <v>36770</v>
      </c>
      <c r="C20" s="258" t="e">
        <f>HLOOKUP(Assumptions!$H$12,IDC!$I$40:$M$56,2+F47)</f>
        <v>#N/A</v>
      </c>
      <c r="D20" s="237">
        <v>0</v>
      </c>
      <c r="E20" s="238" t="e">
        <f t="shared" si="0"/>
        <v>#N/A</v>
      </c>
      <c r="F20" s="238" t="e">
        <f t="shared" si="1"/>
        <v>#N/A</v>
      </c>
      <c r="G20" s="238" t="e">
        <f t="shared" si="3"/>
        <v>#N/A</v>
      </c>
      <c r="H20" s="238" t="e">
        <f t="shared" si="4"/>
        <v>#N/A</v>
      </c>
      <c r="I20" s="238" t="e">
        <f t="shared" si="5"/>
        <v>#N/A</v>
      </c>
      <c r="K20" s="420"/>
    </row>
    <row r="21" spans="1:11">
      <c r="A21" s="226">
        <f t="shared" si="2"/>
        <v>7</v>
      </c>
      <c r="B21" s="227">
        <v>36800</v>
      </c>
      <c r="C21" s="258" t="e">
        <f>HLOOKUP(Assumptions!$H$12,IDC!$I$40:$M$56,2+F48)</f>
        <v>#N/A</v>
      </c>
      <c r="D21" s="237">
        <v>0</v>
      </c>
      <c r="E21" s="238" t="e">
        <f t="shared" si="0"/>
        <v>#N/A</v>
      </c>
      <c r="F21" s="238" t="e">
        <f t="shared" si="1"/>
        <v>#N/A</v>
      </c>
      <c r="G21" s="238" t="e">
        <f t="shared" si="3"/>
        <v>#N/A</v>
      </c>
      <c r="H21" s="238" t="e">
        <f t="shared" si="4"/>
        <v>#N/A</v>
      </c>
      <c r="I21" s="238" t="e">
        <f t="shared" si="5"/>
        <v>#N/A</v>
      </c>
      <c r="K21" s="420"/>
    </row>
    <row r="22" spans="1:11">
      <c r="A22" s="226">
        <f t="shared" si="2"/>
        <v>8</v>
      </c>
      <c r="B22" s="227">
        <v>36831</v>
      </c>
      <c r="C22" s="258" t="e">
        <f>HLOOKUP(Assumptions!$H$12,IDC!$I$40:$M$56,2+F49)</f>
        <v>#N/A</v>
      </c>
      <c r="D22" s="237">
        <v>0</v>
      </c>
      <c r="E22" s="238" t="e">
        <f t="shared" si="0"/>
        <v>#N/A</v>
      </c>
      <c r="F22" s="238" t="e">
        <f t="shared" si="1"/>
        <v>#N/A</v>
      </c>
      <c r="G22" s="238" t="e">
        <f t="shared" si="3"/>
        <v>#N/A</v>
      </c>
      <c r="H22" s="238" t="e">
        <f t="shared" si="4"/>
        <v>#N/A</v>
      </c>
      <c r="I22" s="238" t="e">
        <f t="shared" si="5"/>
        <v>#N/A</v>
      </c>
      <c r="K22" s="420"/>
    </row>
    <row r="23" spans="1:11">
      <c r="A23" s="226">
        <f t="shared" si="2"/>
        <v>9</v>
      </c>
      <c r="B23" s="227">
        <v>36861</v>
      </c>
      <c r="C23" s="258" t="e">
        <f>HLOOKUP(Assumptions!$H$12,IDC!$I$40:$M$56,2+F50)</f>
        <v>#N/A</v>
      </c>
      <c r="D23" s="237">
        <v>0</v>
      </c>
      <c r="E23" s="238" t="e">
        <f t="shared" si="0"/>
        <v>#N/A</v>
      </c>
      <c r="F23" s="238" t="e">
        <f t="shared" si="1"/>
        <v>#N/A</v>
      </c>
      <c r="G23" s="238" t="e">
        <f t="shared" si="3"/>
        <v>#N/A</v>
      </c>
      <c r="H23" s="238" t="e">
        <f t="shared" si="4"/>
        <v>#N/A</v>
      </c>
      <c r="I23" s="238" t="e">
        <f t="shared" si="5"/>
        <v>#N/A</v>
      </c>
      <c r="K23" s="420"/>
    </row>
    <row r="24" spans="1:11">
      <c r="A24" s="226">
        <f t="shared" si="2"/>
        <v>10</v>
      </c>
      <c r="B24" s="227">
        <v>36892</v>
      </c>
      <c r="C24" s="258" t="e">
        <f>HLOOKUP(Assumptions!$H$12,IDC!$I$40:$M$56,2+F51)</f>
        <v>#N/A</v>
      </c>
      <c r="D24" s="237">
        <v>0</v>
      </c>
      <c r="E24" s="238" t="e">
        <f t="shared" si="0"/>
        <v>#N/A</v>
      </c>
      <c r="F24" s="238" t="e">
        <f t="shared" si="1"/>
        <v>#N/A</v>
      </c>
      <c r="G24" s="238" t="e">
        <f t="shared" si="3"/>
        <v>#N/A</v>
      </c>
      <c r="H24" s="238" t="e">
        <f t="shared" si="4"/>
        <v>#N/A</v>
      </c>
      <c r="I24" s="238" t="e">
        <f t="shared" si="5"/>
        <v>#N/A</v>
      </c>
      <c r="K24" s="420"/>
    </row>
    <row r="25" spans="1:11">
      <c r="A25" s="226">
        <f t="shared" si="2"/>
        <v>11</v>
      </c>
      <c r="B25" s="227">
        <v>36923</v>
      </c>
      <c r="C25" s="258" t="e">
        <f>HLOOKUP(Assumptions!$H$12,IDC!$I$40:$M$56,2+F52)</f>
        <v>#N/A</v>
      </c>
      <c r="D25" s="237">
        <v>0</v>
      </c>
      <c r="E25" s="238" t="e">
        <f t="shared" si="0"/>
        <v>#N/A</v>
      </c>
      <c r="F25" s="238" t="e">
        <f t="shared" si="1"/>
        <v>#N/A</v>
      </c>
      <c r="G25" s="238" t="e">
        <f t="shared" si="3"/>
        <v>#N/A</v>
      </c>
      <c r="H25" s="238" t="e">
        <f t="shared" si="4"/>
        <v>#N/A</v>
      </c>
      <c r="I25" s="238" t="e">
        <f t="shared" si="5"/>
        <v>#N/A</v>
      </c>
      <c r="K25" s="420"/>
    </row>
    <row r="26" spans="1:11">
      <c r="A26" s="226">
        <f t="shared" si="2"/>
        <v>12</v>
      </c>
      <c r="B26" s="227">
        <v>36951</v>
      </c>
      <c r="C26" s="258" t="e">
        <f>HLOOKUP(Assumptions!$H$12,IDC!$I$40:$M$56,2+F53)</f>
        <v>#N/A</v>
      </c>
      <c r="D26" s="237">
        <v>0</v>
      </c>
      <c r="E26" s="238" t="e">
        <f t="shared" si="0"/>
        <v>#N/A</v>
      </c>
      <c r="F26" s="238" t="e">
        <f t="shared" si="1"/>
        <v>#N/A</v>
      </c>
      <c r="G26" s="238" t="e">
        <f t="shared" si="3"/>
        <v>#N/A</v>
      </c>
      <c r="H26" s="238" t="e">
        <f t="shared" si="4"/>
        <v>#N/A</v>
      </c>
      <c r="I26" s="238" t="e">
        <f t="shared" si="5"/>
        <v>#N/A</v>
      </c>
      <c r="K26" s="420"/>
    </row>
    <row r="27" spans="1:11">
      <c r="A27" s="226">
        <f t="shared" si="2"/>
        <v>13</v>
      </c>
      <c r="B27" s="227">
        <v>36982</v>
      </c>
      <c r="C27" s="258" t="e">
        <f>HLOOKUP(Assumptions!$H$12,IDC!$I$40:$M$56,2+F54)</f>
        <v>#N/A</v>
      </c>
      <c r="D27" s="237">
        <v>0</v>
      </c>
      <c r="E27" s="238" t="e">
        <f t="shared" si="0"/>
        <v>#N/A</v>
      </c>
      <c r="F27" s="238" t="e">
        <f t="shared" si="1"/>
        <v>#N/A</v>
      </c>
      <c r="G27" s="238" t="e">
        <f t="shared" si="3"/>
        <v>#N/A</v>
      </c>
      <c r="H27" s="238" t="e">
        <f t="shared" si="4"/>
        <v>#N/A</v>
      </c>
      <c r="I27" s="238" t="e">
        <f t="shared" si="5"/>
        <v>#N/A</v>
      </c>
      <c r="K27" s="420"/>
    </row>
    <row r="28" spans="1:11">
      <c r="A28" s="226">
        <f t="shared" si="2"/>
        <v>14</v>
      </c>
      <c r="B28" s="227">
        <v>37012</v>
      </c>
      <c r="C28" s="258" t="e">
        <f>HLOOKUP(Assumptions!$H$12,IDC!$I$40:$M$56,2+F55)</f>
        <v>#N/A</v>
      </c>
      <c r="D28" s="237">
        <v>0</v>
      </c>
      <c r="E28" s="238" t="e">
        <f t="shared" si="0"/>
        <v>#N/A</v>
      </c>
      <c r="F28" s="238" t="e">
        <f t="shared" si="1"/>
        <v>#N/A</v>
      </c>
      <c r="G28" s="238" t="e">
        <f t="shared" si="3"/>
        <v>#N/A</v>
      </c>
      <c r="H28" s="238" t="e">
        <f t="shared" si="4"/>
        <v>#N/A</v>
      </c>
      <c r="I28" s="238" t="e">
        <f t="shared" si="5"/>
        <v>#N/A</v>
      </c>
      <c r="K28" s="420"/>
    </row>
    <row r="29" spans="1:11">
      <c r="A29" s="226">
        <f t="shared" si="2"/>
        <v>15</v>
      </c>
      <c r="B29" s="227">
        <v>37043</v>
      </c>
      <c r="C29" s="536">
        <v>0</v>
      </c>
      <c r="D29" s="237">
        <v>0</v>
      </c>
      <c r="E29" s="238">
        <f t="shared" si="0"/>
        <v>0</v>
      </c>
      <c r="F29" s="238">
        <f t="shared" si="1"/>
        <v>0</v>
      </c>
      <c r="G29" s="238" t="e">
        <f t="shared" si="3"/>
        <v>#N/A</v>
      </c>
      <c r="H29" s="238" t="e">
        <f t="shared" si="4"/>
        <v>#N/A</v>
      </c>
      <c r="I29" s="238" t="e">
        <f t="shared" si="5"/>
        <v>#N/A</v>
      </c>
      <c r="K29" s="420"/>
    </row>
    <row r="30" spans="1:11">
      <c r="A30" s="226">
        <f t="shared" si="2"/>
        <v>16</v>
      </c>
      <c r="B30" s="227">
        <v>37073</v>
      </c>
      <c r="C30" s="536">
        <v>0</v>
      </c>
      <c r="D30" s="237">
        <v>0</v>
      </c>
      <c r="E30" s="238">
        <f t="shared" si="0"/>
        <v>0</v>
      </c>
      <c r="F30" s="238">
        <f t="shared" si="1"/>
        <v>0</v>
      </c>
      <c r="G30" s="238" t="e">
        <f t="shared" si="3"/>
        <v>#N/A</v>
      </c>
      <c r="H30" s="238" t="e">
        <f t="shared" si="4"/>
        <v>#N/A</v>
      </c>
      <c r="I30" s="238" t="e">
        <f t="shared" si="5"/>
        <v>#N/A</v>
      </c>
      <c r="K30" s="420"/>
    </row>
    <row r="31" spans="1:11">
      <c r="A31" s="226">
        <f t="shared" si="2"/>
        <v>17</v>
      </c>
      <c r="B31" s="227">
        <v>37104</v>
      </c>
      <c r="C31" s="536">
        <v>0</v>
      </c>
      <c r="D31" s="237">
        <v>0</v>
      </c>
      <c r="E31" s="238">
        <f t="shared" si="0"/>
        <v>0</v>
      </c>
      <c r="F31" s="238">
        <f t="shared" si="1"/>
        <v>0</v>
      </c>
      <c r="G31" s="238" t="e">
        <f t="shared" si="3"/>
        <v>#N/A</v>
      </c>
      <c r="H31" s="238" t="e">
        <f t="shared" si="4"/>
        <v>#N/A</v>
      </c>
      <c r="I31" s="238" t="e">
        <f t="shared" si="5"/>
        <v>#N/A</v>
      </c>
      <c r="K31" s="420"/>
    </row>
    <row r="32" spans="1:11">
      <c r="A32" s="226">
        <f t="shared" si="2"/>
        <v>18</v>
      </c>
      <c r="B32" s="227">
        <v>37135</v>
      </c>
      <c r="C32" s="536">
        <v>0</v>
      </c>
      <c r="D32" s="237">
        <v>0</v>
      </c>
      <c r="E32" s="238">
        <f t="shared" si="0"/>
        <v>0</v>
      </c>
      <c r="F32" s="238">
        <f t="shared" si="1"/>
        <v>0</v>
      </c>
      <c r="G32" s="238" t="e">
        <f t="shared" si="3"/>
        <v>#N/A</v>
      </c>
      <c r="H32" s="238" t="e">
        <f t="shared" si="4"/>
        <v>#N/A</v>
      </c>
      <c r="I32" s="238" t="e">
        <f t="shared" si="5"/>
        <v>#N/A</v>
      </c>
      <c r="K32" s="420"/>
    </row>
    <row r="33" spans="1:13">
      <c r="A33" s="226">
        <f t="shared" si="2"/>
        <v>19</v>
      </c>
      <c r="B33" s="227">
        <v>37165</v>
      </c>
      <c r="C33" s="537">
        <v>0</v>
      </c>
      <c r="D33" s="242">
        <v>0</v>
      </c>
      <c r="E33" s="243">
        <f t="shared" si="0"/>
        <v>0</v>
      </c>
      <c r="F33" s="243">
        <f t="shared" si="1"/>
        <v>0</v>
      </c>
      <c r="G33" s="243" t="e">
        <f t="shared" si="3"/>
        <v>#N/A</v>
      </c>
      <c r="H33" s="243" t="e">
        <f t="shared" si="4"/>
        <v>#N/A</v>
      </c>
      <c r="I33" s="243" t="e">
        <f t="shared" si="5"/>
        <v>#N/A</v>
      </c>
      <c r="K33" s="420"/>
    </row>
    <row r="34" spans="1:13">
      <c r="C34" s="231" t="e">
        <f>SUM(C15:C33)</f>
        <v>#N/A</v>
      </c>
      <c r="D34" s="239">
        <f>SUM(D15:D33)</f>
        <v>0</v>
      </c>
      <c r="E34" s="239" t="e">
        <f>SUM(E15:E33)</f>
        <v>#N/A</v>
      </c>
      <c r="F34" s="239" t="e">
        <f>SUM(F15:F33)</f>
        <v>#N/A</v>
      </c>
      <c r="G34" s="18"/>
      <c r="H34" s="239" t="e">
        <f>SUM(H15:H33)</f>
        <v>#N/A</v>
      </c>
      <c r="I34" s="239"/>
    </row>
    <row r="38" spans="1:13" ht="18.75">
      <c r="A38" s="61" t="s">
        <v>229</v>
      </c>
      <c r="B38" s="272"/>
      <c r="F38"/>
      <c r="G38"/>
      <c r="H38"/>
      <c r="I38"/>
      <c r="J38"/>
      <c r="K38"/>
      <c r="L38"/>
    </row>
    <row r="39" spans="1:13" ht="13.5" thickBot="1">
      <c r="F39" s="387" t="s">
        <v>429</v>
      </c>
    </row>
    <row r="40" spans="1:13">
      <c r="F40" s="403"/>
      <c r="G40" s="400" t="s">
        <v>11</v>
      </c>
      <c r="H40" s="400">
        <v>1</v>
      </c>
      <c r="I40" s="400">
        <v>2</v>
      </c>
      <c r="J40" s="400">
        <v>3</v>
      </c>
      <c r="K40" s="400">
        <v>4</v>
      </c>
      <c r="L40" s="400">
        <v>5</v>
      </c>
      <c r="M40" s="401">
        <v>6</v>
      </c>
    </row>
    <row r="41" spans="1:13" ht="13.5" thickBot="1">
      <c r="A41" s="228" t="s">
        <v>338</v>
      </c>
      <c r="B41" s="228" t="s">
        <v>340</v>
      </c>
      <c r="C41" s="228" t="s">
        <v>342</v>
      </c>
      <c r="D41" s="228" t="s">
        <v>228</v>
      </c>
      <c r="F41" s="404" t="s">
        <v>185</v>
      </c>
      <c r="G41" s="402" t="s">
        <v>347</v>
      </c>
      <c r="H41" s="533">
        <v>5.5</v>
      </c>
      <c r="I41" s="531">
        <v>6</v>
      </c>
      <c r="J41" s="531">
        <v>6.5</v>
      </c>
      <c r="K41" s="531">
        <v>7</v>
      </c>
      <c r="L41" s="531">
        <v>7.5</v>
      </c>
      <c r="M41" s="532">
        <v>8</v>
      </c>
    </row>
    <row r="42" spans="1:13" ht="13.5" thickBot="1">
      <c r="A42" s="228" t="s">
        <v>339</v>
      </c>
      <c r="B42" s="228" t="s">
        <v>341</v>
      </c>
      <c r="C42" s="228" t="s">
        <v>343</v>
      </c>
      <c r="D42" s="228" t="s">
        <v>344</v>
      </c>
      <c r="F42" s="405">
        <v>1</v>
      </c>
      <c r="G42" s="534"/>
      <c r="H42" s="501">
        <v>0.17</v>
      </c>
      <c r="I42" s="501">
        <v>0.17</v>
      </c>
      <c r="J42" s="501">
        <v>0.17</v>
      </c>
      <c r="K42" s="393">
        <v>0.17</v>
      </c>
      <c r="L42" s="393">
        <v>0.17</v>
      </c>
      <c r="M42" s="394">
        <v>0.17</v>
      </c>
    </row>
    <row r="43" spans="1:13">
      <c r="A43" s="409" t="s">
        <v>227</v>
      </c>
      <c r="B43" s="410">
        <v>3</v>
      </c>
      <c r="C43" s="411">
        <v>36737</v>
      </c>
      <c r="D43" s="412">
        <v>36829</v>
      </c>
      <c r="F43" s="406">
        <v>2</v>
      </c>
      <c r="G43" s="500"/>
      <c r="H43" s="502">
        <v>0.16</v>
      </c>
      <c r="I43" s="502">
        <v>0.16</v>
      </c>
      <c r="J43" s="502">
        <v>0.16</v>
      </c>
      <c r="K43" s="395">
        <v>0.12</v>
      </c>
      <c r="L43" s="395">
        <v>0.12</v>
      </c>
      <c r="M43" s="396">
        <v>0.12</v>
      </c>
    </row>
    <row r="44" spans="1:13">
      <c r="A44" s="413" t="s">
        <v>226</v>
      </c>
      <c r="B44" s="407">
        <v>3</v>
      </c>
      <c r="C44" s="408">
        <v>36768</v>
      </c>
      <c r="D44" s="414">
        <v>36829</v>
      </c>
      <c r="F44" s="406">
        <v>3</v>
      </c>
      <c r="G44" s="500"/>
      <c r="H44" s="502">
        <v>0.16</v>
      </c>
      <c r="I44" s="502">
        <v>0.16</v>
      </c>
      <c r="J44" s="502">
        <v>0.13</v>
      </c>
      <c r="K44" s="395">
        <v>0.12</v>
      </c>
      <c r="L44" s="395">
        <v>0.12</v>
      </c>
      <c r="M44" s="396">
        <v>0.12</v>
      </c>
    </row>
    <row r="45" spans="1:13">
      <c r="A45" s="413" t="s">
        <v>225</v>
      </c>
      <c r="B45" s="407">
        <v>2</v>
      </c>
      <c r="C45" s="408">
        <v>36799</v>
      </c>
      <c r="D45" s="414">
        <v>36829</v>
      </c>
      <c r="F45" s="406">
        <v>4</v>
      </c>
      <c r="G45" s="500"/>
      <c r="H45" s="502">
        <v>0.16</v>
      </c>
      <c r="I45" s="502">
        <v>0.16</v>
      </c>
      <c r="J45" s="502">
        <v>0.16</v>
      </c>
      <c r="K45" s="395">
        <v>0.14000000000000001</v>
      </c>
      <c r="L45" s="395">
        <v>0.14000000000000001</v>
      </c>
      <c r="M45" s="396">
        <v>0.14000000000000001</v>
      </c>
    </row>
    <row r="46" spans="1:13">
      <c r="A46" s="413" t="s">
        <v>224</v>
      </c>
      <c r="B46" s="407">
        <v>3</v>
      </c>
      <c r="C46" s="408">
        <v>36829</v>
      </c>
      <c r="D46" s="414">
        <v>36829</v>
      </c>
      <c r="F46" s="406">
        <v>5</v>
      </c>
      <c r="G46" s="500"/>
      <c r="H46" s="502">
        <v>0.17</v>
      </c>
      <c r="I46" s="502">
        <v>0.17</v>
      </c>
      <c r="J46" s="502">
        <v>0.16</v>
      </c>
      <c r="K46" s="395">
        <v>0.18</v>
      </c>
      <c r="L46" s="395">
        <v>0.13</v>
      </c>
      <c r="M46" s="396">
        <v>0.13</v>
      </c>
    </row>
    <row r="47" spans="1:13">
      <c r="A47" s="413" t="s">
        <v>223</v>
      </c>
      <c r="B47" s="407">
        <v>2</v>
      </c>
      <c r="C47" s="408">
        <v>36860</v>
      </c>
      <c r="D47" s="414">
        <v>36860</v>
      </c>
      <c r="F47" s="406">
        <v>6</v>
      </c>
      <c r="G47" s="500"/>
      <c r="H47" s="502">
        <v>0.18</v>
      </c>
      <c r="I47" s="502">
        <v>0.18</v>
      </c>
      <c r="J47" s="502">
        <v>0.12</v>
      </c>
      <c r="K47" s="395">
        <v>0.12</v>
      </c>
      <c r="L47" s="395">
        <v>0.12</v>
      </c>
      <c r="M47" s="396">
        <v>0.12</v>
      </c>
    </row>
    <row r="48" spans="1:13">
      <c r="A48" s="415" t="s">
        <v>222</v>
      </c>
      <c r="B48" s="407">
        <v>2</v>
      </c>
      <c r="C48" s="408">
        <v>36890</v>
      </c>
      <c r="D48" s="414">
        <v>36890</v>
      </c>
      <c r="F48" s="406">
        <v>7</v>
      </c>
      <c r="G48" s="500"/>
      <c r="H48" s="502">
        <v>0</v>
      </c>
      <c r="I48" s="502">
        <v>0</v>
      </c>
      <c r="J48" s="502">
        <v>0.1</v>
      </c>
      <c r="K48" s="395">
        <v>0.15</v>
      </c>
      <c r="L48" s="395">
        <v>0.1</v>
      </c>
      <c r="M48" s="396">
        <v>0.1</v>
      </c>
    </row>
    <row r="49" spans="1:13">
      <c r="A49" s="415" t="s">
        <v>221</v>
      </c>
      <c r="B49" s="407">
        <v>3</v>
      </c>
      <c r="C49" s="408">
        <v>36555</v>
      </c>
      <c r="D49" s="414">
        <v>36555</v>
      </c>
      <c r="F49" s="406">
        <v>8</v>
      </c>
      <c r="G49" s="500"/>
      <c r="H49" s="502">
        <v>0</v>
      </c>
      <c r="I49" s="502">
        <v>0</v>
      </c>
      <c r="J49" s="502">
        <v>0</v>
      </c>
      <c r="K49" s="395">
        <v>0</v>
      </c>
      <c r="L49" s="395">
        <v>0.1</v>
      </c>
      <c r="M49" s="396">
        <v>0.1</v>
      </c>
    </row>
    <row r="50" spans="1:13">
      <c r="A50" s="415" t="s">
        <v>220</v>
      </c>
      <c r="B50" s="407">
        <v>2</v>
      </c>
      <c r="C50" s="408">
        <v>36950</v>
      </c>
      <c r="D50" s="414">
        <v>36950</v>
      </c>
      <c r="F50" s="406">
        <v>9</v>
      </c>
      <c r="G50" s="500"/>
      <c r="H50" s="502">
        <v>0</v>
      </c>
      <c r="I50" s="502">
        <v>0</v>
      </c>
      <c r="J50" s="502">
        <v>0</v>
      </c>
      <c r="K50" s="395">
        <v>0</v>
      </c>
      <c r="L50" s="395">
        <v>0</v>
      </c>
      <c r="M50" s="396">
        <v>0</v>
      </c>
    </row>
    <row r="51" spans="1:13">
      <c r="A51" s="415" t="s">
        <v>219</v>
      </c>
      <c r="B51" s="407">
        <v>2</v>
      </c>
      <c r="C51" s="408">
        <v>36980</v>
      </c>
      <c r="D51" s="414">
        <v>36980</v>
      </c>
      <c r="F51" s="406">
        <v>10</v>
      </c>
      <c r="G51" s="500"/>
      <c r="H51" s="502">
        <v>0</v>
      </c>
      <c r="I51" s="502">
        <v>0</v>
      </c>
      <c r="J51" s="502">
        <v>0</v>
      </c>
      <c r="K51" s="395">
        <v>0</v>
      </c>
      <c r="L51" s="395">
        <v>0</v>
      </c>
      <c r="M51" s="396">
        <v>0</v>
      </c>
    </row>
    <row r="52" spans="1:13" ht="13.5" thickBot="1">
      <c r="A52" s="416" t="s">
        <v>218</v>
      </c>
      <c r="B52" s="417">
        <v>2</v>
      </c>
      <c r="C52" s="418">
        <v>37011</v>
      </c>
      <c r="D52" s="419">
        <v>37011</v>
      </c>
      <c r="F52" s="406">
        <v>11</v>
      </c>
      <c r="G52" s="500"/>
      <c r="H52" s="502">
        <v>0</v>
      </c>
      <c r="I52" s="502">
        <v>0</v>
      </c>
      <c r="J52" s="502">
        <v>0</v>
      </c>
      <c r="K52" s="395">
        <v>0</v>
      </c>
      <c r="L52" s="395">
        <v>0</v>
      </c>
      <c r="M52" s="396">
        <v>0</v>
      </c>
    </row>
    <row r="53" spans="1:13">
      <c r="F53" s="406">
        <v>12</v>
      </c>
      <c r="G53" s="500"/>
      <c r="H53" s="502">
        <v>0</v>
      </c>
      <c r="I53" s="502">
        <v>0</v>
      </c>
      <c r="J53" s="502">
        <v>0</v>
      </c>
      <c r="K53" s="395">
        <v>0</v>
      </c>
      <c r="L53" s="395">
        <v>0</v>
      </c>
      <c r="M53" s="396">
        <v>0</v>
      </c>
    </row>
    <row r="54" spans="1:13" ht="13.5" thickBot="1">
      <c r="F54" s="406">
        <v>13</v>
      </c>
      <c r="G54" s="500"/>
      <c r="H54" s="502">
        <v>0</v>
      </c>
      <c r="I54" s="502">
        <v>0</v>
      </c>
      <c r="J54" s="502">
        <v>0</v>
      </c>
      <c r="K54" s="395">
        <v>0</v>
      </c>
      <c r="L54" s="395">
        <v>0</v>
      </c>
      <c r="M54" s="396">
        <v>0</v>
      </c>
    </row>
    <row r="55" spans="1:13">
      <c r="A55" s="276" t="s">
        <v>345</v>
      </c>
      <c r="B55" s="38"/>
      <c r="C55" s="38"/>
      <c r="D55" s="273"/>
      <c r="F55" s="406">
        <v>14</v>
      </c>
      <c r="G55" s="500"/>
      <c r="H55" s="395">
        <v>0</v>
      </c>
      <c r="I55" s="395">
        <v>0</v>
      </c>
      <c r="J55" s="395">
        <v>0</v>
      </c>
      <c r="K55" s="395">
        <v>0</v>
      </c>
      <c r="L55" s="395">
        <v>0</v>
      </c>
      <c r="M55" s="396">
        <v>0</v>
      </c>
    </row>
    <row r="56" spans="1:13" ht="13.5" thickBot="1">
      <c r="A56" s="41" t="s">
        <v>231</v>
      </c>
      <c r="B56" s="13"/>
      <c r="C56" s="13"/>
      <c r="D56" s="274">
        <v>13950</v>
      </c>
      <c r="F56" s="449">
        <v>15</v>
      </c>
      <c r="G56" s="535"/>
      <c r="H56" s="398">
        <v>0</v>
      </c>
      <c r="I56" s="398">
        <v>0</v>
      </c>
      <c r="J56" s="398">
        <v>0</v>
      </c>
      <c r="K56" s="398">
        <v>0</v>
      </c>
      <c r="L56" s="398">
        <v>0</v>
      </c>
      <c r="M56" s="399">
        <v>0</v>
      </c>
    </row>
    <row r="57" spans="1:13" ht="13.5" thickBot="1">
      <c r="A57" s="41" t="s">
        <v>232</v>
      </c>
      <c r="B57" s="13"/>
      <c r="C57" s="13"/>
      <c r="D57" s="274">
        <v>289.6162739983738</v>
      </c>
      <c r="F57" s="421" t="s">
        <v>348</v>
      </c>
      <c r="G57" s="397"/>
      <c r="H57" s="398">
        <f t="shared" ref="H57:M57" si="6">SUM(H42:H56)</f>
        <v>1</v>
      </c>
      <c r="I57" s="398">
        <f t="shared" si="6"/>
        <v>1</v>
      </c>
      <c r="J57" s="398">
        <f t="shared" si="6"/>
        <v>1</v>
      </c>
      <c r="K57" s="398">
        <f t="shared" si="6"/>
        <v>1</v>
      </c>
      <c r="L57" s="398">
        <f t="shared" si="6"/>
        <v>1</v>
      </c>
      <c r="M57" s="399">
        <f t="shared" si="6"/>
        <v>1</v>
      </c>
    </row>
    <row r="58" spans="1:13" ht="13.5" thickBot="1">
      <c r="A58" s="172" t="s">
        <v>230</v>
      </c>
      <c r="B58" s="42"/>
      <c r="C58" s="42"/>
      <c r="D58" s="275">
        <v>20.833333333333314</v>
      </c>
      <c r="E58" s="66"/>
    </row>
    <row r="59" spans="1:13" ht="13.5" thickBot="1">
      <c r="A59" s="277" t="s">
        <v>346</v>
      </c>
      <c r="B59" s="278"/>
      <c r="C59" s="278"/>
      <c r="D59" s="279">
        <f>SUM(D56:D58)</f>
        <v>14260.449607331708</v>
      </c>
    </row>
    <row r="60" spans="1:13">
      <c r="C60" s="18"/>
      <c r="D60" s="18"/>
    </row>
    <row r="61" spans="1:13">
      <c r="B61" s="18"/>
      <c r="C61" s="18"/>
      <c r="D61" s="18"/>
    </row>
    <row r="62" spans="1:13">
      <c r="A62" s="18"/>
      <c r="B62" s="18"/>
      <c r="C62" s="18"/>
      <c r="D62" s="18"/>
    </row>
  </sheetData>
  <pageMargins left="0.45" right="0.45" top="0.5" bottom="0.5" header="0.25" footer="0.25"/>
  <pageSetup scale="62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28515625" defaultRowHeight="12.75"/>
  <cols>
    <col min="1" max="1" width="63.85546875" style="12" bestFit="1" customWidth="1"/>
    <col min="2" max="6" width="24.5703125" style="12" customWidth="1"/>
    <col min="7" max="16384" width="9.28515625" style="12"/>
  </cols>
  <sheetData>
    <row r="2" spans="1:4" ht="18.75">
      <c r="A2" s="87" t="str">
        <f>Assumptions!A3</f>
        <v>PROJECT NAME:</v>
      </c>
    </row>
    <row r="4" spans="1:4" ht="18.75">
      <c r="A4" s="170" t="s">
        <v>126</v>
      </c>
    </row>
    <row r="6" spans="1:4" ht="13.5" thickBot="1"/>
    <row r="7" spans="1:4" ht="13.5" thickBot="1">
      <c r="A7" s="499"/>
      <c r="B7" s="455" t="s">
        <v>411</v>
      </c>
      <c r="C7" s="456" t="s">
        <v>0</v>
      </c>
      <c r="D7" s="457"/>
    </row>
    <row r="8" spans="1:4">
      <c r="A8" s="458"/>
      <c r="B8" s="282" t="s">
        <v>128</v>
      </c>
      <c r="C8" s="282" t="s">
        <v>2</v>
      </c>
      <c r="D8" s="459" t="s">
        <v>418</v>
      </c>
    </row>
    <row r="9" spans="1:4" ht="13.5" thickBot="1">
      <c r="A9" s="460" t="s">
        <v>125</v>
      </c>
      <c r="B9" s="461" t="e">
        <f>'Returns Analysis'!C39</f>
        <v>#N/A</v>
      </c>
      <c r="C9" s="462" t="e">
        <f ca="1">Debt!E69</f>
        <v>#N/A</v>
      </c>
      <c r="D9" s="463" t="e">
        <f ca="1">Debt!E68</f>
        <v>#N/A</v>
      </c>
    </row>
    <row r="10" spans="1:4">
      <c r="A10" s="63"/>
      <c r="C10" s="464"/>
      <c r="D10" s="464"/>
    </row>
    <row r="11" spans="1:4" ht="13.5" thickBot="1"/>
    <row r="12" spans="1:4">
      <c r="A12" s="465" t="s">
        <v>376</v>
      </c>
      <c r="B12" s="466" t="e">
        <f>B9</f>
        <v>#N/A</v>
      </c>
      <c r="C12" s="467" t="e">
        <f ca="1">C9</f>
        <v>#N/A</v>
      </c>
      <c r="D12" s="468" t="e">
        <f ca="1">D9</f>
        <v>#N/A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5" thickBot="1">
      <c r="A18" s="172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abSelected="1" topLeftCell="A34" zoomScale="75" zoomScaleNormal="75" workbookViewId="0">
      <selection activeCell="P19" sqref="P19"/>
    </sheetView>
  </sheetViews>
  <sheetFormatPr defaultRowHeight="12.75"/>
  <cols>
    <col min="1" max="1" width="53.85546875" style="12" customWidth="1"/>
    <col min="2" max="2" width="20.140625" style="12" customWidth="1"/>
    <col min="3" max="3" width="20.7109375" style="12" bestFit="1" customWidth="1"/>
    <col min="4" max="4" width="17.85546875" style="12" customWidth="1"/>
    <col min="5" max="5" width="4.28515625" style="12" customWidth="1"/>
    <col min="6" max="6" width="35" style="12" customWidth="1"/>
    <col min="7" max="7" width="18" style="12" customWidth="1"/>
    <col min="8" max="8" width="18.28515625" style="12" customWidth="1"/>
    <col min="9" max="10" width="17.85546875" style="12" customWidth="1"/>
    <col min="11" max="11" width="5" style="12" customWidth="1"/>
    <col min="12" max="12" width="34.7109375" style="12" customWidth="1"/>
    <col min="13" max="13" width="13.28515625" style="12" customWidth="1"/>
    <col min="14" max="14" width="16.140625" style="12" customWidth="1"/>
    <col min="15" max="15" width="17.5703125" style="12" customWidth="1"/>
    <col min="16" max="16" width="18.140625" style="12" customWidth="1"/>
    <col min="17" max="23" width="12.85546875" style="12" customWidth="1"/>
    <col min="24" max="24" width="16" style="12" bestFit="1" customWidth="1"/>
    <col min="25" max="25" width="17.85546875" style="12" bestFit="1" customWidth="1"/>
    <col min="26" max="27" width="12" style="12" customWidth="1"/>
    <col min="28" max="28" width="13.7109375" style="12" bestFit="1" customWidth="1"/>
    <col min="29" max="33" width="12" style="12" customWidth="1"/>
    <col min="34" max="34" width="9.140625" style="12"/>
    <col min="35" max="37" width="10" style="12" customWidth="1"/>
    <col min="38" max="38" width="12" style="12" customWidth="1"/>
    <col min="39" max="39" width="17.5703125" style="12" customWidth="1"/>
    <col min="40" max="40" width="22.42578125" style="12" customWidth="1"/>
    <col min="41" max="41" width="19" style="12" customWidth="1"/>
    <col min="42" max="42" width="10.28515625" style="12" customWidth="1"/>
    <col min="43" max="62" width="13.140625" style="12" customWidth="1"/>
    <col min="63" max="63" width="9.140625" style="12"/>
    <col min="64" max="73" width="10" style="12" customWidth="1"/>
    <col min="74" max="74" width="9.140625" style="12"/>
    <col min="75" max="80" width="10" style="12" customWidth="1"/>
    <col min="81" max="81" width="9.140625" style="12"/>
    <col min="82" max="87" width="10" style="12" customWidth="1"/>
    <col min="88" max="16384" width="9.140625" style="12"/>
  </cols>
  <sheetData>
    <row r="1" spans="1:38" ht="25.5" hidden="1">
      <c r="A1" s="244" t="s">
        <v>84</v>
      </c>
      <c r="I1" s="80"/>
      <c r="AL1" s="80"/>
    </row>
    <row r="2" spans="1:38" ht="13.5" customHeight="1">
      <c r="A2" s="244"/>
      <c r="I2" s="80"/>
      <c r="AL2" s="80"/>
    </row>
    <row r="3" spans="1:38" ht="19.5" customHeight="1">
      <c r="A3" s="179" t="s">
        <v>176</v>
      </c>
      <c r="I3" s="80"/>
      <c r="AL3" s="80"/>
    </row>
    <row r="4" spans="1:38" s="5" customFormat="1" ht="19.5" customHeight="1">
      <c r="A4" s="245"/>
      <c r="I4" s="177"/>
      <c r="AL4" s="177"/>
    </row>
    <row r="5" spans="1:38" ht="19.5" customHeight="1">
      <c r="A5" s="170" t="s">
        <v>3</v>
      </c>
      <c r="C5" s="5"/>
      <c r="D5" s="5"/>
    </row>
    <row r="7" spans="1:38" ht="13.5" thickBot="1"/>
    <row r="8" spans="1:38" ht="15.75">
      <c r="A8" s="95" t="s">
        <v>4</v>
      </c>
      <c r="B8" s="38"/>
      <c r="C8" s="38"/>
      <c r="D8" s="185"/>
      <c r="E8" s="13"/>
      <c r="F8" s="94" t="s">
        <v>92</v>
      </c>
      <c r="G8" s="114"/>
      <c r="H8" s="115"/>
      <c r="I8" s="201"/>
      <c r="J8" s="39"/>
      <c r="L8" s="95" t="s">
        <v>204</v>
      </c>
      <c r="M8" s="120"/>
      <c r="N8" s="38"/>
      <c r="O8" s="38"/>
      <c r="P8" s="38"/>
      <c r="Q8" s="39"/>
      <c r="U8" s="321" t="s">
        <v>237</v>
      </c>
      <c r="V8" s="322" t="s">
        <v>242</v>
      </c>
      <c r="W8" s="322" t="s">
        <v>246</v>
      </c>
      <c r="X8" s="322" t="s">
        <v>127</v>
      </c>
      <c r="Y8" s="322" t="s">
        <v>262</v>
      </c>
      <c r="Z8" s="322" t="s">
        <v>263</v>
      </c>
      <c r="AA8" s="322" t="s">
        <v>264</v>
      </c>
      <c r="AB8" s="341" t="s">
        <v>322</v>
      </c>
    </row>
    <row r="9" spans="1:38" ht="15.75">
      <c r="A9" s="41"/>
      <c r="B9" s="13"/>
      <c r="C9" s="13"/>
      <c r="D9" s="40"/>
      <c r="E9" s="13"/>
      <c r="F9" s="117"/>
      <c r="G9" s="176"/>
      <c r="H9" s="176"/>
      <c r="I9" s="13"/>
      <c r="J9" s="40"/>
      <c r="L9" s="119" t="s">
        <v>310</v>
      </c>
      <c r="M9" s="13"/>
      <c r="N9" s="13"/>
      <c r="O9" s="13"/>
      <c r="P9" s="13"/>
      <c r="Q9" s="40"/>
      <c r="U9" s="312" t="s">
        <v>241</v>
      </c>
      <c r="V9" s="313" t="s">
        <v>243</v>
      </c>
      <c r="W9" s="313" t="s">
        <v>316</v>
      </c>
      <c r="X9" s="313" t="s">
        <v>258</v>
      </c>
      <c r="Y9" s="313" t="s">
        <v>267</v>
      </c>
      <c r="Z9" s="313" t="s">
        <v>265</v>
      </c>
      <c r="AA9" s="313" t="s">
        <v>265</v>
      </c>
      <c r="AB9" s="342" t="s">
        <v>325</v>
      </c>
    </row>
    <row r="10" spans="1:38" ht="15.75">
      <c r="A10" s="96" t="s">
        <v>6</v>
      </c>
      <c r="B10" s="97" t="s">
        <v>7</v>
      </c>
      <c r="C10" s="194" t="s">
        <v>8</v>
      </c>
      <c r="D10" s="329" t="s">
        <v>201</v>
      </c>
      <c r="E10" s="13"/>
      <c r="F10" s="117" t="s">
        <v>106</v>
      </c>
      <c r="G10" s="13"/>
      <c r="H10" s="219" t="s">
        <v>120</v>
      </c>
      <c r="I10" s="13"/>
      <c r="J10" s="40"/>
      <c r="L10" s="41"/>
      <c r="M10" s="13"/>
      <c r="N10" s="13"/>
      <c r="O10" s="13"/>
      <c r="P10" s="13"/>
      <c r="Q10" s="40"/>
      <c r="U10" s="280" t="s">
        <v>238</v>
      </c>
      <c r="V10" s="205" t="s">
        <v>244</v>
      </c>
      <c r="W10" s="205" t="s">
        <v>317</v>
      </c>
      <c r="X10" s="205" t="s">
        <v>256</v>
      </c>
      <c r="Y10" s="205" t="s">
        <v>331</v>
      </c>
      <c r="Z10" s="205" t="s">
        <v>266</v>
      </c>
      <c r="AA10" s="205" t="s">
        <v>266</v>
      </c>
      <c r="AB10" s="343" t="s">
        <v>323</v>
      </c>
    </row>
    <row r="11" spans="1:38" ht="15.75">
      <c r="A11" s="99" t="s">
        <v>9</v>
      </c>
      <c r="B11" s="259" t="e">
        <f>C11/C14</f>
        <v>#N/A</v>
      </c>
      <c r="C11" s="195" t="e">
        <f>C58-C12</f>
        <v>#N/A</v>
      </c>
      <c r="D11" s="330" t="e">
        <f>C11/$H$68</f>
        <v>#N/A</v>
      </c>
      <c r="E11" s="13"/>
      <c r="F11" s="117" t="s">
        <v>216</v>
      </c>
      <c r="G11" s="13"/>
      <c r="H11" s="271">
        <v>14260.449607331708</v>
      </c>
      <c r="I11" s="13"/>
      <c r="J11" s="40"/>
      <c r="L11" s="119" t="s">
        <v>133</v>
      </c>
      <c r="M11" s="13"/>
      <c r="N11" s="527">
        <v>0.02</v>
      </c>
      <c r="O11" s="221"/>
      <c r="P11" s="13"/>
      <c r="Q11" s="40"/>
      <c r="U11" s="280" t="s">
        <v>39</v>
      </c>
      <c r="V11" s="205" t="s">
        <v>241</v>
      </c>
      <c r="W11" s="205"/>
      <c r="X11" s="205" t="s">
        <v>318</v>
      </c>
      <c r="Y11" s="205"/>
      <c r="Z11" s="205"/>
      <c r="AA11" s="205"/>
      <c r="AB11" s="343" t="s">
        <v>324</v>
      </c>
    </row>
    <row r="12" spans="1:38" ht="15.75">
      <c r="A12" s="99" t="s">
        <v>87</v>
      </c>
      <c r="B12" s="152" t="e">
        <f>C12/C14</f>
        <v>#N/A</v>
      </c>
      <c r="C12" s="195">
        <f>Debt!B19</f>
        <v>59653.800966475392</v>
      </c>
      <c r="D12" s="330" t="e">
        <f>C12/$H$68</f>
        <v>#DIV/0!</v>
      </c>
      <c r="E12" s="13"/>
      <c r="F12" s="117" t="s">
        <v>11</v>
      </c>
      <c r="G12" s="176"/>
      <c r="H12" s="507">
        <v>0</v>
      </c>
      <c r="I12" s="111"/>
      <c r="J12" s="40"/>
      <c r="L12" s="102"/>
      <c r="M12" s="13"/>
      <c r="N12" s="13"/>
      <c r="O12" s="221"/>
      <c r="P12" s="13"/>
      <c r="Q12" s="40"/>
      <c r="U12" s="323"/>
      <c r="V12" s="205" t="s">
        <v>39</v>
      </c>
      <c r="W12" s="13"/>
      <c r="X12" s="205" t="s">
        <v>261</v>
      </c>
      <c r="Y12" s="13"/>
      <c r="Z12" s="13"/>
      <c r="AA12" s="13"/>
      <c r="AB12" s="318"/>
    </row>
    <row r="13" spans="1:38" ht="15.75">
      <c r="A13" s="100"/>
      <c r="B13" s="246"/>
      <c r="C13" s="195"/>
      <c r="D13" s="330"/>
      <c r="E13" s="13"/>
      <c r="F13" s="117" t="s">
        <v>270</v>
      </c>
      <c r="G13" s="176"/>
      <c r="H13" s="508">
        <v>0</v>
      </c>
      <c r="I13" s="111"/>
      <c r="J13" s="40"/>
      <c r="L13" s="119" t="s">
        <v>89</v>
      </c>
      <c r="M13" s="13"/>
      <c r="N13" s="542" t="s">
        <v>435</v>
      </c>
      <c r="O13" s="13"/>
      <c r="P13" s="543" t="s">
        <v>436</v>
      </c>
      <c r="Q13" s="40"/>
      <c r="U13" s="312">
        <v>2</v>
      </c>
      <c r="V13" s="313">
        <v>1</v>
      </c>
      <c r="W13" s="313">
        <v>1</v>
      </c>
      <c r="X13" s="313">
        <v>1</v>
      </c>
      <c r="Y13" s="313">
        <v>2</v>
      </c>
      <c r="Z13" s="313">
        <v>1</v>
      </c>
      <c r="AA13" s="313">
        <f>IF(C28&gt;0,1,2)</f>
        <v>2</v>
      </c>
      <c r="AB13" s="342">
        <v>1</v>
      </c>
    </row>
    <row r="14" spans="1:38" ht="15.75">
      <c r="A14" s="101" t="s">
        <v>10</v>
      </c>
      <c r="B14" s="149" t="e">
        <f>C14/$C$14</f>
        <v>#N/A</v>
      </c>
      <c r="C14" s="196" t="e">
        <f>SUM(C11:C12)</f>
        <v>#N/A</v>
      </c>
      <c r="D14" s="430" t="e">
        <f>C14/$H$68</f>
        <v>#N/A</v>
      </c>
      <c r="E14" s="13"/>
      <c r="F14" s="117" t="s">
        <v>379</v>
      </c>
      <c r="G14" s="176"/>
      <c r="H14" s="507">
        <v>0</v>
      </c>
      <c r="I14" s="13"/>
      <c r="J14" s="40"/>
      <c r="L14" s="41"/>
      <c r="M14" s="13"/>
      <c r="N14" s="204" t="s">
        <v>426</v>
      </c>
      <c r="O14" s="13"/>
      <c r="P14" s="204" t="s">
        <v>426</v>
      </c>
      <c r="Q14" s="40"/>
      <c r="U14" s="281" t="str">
        <f>CHOOSE(U13,U9,U10,U11)</f>
        <v>Fixed</v>
      </c>
      <c r="V14" s="282" t="str">
        <f>CHOOSE(V13,V9,V10,V11,V12)</f>
        <v>Base</v>
      </c>
      <c r="W14" s="282" t="str">
        <f>CHOOSE(W13,W9,W10,W11,W12)</f>
        <v>Pass-through</v>
      </c>
      <c r="X14" s="282" t="str">
        <f>CHOOSE(X13,X9,X10,X11,X12)</f>
        <v>EBITDA Exit Multiple</v>
      </c>
      <c r="Y14" s="282">
        <f>IF(Y13=1,1,2)</f>
        <v>2</v>
      </c>
      <c r="Z14" s="282">
        <f>IF(C32&gt;0,10,20)</f>
        <v>20</v>
      </c>
      <c r="AA14" s="282" t="str">
        <f>CHOOSE(AA13,AA9,AA10,AA11,AA12)</f>
        <v>No</v>
      </c>
      <c r="AB14" s="314" t="str">
        <f>CHOOSE(AB13,AB9,AB10,AB11,AB12)</f>
        <v>Bank LT Debt</v>
      </c>
    </row>
    <row r="15" spans="1:38" ht="15.75">
      <c r="A15" s="41"/>
      <c r="B15" s="13"/>
      <c r="C15" s="13"/>
      <c r="D15" s="332"/>
      <c r="E15" s="13"/>
      <c r="F15" s="117" t="s">
        <v>380</v>
      </c>
      <c r="G15" s="176"/>
      <c r="H15" s="507">
        <v>0</v>
      </c>
      <c r="I15" s="111"/>
      <c r="J15" s="40"/>
      <c r="L15" s="102" t="s">
        <v>249</v>
      </c>
      <c r="M15" s="13"/>
      <c r="N15" s="524">
        <v>0</v>
      </c>
      <c r="O15" s="13"/>
      <c r="P15" s="524">
        <v>0</v>
      </c>
      <c r="Q15" s="40"/>
    </row>
    <row r="16" spans="1:38" ht="15.75">
      <c r="A16" s="41"/>
      <c r="B16" s="13"/>
      <c r="C16" s="13"/>
      <c r="D16" s="332"/>
      <c r="E16" s="13"/>
      <c r="F16" s="117" t="s">
        <v>196</v>
      </c>
      <c r="G16" s="13"/>
      <c r="H16" s="220" t="e">
        <f>HLOOKUP(Assumptions!$H$12,IDC!I40:M41,2)</f>
        <v>#N/A</v>
      </c>
      <c r="I16" s="13"/>
      <c r="J16" s="40"/>
      <c r="L16" s="105" t="s">
        <v>250</v>
      </c>
      <c r="M16" s="13"/>
      <c r="N16" s="541">
        <v>0</v>
      </c>
      <c r="O16" s="13"/>
      <c r="P16" s="541">
        <v>0</v>
      </c>
      <c r="Q16" s="40"/>
      <c r="U16" s="316"/>
      <c r="V16" s="57" t="s">
        <v>271</v>
      </c>
      <c r="W16" s="317" t="s">
        <v>272</v>
      </c>
    </row>
    <row r="17" spans="1:23" ht="15.75">
      <c r="A17" s="96" t="s">
        <v>105</v>
      </c>
      <c r="B17" s="97"/>
      <c r="C17" s="197"/>
      <c r="D17" s="330"/>
      <c r="E17" s="13"/>
      <c r="F17" s="117" t="s">
        <v>108</v>
      </c>
      <c r="G17" s="176"/>
      <c r="H17" s="250">
        <v>37012</v>
      </c>
      <c r="I17" s="13"/>
      <c r="J17" s="40"/>
      <c r="L17" s="117" t="s">
        <v>247</v>
      </c>
      <c r="M17" s="6"/>
      <c r="N17" s="286">
        <f>SUM(N15:N16)</f>
        <v>0</v>
      </c>
      <c r="O17" s="13"/>
      <c r="P17" s="286">
        <f>SUM(P15:P16)</f>
        <v>0</v>
      </c>
      <c r="Q17" s="40"/>
      <c r="U17" s="55" t="s">
        <v>267</v>
      </c>
      <c r="V17" s="13">
        <v>11</v>
      </c>
      <c r="W17" s="318">
        <v>21</v>
      </c>
    </row>
    <row r="18" spans="1:23" ht="15.75">
      <c r="A18" s="99" t="s">
        <v>420</v>
      </c>
      <c r="B18" s="13"/>
      <c r="C18" s="13"/>
      <c r="D18" s="332"/>
      <c r="E18" s="13"/>
      <c r="F18" s="102" t="s">
        <v>136</v>
      </c>
      <c r="G18" s="98"/>
      <c r="H18" s="264">
        <f>13-MONTH(H17)</f>
        <v>8</v>
      </c>
      <c r="I18" s="111"/>
      <c r="J18" s="40"/>
      <c r="L18" s="41"/>
      <c r="M18" s="13"/>
      <c r="N18" s="13"/>
      <c r="O18" s="13"/>
      <c r="P18" s="13"/>
      <c r="Q18" s="40"/>
      <c r="U18" s="319" t="s">
        <v>268</v>
      </c>
      <c r="V18" s="58">
        <v>12</v>
      </c>
      <c r="W18" s="283">
        <v>22</v>
      </c>
    </row>
    <row r="19" spans="1:23" ht="15.75">
      <c r="A19" s="102" t="s">
        <v>421</v>
      </c>
      <c r="B19" s="168" t="e">
        <f>C19/$C$58</f>
        <v>#N/A</v>
      </c>
      <c r="C19" s="198">
        <f>H11*H12</f>
        <v>0</v>
      </c>
      <c r="D19" s="330" t="e">
        <f>C19/$H$68</f>
        <v>#DIV/0!</v>
      </c>
      <c r="E19" s="13"/>
      <c r="F19" s="117" t="s">
        <v>107</v>
      </c>
      <c r="G19" s="13"/>
      <c r="H19" s="507">
        <v>20</v>
      </c>
      <c r="I19" s="111"/>
      <c r="J19" s="40"/>
      <c r="L19" s="102" t="s">
        <v>203</v>
      </c>
      <c r="M19" s="13"/>
      <c r="N19" s="526">
        <v>0</v>
      </c>
      <c r="O19" s="261" t="e">
        <f t="shared" ref="O19:O25" si="0">N19/$H$68</f>
        <v>#DIV/0!</v>
      </c>
      <c r="P19" s="526">
        <v>0</v>
      </c>
      <c r="Q19" s="544" t="e">
        <f t="shared" ref="Q19:Q25" si="1">P19/$H$68</f>
        <v>#DIV/0!</v>
      </c>
    </row>
    <row r="20" spans="1:23" ht="15.75">
      <c r="A20" s="102" t="s">
        <v>259</v>
      </c>
      <c r="B20" s="168" t="e">
        <f>C20/$C$58</f>
        <v>#N/A</v>
      </c>
      <c r="C20" s="198">
        <f>62*H12</f>
        <v>0</v>
      </c>
      <c r="D20" s="330" t="e">
        <f>C20/$H$68</f>
        <v>#DIV/0!</v>
      </c>
      <c r="E20" s="13"/>
      <c r="F20" s="117" t="s">
        <v>304</v>
      </c>
      <c r="G20" s="13"/>
      <c r="H20" s="509"/>
      <c r="I20" s="111"/>
      <c r="J20" s="40"/>
      <c r="L20" s="102" t="s">
        <v>35</v>
      </c>
      <c r="M20" s="13"/>
      <c r="N20" s="526">
        <v>0</v>
      </c>
      <c r="O20" s="261" t="e">
        <f t="shared" si="0"/>
        <v>#DIV/0!</v>
      </c>
      <c r="P20" s="526">
        <v>0</v>
      </c>
      <c r="Q20" s="544" t="e">
        <f t="shared" si="1"/>
        <v>#DIV/0!</v>
      </c>
    </row>
    <row r="21" spans="1:23" ht="15.75">
      <c r="A21" s="46" t="s">
        <v>432</v>
      </c>
      <c r="B21" s="168" t="e">
        <f>C21/$C$58</f>
        <v>#N/A</v>
      </c>
      <c r="C21" s="198">
        <f>450*H12</f>
        <v>0</v>
      </c>
      <c r="D21" s="330" t="e">
        <f>C21/$H$68</f>
        <v>#DIV/0!</v>
      </c>
      <c r="E21" s="13"/>
      <c r="F21" s="41"/>
      <c r="G21" s="13"/>
      <c r="H21" s="13"/>
      <c r="I21" s="13"/>
      <c r="J21" s="40"/>
      <c r="L21" s="102" t="s">
        <v>36</v>
      </c>
      <c r="M21" s="13"/>
      <c r="N21" s="526">
        <v>0</v>
      </c>
      <c r="O21" s="261" t="e">
        <f t="shared" si="0"/>
        <v>#DIV/0!</v>
      </c>
      <c r="P21" s="526">
        <v>0</v>
      </c>
      <c r="Q21" s="544" t="e">
        <f t="shared" si="1"/>
        <v>#DIV/0!</v>
      </c>
    </row>
    <row r="22" spans="1:23" ht="15.75">
      <c r="A22" s="102" t="s">
        <v>179</v>
      </c>
      <c r="B22" s="168" t="e">
        <f t="shared" ref="B22:B33" si="2">C22/$C$58</f>
        <v>#N/A</v>
      </c>
      <c r="C22" s="515">
        <v>0</v>
      </c>
      <c r="D22" s="330" t="e">
        <f t="shared" ref="D22:D33" si="3">C22/$H$68</f>
        <v>#DIV/0!</v>
      </c>
      <c r="E22" s="13"/>
      <c r="F22" s="116" t="s">
        <v>257</v>
      </c>
      <c r="G22" s="13"/>
      <c r="H22" s="311"/>
      <c r="I22" s="13"/>
      <c r="J22" s="40"/>
      <c r="L22" s="102" t="s">
        <v>352</v>
      </c>
      <c r="M22" s="13"/>
      <c r="N22" s="526">
        <v>0</v>
      </c>
      <c r="O22" s="261" t="e">
        <f t="shared" si="0"/>
        <v>#DIV/0!</v>
      </c>
      <c r="P22" s="526">
        <v>0</v>
      </c>
      <c r="Q22" s="544" t="e">
        <f t="shared" si="1"/>
        <v>#DIV/0!</v>
      </c>
    </row>
    <row r="23" spans="1:23" ht="15.75">
      <c r="A23" s="102" t="s">
        <v>110</v>
      </c>
      <c r="B23" s="168" t="e">
        <f t="shared" si="2"/>
        <v>#N/A</v>
      </c>
      <c r="C23" s="515">
        <v>0</v>
      </c>
      <c r="D23" s="330" t="e">
        <f t="shared" si="3"/>
        <v>#DIV/0!</v>
      </c>
      <c r="E23" s="13"/>
      <c r="F23" s="310" t="s">
        <v>258</v>
      </c>
      <c r="G23" s="176"/>
      <c r="H23" s="510">
        <v>5</v>
      </c>
      <c r="I23" s="339"/>
      <c r="J23" s="40"/>
      <c r="L23" s="102" t="s">
        <v>45</v>
      </c>
      <c r="M23" s="13"/>
      <c r="N23" s="526">
        <v>0</v>
      </c>
      <c r="O23" s="261" t="e">
        <f t="shared" si="0"/>
        <v>#DIV/0!</v>
      </c>
      <c r="P23" s="526">
        <v>0</v>
      </c>
      <c r="Q23" s="544" t="e">
        <f t="shared" si="1"/>
        <v>#DIV/0!</v>
      </c>
    </row>
    <row r="24" spans="1:23" ht="15.75">
      <c r="A24" s="102" t="s">
        <v>111</v>
      </c>
      <c r="B24" s="168" t="e">
        <f t="shared" si="2"/>
        <v>#N/A</v>
      </c>
      <c r="C24" s="515">
        <v>0</v>
      </c>
      <c r="D24" s="330" t="e">
        <f t="shared" si="3"/>
        <v>#DIV/0!</v>
      </c>
      <c r="E24" s="13"/>
      <c r="F24" s="310" t="s">
        <v>378</v>
      </c>
      <c r="G24" s="13"/>
      <c r="H24" s="511">
        <v>0.2</v>
      </c>
      <c r="I24" s="111"/>
      <c r="J24" s="40"/>
      <c r="L24" s="102" t="s">
        <v>37</v>
      </c>
      <c r="M24" s="13"/>
      <c r="N24" s="526">
        <v>0</v>
      </c>
      <c r="O24" s="261" t="e">
        <f t="shared" si="0"/>
        <v>#DIV/0!</v>
      </c>
      <c r="P24" s="526">
        <v>0</v>
      </c>
      <c r="Q24" s="544" t="e">
        <f t="shared" si="1"/>
        <v>#DIV/0!</v>
      </c>
    </row>
    <row r="25" spans="1:23" ht="16.5" thickBot="1">
      <c r="A25" s="102" t="s">
        <v>112</v>
      </c>
      <c r="B25" s="168" t="e">
        <f t="shared" si="2"/>
        <v>#N/A</v>
      </c>
      <c r="C25" s="515">
        <v>0</v>
      </c>
      <c r="D25" s="330" t="e">
        <f t="shared" si="3"/>
        <v>#DIV/0!</v>
      </c>
      <c r="E25" s="13"/>
      <c r="F25" s="247" t="s">
        <v>201</v>
      </c>
      <c r="G25" s="42"/>
      <c r="H25" s="512">
        <v>200</v>
      </c>
      <c r="I25" s="42"/>
      <c r="J25" s="81"/>
      <c r="L25" s="105" t="s">
        <v>38</v>
      </c>
      <c r="M25" s="217"/>
      <c r="N25" s="525">
        <v>0</v>
      </c>
      <c r="O25" s="285" t="e">
        <f t="shared" si="0"/>
        <v>#DIV/0!</v>
      </c>
      <c r="P25" s="525">
        <v>0</v>
      </c>
      <c r="Q25" s="545" t="e">
        <f t="shared" si="1"/>
        <v>#DIV/0!</v>
      </c>
    </row>
    <row r="26" spans="1:23" ht="16.5" thickBot="1">
      <c r="A26" s="102" t="s">
        <v>113</v>
      </c>
      <c r="B26" s="168" t="e">
        <f t="shared" si="2"/>
        <v>#N/A</v>
      </c>
      <c r="C26" s="515">
        <v>0</v>
      </c>
      <c r="D26" s="330" t="e">
        <f t="shared" si="3"/>
        <v>#DIV/0!</v>
      </c>
      <c r="E26" s="13"/>
      <c r="L26" s="117" t="s">
        <v>248</v>
      </c>
      <c r="M26" s="6"/>
      <c r="N26" s="264">
        <f>SUM(N19:N25)</f>
        <v>0</v>
      </c>
      <c r="O26" s="286" t="e">
        <f>SUM(O19:O25)</f>
        <v>#DIV/0!</v>
      </c>
      <c r="P26" s="264">
        <f>SUM(P19:P25)</f>
        <v>0</v>
      </c>
      <c r="Q26" s="284" t="e">
        <f>SUM(Q19:Q25)</f>
        <v>#DIV/0!</v>
      </c>
    </row>
    <row r="27" spans="1:23" ht="15.75">
      <c r="A27" s="102" t="s">
        <v>114</v>
      </c>
      <c r="B27" s="168" t="e">
        <f t="shared" si="2"/>
        <v>#N/A</v>
      </c>
      <c r="C27" s="515">
        <v>0</v>
      </c>
      <c r="D27" s="330" t="e">
        <f t="shared" si="3"/>
        <v>#DIV/0!</v>
      </c>
      <c r="E27" s="13"/>
      <c r="F27" s="95" t="s">
        <v>119</v>
      </c>
      <c r="G27" s="38"/>
      <c r="H27" s="38"/>
      <c r="I27" s="84"/>
      <c r="J27" s="39"/>
      <c r="L27" s="41"/>
      <c r="M27" s="13"/>
      <c r="N27" s="13"/>
      <c r="O27" s="13"/>
      <c r="P27" s="13"/>
      <c r="Q27" s="40"/>
      <c r="R27" s="3"/>
    </row>
    <row r="28" spans="1:23" ht="15.75">
      <c r="A28" s="102" t="s">
        <v>336</v>
      </c>
      <c r="B28" s="168" t="e">
        <f t="shared" si="2"/>
        <v>#N/A</v>
      </c>
      <c r="C28" s="515">
        <v>0</v>
      </c>
      <c r="D28" s="330" t="e">
        <f t="shared" si="3"/>
        <v>#DIV/0!</v>
      </c>
      <c r="E28" s="13"/>
      <c r="F28" s="337" t="s">
        <v>117</v>
      </c>
      <c r="G28" s="338"/>
      <c r="H28" s="338" t="s">
        <v>321</v>
      </c>
      <c r="I28" s="180"/>
      <c r="J28" s="315"/>
      <c r="L28" s="119" t="s">
        <v>90</v>
      </c>
      <c r="M28" s="13"/>
      <c r="N28" s="162"/>
      <c r="O28" s="222"/>
      <c r="P28" s="13"/>
      <c r="Q28" s="40"/>
      <c r="R28" s="3"/>
    </row>
    <row r="29" spans="1:23" ht="15.75">
      <c r="A29" s="102" t="s">
        <v>115</v>
      </c>
      <c r="B29" s="168" t="e">
        <f t="shared" si="2"/>
        <v>#N/A</v>
      </c>
      <c r="C29" s="515">
        <v>0</v>
      </c>
      <c r="D29" s="330" t="e">
        <f t="shared" si="3"/>
        <v>#DIV/0!</v>
      </c>
      <c r="E29" s="13"/>
      <c r="F29" s="310" t="s">
        <v>85</v>
      </c>
      <c r="G29" s="513">
        <v>36617</v>
      </c>
      <c r="H29" s="336"/>
      <c r="I29" s="180"/>
      <c r="J29" s="315"/>
      <c r="L29" s="102" t="s">
        <v>237</v>
      </c>
      <c r="M29" s="13"/>
      <c r="N29" s="264">
        <f>IS!C16</f>
        <v>0</v>
      </c>
      <c r="O29" s="222" t="e">
        <f>N29/$H$68</f>
        <v>#DIV/0!</v>
      </c>
      <c r="P29" s="13"/>
      <c r="Q29" s="40"/>
      <c r="R29" s="324"/>
    </row>
    <row r="30" spans="1:23" ht="15.75">
      <c r="A30" s="102" t="s">
        <v>180</v>
      </c>
      <c r="B30" s="168" t="e">
        <f t="shared" si="2"/>
        <v>#N/A</v>
      </c>
      <c r="C30" s="515">
        <v>0</v>
      </c>
      <c r="D30" s="330" t="e">
        <f t="shared" si="3"/>
        <v>#DIV/0!</v>
      </c>
      <c r="E30" s="13"/>
      <c r="F30" s="310" t="s">
        <v>129</v>
      </c>
      <c r="G30" s="513">
        <v>36557</v>
      </c>
      <c r="H30" s="336"/>
      <c r="I30" s="180"/>
      <c r="J30" s="315"/>
      <c r="L30" s="102" t="s">
        <v>215</v>
      </c>
      <c r="M30" s="13"/>
      <c r="N30" s="264">
        <f ca="1">IS!C23/IS!C6</f>
        <v>0</v>
      </c>
      <c r="O30" s="222" t="e">
        <f ca="1">N30/$H$68</f>
        <v>#DIV/0!</v>
      </c>
      <c r="P30" s="13"/>
      <c r="Q30" s="40"/>
      <c r="R30" s="3"/>
    </row>
    <row r="31" spans="1:23" ht="15.75">
      <c r="A31" s="102" t="s">
        <v>181</v>
      </c>
      <c r="B31" s="168" t="e">
        <f t="shared" si="2"/>
        <v>#N/A</v>
      </c>
      <c r="C31" s="515">
        <v>0</v>
      </c>
      <c r="D31" s="330" t="e">
        <f t="shared" si="3"/>
        <v>#DIV/0!</v>
      </c>
      <c r="E31" s="13"/>
      <c r="F31" s="41"/>
      <c r="G31" s="13"/>
      <c r="H31" s="6"/>
      <c r="I31" s="180"/>
      <c r="J31" s="315"/>
      <c r="L31" s="102" t="s">
        <v>205</v>
      </c>
      <c r="M31" s="13"/>
      <c r="N31" s="264" t="e">
        <f>IS!C24/IS!C6</f>
        <v>#N/A</v>
      </c>
      <c r="O31" s="222" t="e">
        <f>N31/$H$68</f>
        <v>#N/A</v>
      </c>
      <c r="P31" s="13"/>
      <c r="Q31" s="40"/>
      <c r="R31" s="3"/>
    </row>
    <row r="32" spans="1:23" ht="15.75">
      <c r="A32" s="102" t="s">
        <v>427</v>
      </c>
      <c r="B32" s="168" t="e">
        <f t="shared" si="2"/>
        <v>#N/A</v>
      </c>
      <c r="C32" s="515">
        <v>0</v>
      </c>
      <c r="D32" s="330" t="e">
        <f t="shared" si="3"/>
        <v>#DIV/0!</v>
      </c>
      <c r="E32" s="13"/>
      <c r="F32" s="106" t="s">
        <v>14</v>
      </c>
      <c r="G32" s="107">
        <f>Debt!B19</f>
        <v>59653.800966475392</v>
      </c>
      <c r="H32" s="107"/>
      <c r="I32" s="180"/>
      <c r="J32" s="315"/>
      <c r="L32" s="102" t="s">
        <v>209</v>
      </c>
      <c r="M32" s="13"/>
      <c r="N32" s="264">
        <f>IS!C25/IS!C6</f>
        <v>0</v>
      </c>
      <c r="O32" s="222" t="e">
        <f>N32/$H$68</f>
        <v>#DIV/0!</v>
      </c>
      <c r="P32" s="13"/>
      <c r="Q32" s="546"/>
      <c r="R32" s="3"/>
    </row>
    <row r="33" spans="1:18" ht="16.5" thickBot="1">
      <c r="A33" s="105" t="s">
        <v>116</v>
      </c>
      <c r="B33" s="184" t="e">
        <f t="shared" si="2"/>
        <v>#N/A</v>
      </c>
      <c r="C33" s="516">
        <v>0</v>
      </c>
      <c r="D33" s="331" t="e">
        <f t="shared" si="3"/>
        <v>#DIV/0!</v>
      </c>
      <c r="E33" s="13"/>
      <c r="F33" s="106" t="s">
        <v>15</v>
      </c>
      <c r="G33" s="514">
        <v>0</v>
      </c>
      <c r="H33" s="107"/>
      <c r="I33" s="180"/>
      <c r="J33" s="315"/>
      <c r="L33" s="104" t="s">
        <v>428</v>
      </c>
      <c r="M33" s="42"/>
      <c r="N33" s="266">
        <f>IS!C26/IS!C6</f>
        <v>0</v>
      </c>
      <c r="O33" s="223" t="e">
        <f>N33/$H$68</f>
        <v>#DIV/0!</v>
      </c>
      <c r="P33" s="42"/>
      <c r="Q33" s="81"/>
      <c r="R33" s="3"/>
    </row>
    <row r="34" spans="1:18" ht="16.5" thickBot="1">
      <c r="A34" s="102" t="s">
        <v>109</v>
      </c>
      <c r="B34" s="168" t="e">
        <f>SUM(B19:B33)</f>
        <v>#N/A</v>
      </c>
      <c r="C34" s="198">
        <f>SUM(C19:C33)</f>
        <v>0</v>
      </c>
      <c r="D34" s="330" t="e">
        <f>SUM(D19:D33)</f>
        <v>#DIV/0!</v>
      </c>
      <c r="E34" s="13"/>
      <c r="F34" s="106" t="s">
        <v>16</v>
      </c>
      <c r="G34" s="336">
        <v>42826</v>
      </c>
      <c r="H34" s="336"/>
      <c r="I34" s="180"/>
      <c r="J34" s="315"/>
      <c r="N34" s="200"/>
      <c r="R34" s="3"/>
    </row>
    <row r="35" spans="1:18" ht="15.75">
      <c r="A35" s="41"/>
      <c r="B35" s="13"/>
      <c r="C35" s="13"/>
      <c r="D35" s="332"/>
      <c r="E35" s="13"/>
      <c r="F35" s="106" t="s">
        <v>17</v>
      </c>
      <c r="G35" s="122" t="e">
        <f ca="1">Debt!E66</f>
        <v>#N/A</v>
      </c>
      <c r="H35" s="363" t="str">
        <f>IF(H32,Debt!#REF!," ")</f>
        <v xml:space="preserve"> </v>
      </c>
      <c r="I35" s="180"/>
      <c r="J35" s="315"/>
      <c r="L35" s="94" t="s">
        <v>22</v>
      </c>
      <c r="M35" s="115"/>
      <c r="N35" s="252"/>
      <c r="O35" s="120"/>
      <c r="P35" s="39"/>
      <c r="R35" s="5"/>
    </row>
    <row r="36" spans="1:18" ht="15.75">
      <c r="A36" s="99" t="s">
        <v>381</v>
      </c>
      <c r="B36" s="13"/>
      <c r="C36" s="13"/>
      <c r="D36" s="333"/>
      <c r="E36" s="13"/>
      <c r="F36" s="106"/>
      <c r="G36" s="13"/>
      <c r="H36" s="13"/>
      <c r="I36" s="180"/>
      <c r="J36" s="315"/>
      <c r="L36" s="41"/>
      <c r="M36" s="169"/>
      <c r="N36" s="13"/>
      <c r="O36" s="13"/>
      <c r="P36" s="40"/>
      <c r="R36" s="5"/>
    </row>
    <row r="37" spans="1:18" ht="15.75">
      <c r="A37" s="99" t="s">
        <v>168</v>
      </c>
      <c r="B37" s="168" t="e">
        <f t="shared" ref="B37:B49" si="4">C37/$C$58</f>
        <v>#N/A</v>
      </c>
      <c r="C37" s="515">
        <v>0</v>
      </c>
      <c r="D37" s="330" t="e">
        <f t="shared" ref="D37:D50" si="5">C37/$H$68</f>
        <v>#DIV/0!</v>
      </c>
      <c r="E37" s="13"/>
      <c r="F37" s="102" t="s">
        <v>18</v>
      </c>
      <c r="G37" s="517">
        <v>6.83E-2</v>
      </c>
      <c r="H37" s="517">
        <v>6.83E-2</v>
      </c>
      <c r="I37" s="180"/>
      <c r="J37" s="315"/>
      <c r="L37" s="102"/>
      <c r="M37" s="13"/>
      <c r="N37" s="148" t="s">
        <v>23</v>
      </c>
      <c r="O37" s="148" t="s">
        <v>24</v>
      </c>
      <c r="P37" s="171" t="s">
        <v>25</v>
      </c>
      <c r="R37" s="13"/>
    </row>
    <row r="38" spans="1:18" ht="15.75">
      <c r="A38" s="99" t="s">
        <v>431</v>
      </c>
      <c r="B38" s="168" t="e">
        <f t="shared" si="4"/>
        <v>#N/A</v>
      </c>
      <c r="C38" s="515">
        <v>0</v>
      </c>
      <c r="D38" s="330" t="e">
        <f t="shared" si="5"/>
        <v>#DIV/0!</v>
      </c>
      <c r="E38" s="13"/>
      <c r="F38" s="102" t="s">
        <v>19</v>
      </c>
      <c r="G38" s="518">
        <v>0.01</v>
      </c>
      <c r="H38" s="518">
        <v>0.01</v>
      </c>
      <c r="I38" s="180"/>
      <c r="J38" s="315"/>
      <c r="L38" s="116" t="s">
        <v>26</v>
      </c>
      <c r="M38" s="13"/>
      <c r="N38" s="253"/>
      <c r="O38" s="253"/>
      <c r="P38" s="103"/>
      <c r="R38" s="13"/>
    </row>
    <row r="39" spans="1:18" ht="15.75">
      <c r="A39" s="99" t="s">
        <v>169</v>
      </c>
      <c r="B39" s="168" t="e">
        <f t="shared" si="4"/>
        <v>#N/A</v>
      </c>
      <c r="C39" s="515">
        <v>0</v>
      </c>
      <c r="D39" s="330" t="e">
        <f t="shared" si="5"/>
        <v>#DIV/0!</v>
      </c>
      <c r="E39" s="13"/>
      <c r="F39" s="106" t="s">
        <v>326</v>
      </c>
      <c r="G39" s="108">
        <f>Debt!E64</f>
        <v>7.8299999999999995E-2</v>
      </c>
      <c r="H39" s="108">
        <f>SUM(H37:H38)</f>
        <v>7.8299999999999995E-2</v>
      </c>
      <c r="I39" s="180"/>
      <c r="J39" s="315"/>
      <c r="L39" s="117" t="s">
        <v>27</v>
      </c>
      <c r="M39" s="13"/>
      <c r="N39" s="262">
        <v>15</v>
      </c>
      <c r="O39" s="254" t="s">
        <v>28</v>
      </c>
      <c r="P39" s="189">
        <v>0</v>
      </c>
      <c r="R39" s="3"/>
    </row>
    <row r="40" spans="1:18" ht="15.75">
      <c r="A40" s="102" t="s">
        <v>430</v>
      </c>
      <c r="B40" s="168" t="e">
        <f t="shared" si="4"/>
        <v>#N/A</v>
      </c>
      <c r="C40" s="515">
        <v>0</v>
      </c>
      <c r="D40" s="330" t="e">
        <f t="shared" si="5"/>
        <v>#DIV/0!</v>
      </c>
      <c r="E40" s="13"/>
      <c r="F40" s="102"/>
      <c r="G40" s="98"/>
      <c r="H40" s="98"/>
      <c r="I40" s="98"/>
      <c r="J40" s="187"/>
      <c r="L40" s="117" t="s">
        <v>253</v>
      </c>
      <c r="M40" s="13"/>
      <c r="N40" s="262">
        <v>5</v>
      </c>
      <c r="O40" s="254" t="s">
        <v>30</v>
      </c>
      <c r="P40" s="189">
        <v>0</v>
      </c>
      <c r="R40" s="3"/>
    </row>
    <row r="41" spans="1:18" ht="15.75">
      <c r="A41" s="99" t="s">
        <v>170</v>
      </c>
      <c r="B41" s="168" t="e">
        <f t="shared" si="4"/>
        <v>#N/A</v>
      </c>
      <c r="C41" s="515">
        <v>0</v>
      </c>
      <c r="D41" s="330" t="e">
        <f t="shared" si="5"/>
        <v>#DIV/0!</v>
      </c>
      <c r="E41" s="13"/>
      <c r="F41" s="102" t="s">
        <v>130</v>
      </c>
      <c r="G41" s="514">
        <v>0</v>
      </c>
      <c r="H41" s="514">
        <v>0</v>
      </c>
      <c r="I41" s="98" t="s">
        <v>131</v>
      </c>
      <c r="J41" s="188"/>
      <c r="L41" s="117" t="s">
        <v>29</v>
      </c>
      <c r="M41" s="13"/>
      <c r="N41" s="262">
        <v>20</v>
      </c>
      <c r="O41" s="254" t="s">
        <v>30</v>
      </c>
      <c r="P41" s="189">
        <v>0</v>
      </c>
      <c r="R41" s="324"/>
    </row>
    <row r="42" spans="1:18" ht="15.75">
      <c r="A42" s="99" t="s">
        <v>178</v>
      </c>
      <c r="B42" s="168" t="e">
        <f t="shared" si="4"/>
        <v>#N/A</v>
      </c>
      <c r="C42" s="515">
        <v>0</v>
      </c>
      <c r="D42" s="330" t="e">
        <f t="shared" si="5"/>
        <v>#DIV/0!</v>
      </c>
      <c r="E42" s="13"/>
      <c r="F42" s="102" t="s">
        <v>20</v>
      </c>
      <c r="G42" s="519">
        <v>0.02</v>
      </c>
      <c r="H42" s="520"/>
      <c r="I42" s="98"/>
      <c r="J42" s="188"/>
      <c r="L42" s="117"/>
      <c r="M42" s="13"/>
      <c r="N42" s="255"/>
      <c r="O42" s="255"/>
      <c r="P42" s="256"/>
      <c r="R42" s="224"/>
    </row>
    <row r="43" spans="1:18" ht="15.75">
      <c r="A43" s="99" t="s">
        <v>171</v>
      </c>
      <c r="B43" s="168" t="e">
        <f t="shared" si="4"/>
        <v>#N/A</v>
      </c>
      <c r="C43" s="515">
        <v>0</v>
      </c>
      <c r="D43" s="330" t="e">
        <f t="shared" si="5"/>
        <v>#DIV/0!</v>
      </c>
      <c r="E43" s="13"/>
      <c r="F43" s="102" t="s">
        <v>21</v>
      </c>
      <c r="G43" s="519">
        <v>0</v>
      </c>
      <c r="H43" s="521"/>
      <c r="I43" s="13"/>
      <c r="J43" s="40"/>
      <c r="L43" s="116" t="s">
        <v>31</v>
      </c>
      <c r="M43" s="13"/>
      <c r="N43" s="255"/>
      <c r="O43" s="255"/>
      <c r="P43" s="190"/>
    </row>
    <row r="44" spans="1:18" ht="15.75">
      <c r="A44" s="99" t="s">
        <v>172</v>
      </c>
      <c r="B44" s="168" t="e">
        <f t="shared" si="4"/>
        <v>#N/A</v>
      </c>
      <c r="C44" s="515">
        <v>0</v>
      </c>
      <c r="D44" s="330" t="e">
        <f t="shared" si="5"/>
        <v>#DIV/0!</v>
      </c>
      <c r="E44" s="13"/>
      <c r="F44" s="41"/>
      <c r="G44" s="13"/>
      <c r="H44" s="13"/>
      <c r="I44" s="13"/>
      <c r="J44" s="40"/>
      <c r="L44" s="117" t="s">
        <v>27</v>
      </c>
      <c r="M44" s="13"/>
      <c r="N44" s="262">
        <v>30</v>
      </c>
      <c r="O44" s="254" t="s">
        <v>30</v>
      </c>
      <c r="P44" s="190">
        <v>0.1</v>
      </c>
    </row>
    <row r="45" spans="1:18" ht="15.75">
      <c r="A45" s="99" t="s">
        <v>175</v>
      </c>
      <c r="B45" s="168" t="e">
        <f t="shared" si="4"/>
        <v>#N/A</v>
      </c>
      <c r="C45" s="515">
        <v>0</v>
      </c>
      <c r="D45" s="330" t="e">
        <f t="shared" si="5"/>
        <v>#DIV/0!</v>
      </c>
      <c r="E45" s="13"/>
      <c r="F45" s="337" t="s">
        <v>118</v>
      </c>
      <c r="G45" s="13"/>
      <c r="H45" s="13"/>
      <c r="I45" s="13"/>
      <c r="J45" s="40"/>
      <c r="L45" s="117" t="s">
        <v>253</v>
      </c>
      <c r="M45" s="13"/>
      <c r="N45" s="262">
        <v>5</v>
      </c>
      <c r="O45" s="254" t="s">
        <v>30</v>
      </c>
      <c r="P45" s="189">
        <v>0</v>
      </c>
    </row>
    <row r="46" spans="1:18" ht="16.5" thickBot="1">
      <c r="A46" s="102" t="s">
        <v>217</v>
      </c>
      <c r="B46" s="168" t="e">
        <f t="shared" si="4"/>
        <v>#N/A</v>
      </c>
      <c r="C46" s="198" t="e">
        <f>IDC!H34</f>
        <v>#N/A</v>
      </c>
      <c r="D46" s="330" t="e">
        <f t="shared" si="5"/>
        <v>#N/A</v>
      </c>
      <c r="E46" s="13"/>
      <c r="F46" s="310" t="s">
        <v>86</v>
      </c>
      <c r="G46" s="250">
        <v>36617</v>
      </c>
      <c r="H46" s="13"/>
      <c r="I46" s="13"/>
      <c r="J46" s="40"/>
      <c r="L46" s="118" t="s">
        <v>29</v>
      </c>
      <c r="M46" s="42"/>
      <c r="N46" s="263">
        <v>20</v>
      </c>
      <c r="O46" s="257" t="s">
        <v>30</v>
      </c>
      <c r="P46" s="191">
        <v>0</v>
      </c>
    </row>
    <row r="47" spans="1:18" ht="16.5" thickBot="1">
      <c r="A47" s="102" t="s">
        <v>182</v>
      </c>
      <c r="B47" s="168" t="e">
        <f t="shared" si="4"/>
        <v>#N/A</v>
      </c>
      <c r="C47" s="515">
        <v>0</v>
      </c>
      <c r="D47" s="330" t="e">
        <f t="shared" si="5"/>
        <v>#DIV/0!</v>
      </c>
      <c r="E47" s="13"/>
      <c r="F47" s="102" t="s">
        <v>12</v>
      </c>
      <c r="G47" s="251">
        <v>0.5</v>
      </c>
      <c r="H47" s="145" t="e">
        <f>G47*C11</f>
        <v>#N/A</v>
      </c>
      <c r="I47" s="13"/>
      <c r="J47" s="40"/>
    </row>
    <row r="48" spans="1:18" ht="16.5" thickBot="1">
      <c r="A48" s="102" t="s">
        <v>275</v>
      </c>
      <c r="B48" s="168" t="e">
        <f t="shared" si="4"/>
        <v>#N/A</v>
      </c>
      <c r="C48" s="198">
        <f>SUM(C22:C33)*N55</f>
        <v>0</v>
      </c>
      <c r="D48" s="330" t="e">
        <f t="shared" si="5"/>
        <v>#DIV/0!</v>
      </c>
      <c r="E48" s="64"/>
      <c r="F48" s="104" t="s">
        <v>13</v>
      </c>
      <c r="G48" s="260">
        <f>1-G47</f>
        <v>0.5</v>
      </c>
      <c r="H48" s="146" t="e">
        <f>G48*C11</f>
        <v>#N/A</v>
      </c>
      <c r="I48" s="42"/>
      <c r="J48" s="81"/>
      <c r="L48" s="94" t="s">
        <v>382</v>
      </c>
      <c r="M48" s="115"/>
      <c r="N48" s="268"/>
      <c r="O48" s="269"/>
      <c r="P48" s="345"/>
    </row>
    <row r="49" spans="1:16" ht="16.5" thickBot="1">
      <c r="A49" s="96" t="s">
        <v>183</v>
      </c>
      <c r="B49" s="184" t="e">
        <f t="shared" si="4"/>
        <v>#N/A</v>
      </c>
      <c r="C49" s="516">
        <v>0</v>
      </c>
      <c r="D49" s="331" t="e">
        <f t="shared" si="5"/>
        <v>#DIV/0!</v>
      </c>
      <c r="E49" s="43"/>
      <c r="L49" s="182"/>
      <c r="M49" s="176"/>
      <c r="N49" s="158"/>
      <c r="O49" s="6"/>
      <c r="P49" s="344"/>
    </row>
    <row r="50" spans="1:16" ht="15.75">
      <c r="A50" s="102" t="s">
        <v>109</v>
      </c>
      <c r="B50" s="168" t="e">
        <f>SUM(B37:B49)</f>
        <v>#N/A</v>
      </c>
      <c r="C50" s="198" t="e">
        <f>SUM(C37:C49)</f>
        <v>#N/A</v>
      </c>
      <c r="D50" s="330" t="e">
        <f t="shared" si="5"/>
        <v>#N/A</v>
      </c>
      <c r="E50" s="13"/>
      <c r="F50" s="94" t="s">
        <v>202</v>
      </c>
      <c r="G50" s="114"/>
      <c r="H50" s="120"/>
      <c r="I50" s="202"/>
      <c r="J50" s="39"/>
      <c r="L50" s="117" t="s">
        <v>134</v>
      </c>
      <c r="M50" s="6"/>
      <c r="N50" s="253">
        <v>0.35</v>
      </c>
      <c r="O50" s="6"/>
      <c r="P50" s="344"/>
    </row>
    <row r="51" spans="1:16" ht="15.75">
      <c r="A51" s="41"/>
      <c r="B51" s="13"/>
      <c r="C51" s="198"/>
      <c r="D51" s="333"/>
      <c r="E51" s="85"/>
      <c r="F51" s="41"/>
      <c r="G51" s="13"/>
      <c r="H51" s="13"/>
      <c r="I51" s="111"/>
      <c r="J51" s="40"/>
      <c r="L51" s="117" t="s">
        <v>289</v>
      </c>
      <c r="M51" s="6"/>
      <c r="N51" s="527">
        <v>0</v>
      </c>
      <c r="O51" s="346" t="s">
        <v>235</v>
      </c>
      <c r="P51" s="344"/>
    </row>
    <row r="52" spans="1:16" ht="15.75">
      <c r="A52" s="99" t="s">
        <v>102</v>
      </c>
      <c r="B52" s="13"/>
      <c r="C52" s="198"/>
      <c r="D52" s="332"/>
      <c r="E52" s="85"/>
      <c r="F52" s="105" t="s">
        <v>305</v>
      </c>
      <c r="G52" s="13"/>
      <c r="H52" s="13"/>
      <c r="I52" s="13"/>
      <c r="J52" s="40"/>
      <c r="L52" s="117" t="s">
        <v>255</v>
      </c>
      <c r="M52" s="6"/>
      <c r="N52" s="527">
        <v>0</v>
      </c>
      <c r="O52" s="346" t="s">
        <v>235</v>
      </c>
      <c r="P52" s="344"/>
    </row>
    <row r="53" spans="1:16" ht="15.75">
      <c r="A53" s="99" t="s">
        <v>173</v>
      </c>
      <c r="B53" s="168" t="e">
        <f>C53/$C$58</f>
        <v>#N/A</v>
      </c>
      <c r="C53" s="515">
        <v>0</v>
      </c>
      <c r="D53" s="330" t="e">
        <f>C53/$H$68</f>
        <v>#DIV/0!</v>
      </c>
      <c r="E53" s="13"/>
      <c r="F53" s="102" t="s">
        <v>307</v>
      </c>
      <c r="G53" s="13"/>
      <c r="H53" s="249">
        <v>0</v>
      </c>
      <c r="I53" s="111"/>
      <c r="J53" s="40"/>
      <c r="L53" s="117" t="s">
        <v>210</v>
      </c>
      <c r="M53" s="6"/>
      <c r="N53" s="527">
        <v>0</v>
      </c>
      <c r="O53" s="346" t="s">
        <v>235</v>
      </c>
      <c r="P53" s="344"/>
    </row>
    <row r="54" spans="1:16" ht="15.75">
      <c r="A54" s="99" t="s">
        <v>174</v>
      </c>
      <c r="B54" s="168" t="e">
        <f>C54/$C$58</f>
        <v>#N/A</v>
      </c>
      <c r="C54" s="515">
        <v>0</v>
      </c>
      <c r="D54" s="330" t="e">
        <f>C54/$H$68</f>
        <v>#DIV/0!</v>
      </c>
      <c r="E54" s="13"/>
      <c r="F54" s="102" t="s">
        <v>417</v>
      </c>
      <c r="G54" s="13"/>
      <c r="H54" s="248">
        <v>0</v>
      </c>
      <c r="I54" s="13"/>
      <c r="J54" s="40"/>
      <c r="L54" s="117" t="s">
        <v>240</v>
      </c>
      <c r="M54" s="13"/>
      <c r="N54" s="527">
        <v>0</v>
      </c>
      <c r="O54" s="346" t="s">
        <v>235</v>
      </c>
      <c r="P54" s="40"/>
    </row>
    <row r="55" spans="1:16" ht="16.5" thickBot="1">
      <c r="A55" s="105" t="s">
        <v>103</v>
      </c>
      <c r="B55" s="184" t="e">
        <f>C55/$C$58</f>
        <v>#N/A</v>
      </c>
      <c r="C55" s="516">
        <v>0</v>
      </c>
      <c r="D55" s="330" t="e">
        <f>C55/$H$68</f>
        <v>#DIV/0!</v>
      </c>
      <c r="E55" s="13"/>
      <c r="F55" s="41"/>
      <c r="G55" s="13"/>
      <c r="H55" s="13"/>
      <c r="I55" s="13"/>
      <c r="J55" s="40"/>
      <c r="L55" s="118" t="s">
        <v>276</v>
      </c>
      <c r="M55" s="42"/>
      <c r="N55" s="528">
        <v>0</v>
      </c>
      <c r="O55" s="347" t="s">
        <v>235</v>
      </c>
      <c r="P55" s="81"/>
    </row>
    <row r="56" spans="1:16" ht="15.75">
      <c r="A56" s="102" t="s">
        <v>109</v>
      </c>
      <c r="B56" s="168" t="e">
        <f>SUM(B53:B55)</f>
        <v>#N/A</v>
      </c>
      <c r="C56" s="112">
        <f>SUM(C53:C55)</f>
        <v>0</v>
      </c>
      <c r="D56" s="330" t="e">
        <f>C56/$H$68</f>
        <v>#DIV/0!</v>
      </c>
      <c r="E56" s="13"/>
      <c r="F56" s="105" t="s">
        <v>308</v>
      </c>
      <c r="G56" s="13"/>
      <c r="H56" s="13"/>
      <c r="I56" s="13"/>
      <c r="J56" s="40"/>
    </row>
    <row r="57" spans="1:16" ht="15.75">
      <c r="A57" s="41"/>
      <c r="B57" s="13"/>
      <c r="C57" s="13"/>
      <c r="D57" s="333"/>
      <c r="E57" s="13"/>
      <c r="F57" s="102" t="s">
        <v>307</v>
      </c>
      <c r="G57" s="13"/>
      <c r="H57" s="264">
        <f>H19-H53</f>
        <v>20</v>
      </c>
      <c r="I57" s="111"/>
      <c r="J57" s="40"/>
    </row>
    <row r="58" spans="1:16" ht="16.5" thickBot="1">
      <c r="A58" s="186" t="s">
        <v>104</v>
      </c>
      <c r="B58" s="183" t="e">
        <f>B56+B50+B34</f>
        <v>#N/A</v>
      </c>
      <c r="C58" s="199" t="e">
        <f>C56+C50+C34</f>
        <v>#N/A</v>
      </c>
      <c r="D58" s="334" t="e">
        <f>C58/$H$68</f>
        <v>#N/A</v>
      </c>
      <c r="E58" s="13"/>
      <c r="F58" s="102" t="s">
        <v>417</v>
      </c>
      <c r="G58" s="98"/>
      <c r="H58" s="155"/>
      <c r="I58" s="111"/>
      <c r="J58" s="40"/>
    </row>
    <row r="59" spans="1:16" ht="13.5" thickBot="1">
      <c r="A59" s="13"/>
      <c r="B59" s="13"/>
      <c r="C59" s="82"/>
      <c r="D59" s="13"/>
      <c r="E59" s="13"/>
      <c r="F59" s="41"/>
      <c r="G59" s="13"/>
      <c r="H59" s="13"/>
      <c r="I59" s="13"/>
      <c r="J59" s="40"/>
    </row>
    <row r="60" spans="1:16" ht="15.75">
      <c r="A60" s="95" t="s">
        <v>32</v>
      </c>
      <c r="B60" s="120"/>
      <c r="C60" s="202"/>
      <c r="D60" s="121"/>
      <c r="E60" s="13"/>
      <c r="F60" s="102" t="s">
        <v>425</v>
      </c>
      <c r="G60" s="98"/>
      <c r="H60" s="155">
        <f>N17</f>
        <v>0</v>
      </c>
      <c r="I60" s="111"/>
      <c r="J60" s="40"/>
    </row>
    <row r="61" spans="1:16" ht="15.75">
      <c r="A61" s="41"/>
      <c r="B61" s="13"/>
      <c r="C61" s="13"/>
      <c r="D61" s="40"/>
      <c r="E61" s="13"/>
      <c r="F61" s="102"/>
      <c r="G61" s="13"/>
      <c r="H61" s="253"/>
      <c r="I61" s="111"/>
      <c r="J61" s="40"/>
    </row>
    <row r="62" spans="1:16" ht="16.5" thickBot="1">
      <c r="A62" s="325" t="s">
        <v>273</v>
      </c>
      <c r="B62" s="326"/>
      <c r="C62" s="327" t="e">
        <f>D58</f>
        <v>#N/A</v>
      </c>
      <c r="D62" s="40"/>
      <c r="E62" s="13"/>
      <c r="F62" s="104" t="s">
        <v>433</v>
      </c>
      <c r="G62" s="42"/>
      <c r="H62" s="265">
        <f>H68*H73</f>
        <v>0</v>
      </c>
      <c r="I62" s="203"/>
      <c r="J62" s="81"/>
    </row>
    <row r="63" spans="1:16" ht="13.5" thickBot="1">
      <c r="A63" s="500"/>
      <c r="B63" s="180"/>
      <c r="C63" s="180"/>
      <c r="D63" s="40"/>
      <c r="E63" s="13"/>
    </row>
    <row r="64" spans="1:16" ht="15.75">
      <c r="A64" s="102"/>
      <c r="B64" s="98"/>
      <c r="C64" s="97" t="s">
        <v>34</v>
      </c>
      <c r="D64" s="171" t="s">
        <v>33</v>
      </c>
      <c r="E64" s="13"/>
      <c r="F64" s="94" t="s">
        <v>5</v>
      </c>
      <c r="G64" s="201"/>
      <c r="H64" s="202"/>
      <c r="I64" s="38"/>
      <c r="J64" s="39"/>
    </row>
    <row r="65" spans="1:10" ht="15.75">
      <c r="A65" s="105" t="s">
        <v>0</v>
      </c>
      <c r="B65" s="109"/>
      <c r="C65" s="110" t="e">
        <f ca="1">Debt!E68</f>
        <v>#N/A</v>
      </c>
      <c r="D65" s="335" t="e">
        <f ca="1">Debt!E69</f>
        <v>#N/A</v>
      </c>
      <c r="E65" s="13"/>
      <c r="F65" s="182"/>
      <c r="G65" s="153"/>
      <c r="H65" s="111"/>
      <c r="I65" s="13"/>
      <c r="J65" s="40"/>
    </row>
    <row r="66" spans="1:10" ht="15.75">
      <c r="A66" s="41"/>
      <c r="B66" s="98"/>
      <c r="C66" s="13"/>
      <c r="D66" s="40"/>
      <c r="E66" s="13"/>
      <c r="F66" s="102" t="s">
        <v>132</v>
      </c>
      <c r="G66" s="13"/>
      <c r="H66" s="220">
        <f>H12*H13</f>
        <v>0</v>
      </c>
      <c r="I66" s="13"/>
      <c r="J66" s="40"/>
    </row>
    <row r="67" spans="1:10" ht="15.75">
      <c r="A67" s="105" t="s">
        <v>337</v>
      </c>
      <c r="B67" s="13"/>
      <c r="C67" s="13"/>
      <c r="D67" s="40"/>
      <c r="E67" s="13"/>
      <c r="F67" s="105" t="s">
        <v>91</v>
      </c>
      <c r="G67" s="13"/>
      <c r="H67" s="522">
        <v>0</v>
      </c>
      <c r="I67" s="13"/>
      <c r="J67" s="40"/>
    </row>
    <row r="68" spans="1:10" ht="15.75">
      <c r="A68" s="102" t="s">
        <v>377</v>
      </c>
      <c r="B68" s="98"/>
      <c r="C68" s="147" t="e">
        <f>'Returns Analysis'!C39</f>
        <v>#N/A</v>
      </c>
      <c r="D68" s="40"/>
      <c r="E68" s="13"/>
      <c r="F68" s="119" t="s">
        <v>311</v>
      </c>
      <c r="G68" s="43"/>
      <c r="H68" s="340">
        <f>SUM(H66:H67)</f>
        <v>0</v>
      </c>
      <c r="I68" s="13"/>
      <c r="J68" s="40"/>
    </row>
    <row r="69" spans="1:10" ht="15.75">
      <c r="A69" s="102" t="str">
        <f>CONCATENATE("30 Yrs After-Tax Cashflow with ",H23,"x EBITDA Exit Multiple Residual Value")</f>
        <v>30 Yrs After-Tax Cashflow with 5x EBITDA Exit Multiple Residual Value</v>
      </c>
      <c r="B69" s="13"/>
      <c r="C69" s="147" t="e">
        <f>'Returns Analysis'!C46</f>
        <v>#N/A</v>
      </c>
      <c r="D69" s="103"/>
      <c r="E69" s="13"/>
      <c r="F69" s="41"/>
      <c r="G69" s="13"/>
      <c r="H69" s="13"/>
      <c r="I69" s="13"/>
      <c r="J69" s="40"/>
    </row>
    <row r="70" spans="1:10" ht="15.75">
      <c r="A70" s="102" t="str">
        <f>CONCATENATE("30 Yrs After-Tax Cashflow with ",H24*100,"% Initial Project Cost Residual Value")</f>
        <v>30 Yrs After-Tax Cashflow with 20% Initial Project Cost Residual Value</v>
      </c>
      <c r="B70" s="13"/>
      <c r="C70" s="147" t="e">
        <f>'Returns Analysis'!C53</f>
        <v>#N/A</v>
      </c>
      <c r="D70" s="103"/>
      <c r="E70" s="13"/>
      <c r="F70" s="102" t="s">
        <v>434</v>
      </c>
      <c r="G70" s="13"/>
      <c r="H70" s="529">
        <v>257</v>
      </c>
      <c r="I70" s="13"/>
      <c r="J70" s="40"/>
    </row>
    <row r="71" spans="1:10" ht="15.75">
      <c r="A71" s="102" t="str">
        <f>CONCATENATE("30 Yrs After-Tax Cashflow with $",H25,"/kW Residual Value")</f>
        <v>30 Yrs After-Tax Cashflow with $200/kW Residual Value</v>
      </c>
      <c r="B71" s="13"/>
      <c r="C71" s="147" t="e">
        <f>'Returns Analysis'!C60</f>
        <v>#N/A</v>
      </c>
      <c r="D71" s="103"/>
      <c r="E71" s="13"/>
      <c r="F71" s="102" t="s">
        <v>353</v>
      </c>
      <c r="G71" s="13"/>
      <c r="H71" s="507">
        <v>140</v>
      </c>
      <c r="I71" s="13"/>
      <c r="J71" s="40"/>
    </row>
    <row r="72" spans="1:10" ht="15.75">
      <c r="A72" s="41"/>
      <c r="B72" s="13"/>
      <c r="C72" s="13"/>
      <c r="D72" s="40"/>
      <c r="E72" s="13"/>
      <c r="F72" s="102" t="s">
        <v>269</v>
      </c>
      <c r="G72" s="13"/>
      <c r="H72" s="507">
        <v>400</v>
      </c>
      <c r="I72" s="13"/>
      <c r="J72" s="40"/>
    </row>
    <row r="73" spans="1:10" ht="16.5" thickBot="1">
      <c r="A73" s="105" t="s">
        <v>88</v>
      </c>
      <c r="B73" s="97">
        <f>IS!C7</f>
        <v>2001</v>
      </c>
      <c r="C73" s="97">
        <f>IS!D7</f>
        <v>2002</v>
      </c>
      <c r="D73" s="171">
        <f>IS!E7</f>
        <v>2003</v>
      </c>
      <c r="F73" s="104" t="s">
        <v>177</v>
      </c>
      <c r="G73" s="42"/>
      <c r="H73" s="523">
        <v>1400</v>
      </c>
      <c r="I73" s="42"/>
      <c r="J73" s="81"/>
    </row>
    <row r="74" spans="1:10" ht="15.75">
      <c r="A74" s="102" t="s">
        <v>99</v>
      </c>
      <c r="B74" s="112" t="e">
        <f ca="1">IS!C32</f>
        <v>#N/A</v>
      </c>
      <c r="C74" s="112" t="e">
        <f ca="1">IS!D32</f>
        <v>#N/A</v>
      </c>
      <c r="D74" s="167" t="e">
        <f ca="1">IS!E32</f>
        <v>#N/A</v>
      </c>
      <c r="E74" s="98"/>
    </row>
    <row r="75" spans="1:10" ht="15.75">
      <c r="A75" s="102" t="s">
        <v>100</v>
      </c>
      <c r="B75" s="112" t="e">
        <f ca="1">IS!C45</f>
        <v>#N/A</v>
      </c>
      <c r="C75" s="112" t="e">
        <f ca="1">IS!D45</f>
        <v>#N/A</v>
      </c>
      <c r="D75" s="167" t="e">
        <f ca="1">IS!E45</f>
        <v>#N/A</v>
      </c>
      <c r="E75" s="98"/>
    </row>
    <row r="76" spans="1:10" ht="15.75">
      <c r="A76" s="102" t="s">
        <v>101</v>
      </c>
      <c r="B76" s="112" t="e">
        <f ca="1">'Returns Analysis'!C13</f>
        <v>#N/A</v>
      </c>
      <c r="C76" s="112" t="e">
        <f ca="1">'Returns Analysis'!D13</f>
        <v>#N/A</v>
      </c>
      <c r="D76" s="167" t="e">
        <f ca="1">'Returns Analysis'!E13</f>
        <v>#N/A</v>
      </c>
      <c r="E76" s="13"/>
    </row>
    <row r="77" spans="1:10" ht="16.5" thickBot="1">
      <c r="A77" s="104" t="s">
        <v>366</v>
      </c>
      <c r="B77" s="113" t="e">
        <f ca="1">'Returns Analysis'!C21</f>
        <v>#N/A</v>
      </c>
      <c r="C77" s="113" t="e">
        <f ca="1">'Returns Analysis'!D21</f>
        <v>#N/A</v>
      </c>
      <c r="D77" s="192" t="e">
        <f ca="1">'Returns Analysis'!E21</f>
        <v>#N/A</v>
      </c>
      <c r="E77" s="13"/>
    </row>
    <row r="78" spans="1:10">
      <c r="E78" s="13"/>
    </row>
    <row r="79" spans="1:10">
      <c r="E79" s="13"/>
    </row>
    <row r="80" spans="1:10">
      <c r="E80" s="13"/>
    </row>
    <row r="81" spans="5:9">
      <c r="E81" s="13"/>
    </row>
    <row r="82" spans="5:9">
      <c r="E82" s="13"/>
    </row>
    <row r="83" spans="5:9">
      <c r="E83" s="13"/>
    </row>
    <row r="84" spans="5:9" ht="15.75">
      <c r="E84" s="46"/>
    </row>
    <row r="86" spans="5:9" ht="15.75">
      <c r="E86" s="98"/>
    </row>
    <row r="87" spans="5:9" ht="15.75">
      <c r="E87" s="98"/>
    </row>
    <row r="88" spans="5:9" ht="15.75">
      <c r="E88" s="98"/>
    </row>
    <row r="89" spans="5:9" ht="15.75">
      <c r="E89" s="98"/>
    </row>
    <row r="90" spans="5:9">
      <c r="E90" s="13"/>
    </row>
    <row r="91" spans="5:9" ht="15.75">
      <c r="E91" s="98"/>
    </row>
    <row r="92" spans="5:9" ht="15.75">
      <c r="E92" s="98"/>
    </row>
    <row r="93" spans="5:9">
      <c r="E93" s="13"/>
    </row>
    <row r="94" spans="5:9" ht="15.75">
      <c r="E94" s="13"/>
      <c r="I94" s="160"/>
    </row>
    <row r="95" spans="5:9" ht="15.75">
      <c r="E95" s="98"/>
    </row>
    <row r="96" spans="5:9" ht="15.75">
      <c r="E96" s="98"/>
    </row>
    <row r="97" spans="5:5" ht="15.75">
      <c r="E97" s="98"/>
    </row>
    <row r="98" spans="5:5" ht="15.75">
      <c r="E98" s="97"/>
    </row>
    <row r="99" spans="5:5" ht="15.75">
      <c r="E99" s="112"/>
    </row>
    <row r="100" spans="5:5" ht="15.75">
      <c r="E100" s="112"/>
    </row>
    <row r="101" spans="5:5" ht="15.75">
      <c r="E101" s="112"/>
    </row>
    <row r="102" spans="5:5" ht="15.75">
      <c r="E102" s="112"/>
    </row>
    <row r="118" spans="9:9" ht="15.75">
      <c r="I118" s="160"/>
    </row>
    <row r="119" spans="9:9" ht="15.75">
      <c r="I119" s="160"/>
    </row>
    <row r="120" spans="9:9" ht="15.75">
      <c r="I120" s="160"/>
    </row>
    <row r="121" spans="9:9" ht="15.75">
      <c r="I121" s="160"/>
    </row>
    <row r="122" spans="9:9" ht="15.75">
      <c r="I122" s="160"/>
    </row>
    <row r="123" spans="9:9" ht="15.75">
      <c r="I123" s="160"/>
    </row>
    <row r="124" spans="9:9" ht="15.75">
      <c r="I124" s="160"/>
    </row>
    <row r="125" spans="9:9" ht="15.75">
      <c r="I125" s="160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75">
      <c r="J132" s="16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75">
      <c r="J136" s="13"/>
      <c r="K136" s="13"/>
      <c r="L136" s="156"/>
      <c r="M136" s="155"/>
      <c r="N136" s="155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75">
      <c r="J137" s="155"/>
      <c r="K137" s="155"/>
      <c r="L137" s="154"/>
      <c r="M137" s="157"/>
      <c r="N137" s="157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75">
      <c r="J138" s="157"/>
      <c r="K138" s="157"/>
      <c r="L138" s="159"/>
      <c r="M138" s="158"/>
      <c r="N138" s="158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75">
      <c r="J139" s="158"/>
      <c r="K139" s="158"/>
      <c r="L139" s="159"/>
      <c r="M139" s="158"/>
      <c r="N139" s="158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75">
      <c r="J140" s="158"/>
      <c r="K140" s="158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75">
      <c r="J143" s="161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75">
      <c r="J150" s="155"/>
    </row>
    <row r="151" spans="10:10" ht="15.75">
      <c r="J151" s="157"/>
    </row>
    <row r="152" spans="10:10" ht="15.75">
      <c r="J152" s="158"/>
    </row>
    <row r="153" spans="10:10" ht="15.75">
      <c r="J153" s="158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2295525</xdr:colOff>
                    <xdr:row>28</xdr:row>
                    <xdr:rowOff>0</xdr:rowOff>
                  </from>
                  <to>
                    <xdr:col>13</xdr:col>
                    <xdr:colOff>28575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200025</xdr:rowOff>
                  </from>
                  <to>
                    <xdr:col>7</xdr:col>
                    <xdr:colOff>1190625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9525</xdr:rowOff>
                  </from>
                  <to>
                    <xdr:col>9</xdr:col>
                    <xdr:colOff>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180975</xdr:rowOff>
                  </from>
                  <to>
                    <xdr:col>6</xdr:col>
                    <xdr:colOff>1190625</xdr:colOff>
                    <xdr:row>27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0"/>
  <sheetViews>
    <sheetView topLeftCell="A13" zoomScale="75" zoomScaleNormal="75" workbookViewId="0">
      <selection activeCell="A30" sqref="A30"/>
    </sheetView>
  </sheetViews>
  <sheetFormatPr defaultColWidth="9.28515625" defaultRowHeight="15.75"/>
  <cols>
    <col min="1" max="1" width="19" style="46" bestFit="1" customWidth="1"/>
    <col min="2" max="2" width="45.140625" style="46" bestFit="1" customWidth="1"/>
    <col min="3" max="3" width="3.7109375" style="46" customWidth="1"/>
    <col min="4" max="7" width="9.85546875" style="46" customWidth="1"/>
    <col min="8" max="9" width="11.5703125" style="46" customWidth="1"/>
    <col min="10" max="10" width="10.28515625" style="46" customWidth="1"/>
    <col min="11" max="24" width="9.85546875" style="46" customWidth="1"/>
    <col min="25" max="16384" width="9.28515625" style="46"/>
  </cols>
  <sheetData>
    <row r="2" spans="1:63" ht="18.75">
      <c r="B2" s="87" t="str">
        <f>Assumptions!A3</f>
        <v>PROJECT NAME:</v>
      </c>
    </row>
    <row r="3" spans="1:63" ht="12" customHeight="1">
      <c r="B3" s="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</row>
    <row r="4" spans="1:63" ht="18.75">
      <c r="B4" s="170" t="s">
        <v>403</v>
      </c>
      <c r="C4" s="67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1:63" ht="18.75">
      <c r="B5" s="207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</row>
    <row r="6" spans="1:63">
      <c r="B6" s="139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</row>
    <row r="7" spans="1:63">
      <c r="B7" s="138"/>
      <c r="C7" s="98"/>
      <c r="D7" s="212">
        <f>(Assumptions!H18/12)</f>
        <v>0.66666666666666663</v>
      </c>
      <c r="E7" s="212">
        <f>D7+1</f>
        <v>1.6666666666666665</v>
      </c>
      <c r="F7" s="212">
        <f t="shared" ref="F7:Y7" si="0">E7+1</f>
        <v>2.6666666666666665</v>
      </c>
      <c r="G7" s="212">
        <f t="shared" si="0"/>
        <v>3.6666666666666665</v>
      </c>
      <c r="H7" s="212">
        <f t="shared" si="0"/>
        <v>4.6666666666666661</v>
      </c>
      <c r="I7" s="212">
        <f t="shared" si="0"/>
        <v>5.6666666666666661</v>
      </c>
      <c r="J7" s="212">
        <f t="shared" si="0"/>
        <v>6.6666666666666661</v>
      </c>
      <c r="K7" s="212">
        <f t="shared" si="0"/>
        <v>7.6666666666666661</v>
      </c>
      <c r="L7" s="212">
        <f t="shared" si="0"/>
        <v>8.6666666666666661</v>
      </c>
      <c r="M7" s="212">
        <f t="shared" si="0"/>
        <v>9.6666666666666661</v>
      </c>
      <c r="N7" s="212">
        <f t="shared" si="0"/>
        <v>10.666666666666666</v>
      </c>
      <c r="O7" s="212">
        <f t="shared" si="0"/>
        <v>11.666666666666666</v>
      </c>
      <c r="P7" s="212">
        <f t="shared" si="0"/>
        <v>12.666666666666666</v>
      </c>
      <c r="Q7" s="212">
        <f t="shared" si="0"/>
        <v>13.666666666666666</v>
      </c>
      <c r="R7" s="212">
        <f t="shared" si="0"/>
        <v>14.666666666666666</v>
      </c>
      <c r="S7" s="212">
        <f t="shared" si="0"/>
        <v>15.666666666666666</v>
      </c>
      <c r="T7" s="212">
        <f t="shared" si="0"/>
        <v>16.666666666666664</v>
      </c>
      <c r="U7" s="212">
        <f t="shared" si="0"/>
        <v>17.666666666666664</v>
      </c>
      <c r="V7" s="212">
        <f t="shared" si="0"/>
        <v>18.666666666666664</v>
      </c>
      <c r="W7" s="212">
        <f t="shared" si="0"/>
        <v>19.666666666666664</v>
      </c>
      <c r="X7" s="212">
        <f t="shared" si="0"/>
        <v>20.666666666666664</v>
      </c>
      <c r="Y7" s="212">
        <f t="shared" si="0"/>
        <v>21.666666666666664</v>
      </c>
      <c r="Z7" s="212">
        <f t="shared" ref="Z7:AG7" si="1">Y7+1</f>
        <v>22.666666666666664</v>
      </c>
      <c r="AA7" s="212">
        <f t="shared" si="1"/>
        <v>23.666666666666664</v>
      </c>
      <c r="AB7" s="212">
        <f t="shared" si="1"/>
        <v>24.666666666666664</v>
      </c>
      <c r="AC7" s="212">
        <f t="shared" si="1"/>
        <v>25.666666666666664</v>
      </c>
      <c r="AD7" s="212">
        <f t="shared" si="1"/>
        <v>26.666666666666664</v>
      </c>
      <c r="AE7" s="212">
        <f t="shared" si="1"/>
        <v>27.666666666666664</v>
      </c>
      <c r="AF7" s="212">
        <f t="shared" si="1"/>
        <v>28.666666666666664</v>
      </c>
      <c r="AG7" s="212">
        <f t="shared" si="1"/>
        <v>29.666666666666664</v>
      </c>
      <c r="AH7" s="212">
        <f>AG7+1</f>
        <v>30.666666666666664</v>
      </c>
    </row>
    <row r="8" spans="1:63" ht="16.5" thickBot="1">
      <c r="B8" s="209"/>
      <c r="C8" s="209"/>
      <c r="D8" s="492">
        <f>YEAR(Assumptions!H17)</f>
        <v>2001</v>
      </c>
      <c r="E8" s="492">
        <f t="shared" ref="E8:X8" si="2">D8+1</f>
        <v>2002</v>
      </c>
      <c r="F8" s="492">
        <f t="shared" si="2"/>
        <v>2003</v>
      </c>
      <c r="G8" s="492">
        <f t="shared" si="2"/>
        <v>2004</v>
      </c>
      <c r="H8" s="492">
        <f t="shared" si="2"/>
        <v>2005</v>
      </c>
      <c r="I8" s="492">
        <f t="shared" si="2"/>
        <v>2006</v>
      </c>
      <c r="J8" s="492">
        <f t="shared" si="2"/>
        <v>2007</v>
      </c>
      <c r="K8" s="492">
        <f t="shared" si="2"/>
        <v>2008</v>
      </c>
      <c r="L8" s="492">
        <f t="shared" si="2"/>
        <v>2009</v>
      </c>
      <c r="M8" s="492">
        <f t="shared" si="2"/>
        <v>2010</v>
      </c>
      <c r="N8" s="492">
        <f t="shared" si="2"/>
        <v>2011</v>
      </c>
      <c r="O8" s="492">
        <f t="shared" si="2"/>
        <v>2012</v>
      </c>
      <c r="P8" s="492">
        <f t="shared" si="2"/>
        <v>2013</v>
      </c>
      <c r="Q8" s="492">
        <f t="shared" si="2"/>
        <v>2014</v>
      </c>
      <c r="R8" s="492">
        <f t="shared" si="2"/>
        <v>2015</v>
      </c>
      <c r="S8" s="492">
        <f t="shared" si="2"/>
        <v>2016</v>
      </c>
      <c r="T8" s="492">
        <f t="shared" si="2"/>
        <v>2017</v>
      </c>
      <c r="U8" s="492">
        <f t="shared" si="2"/>
        <v>2018</v>
      </c>
      <c r="V8" s="492">
        <f t="shared" si="2"/>
        <v>2019</v>
      </c>
      <c r="W8" s="492">
        <f t="shared" si="2"/>
        <v>2020</v>
      </c>
      <c r="X8" s="492">
        <f t="shared" si="2"/>
        <v>2021</v>
      </c>
      <c r="Y8" s="492">
        <f>X8+1</f>
        <v>2022</v>
      </c>
      <c r="Z8" s="492">
        <f t="shared" ref="Z8:AG8" si="3">Y8+1</f>
        <v>2023</v>
      </c>
      <c r="AA8" s="492">
        <f t="shared" si="3"/>
        <v>2024</v>
      </c>
      <c r="AB8" s="492">
        <f t="shared" si="3"/>
        <v>2025</v>
      </c>
      <c r="AC8" s="492">
        <f t="shared" si="3"/>
        <v>2026</v>
      </c>
      <c r="AD8" s="492">
        <f t="shared" si="3"/>
        <v>2027</v>
      </c>
      <c r="AE8" s="492">
        <f t="shared" si="3"/>
        <v>2028</v>
      </c>
      <c r="AF8" s="492">
        <f t="shared" si="3"/>
        <v>2029</v>
      </c>
      <c r="AG8" s="492">
        <f t="shared" si="3"/>
        <v>2030</v>
      </c>
      <c r="AH8" s="492">
        <f>AG8+1</f>
        <v>2031</v>
      </c>
    </row>
    <row r="9" spans="1:63">
      <c r="B9" s="98"/>
      <c r="C9" s="98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63">
      <c r="A10" s="12"/>
      <c r="B10" s="469" t="s">
        <v>416</v>
      </c>
      <c r="C10" s="13"/>
      <c r="D10" s="339"/>
      <c r="E10" s="339"/>
      <c r="F10" s="339"/>
      <c r="G10" s="339"/>
      <c r="H10" s="339"/>
      <c r="I10" s="339"/>
      <c r="J10" s="339"/>
      <c r="K10" s="339"/>
      <c r="L10" s="339"/>
      <c r="M10" s="339"/>
      <c r="N10" s="339"/>
      <c r="O10" s="339"/>
      <c r="P10" s="339"/>
      <c r="Q10" s="339"/>
      <c r="R10" s="339"/>
      <c r="S10" s="339"/>
      <c r="T10" s="339"/>
      <c r="U10" s="339"/>
      <c r="V10" s="339"/>
      <c r="W10" s="339"/>
      <c r="X10" s="339"/>
      <c r="Y10" s="339"/>
      <c r="Z10" s="339"/>
      <c r="AA10" s="339"/>
      <c r="AB10" s="339"/>
      <c r="AC10" s="339"/>
      <c r="AD10" s="339"/>
      <c r="AE10" s="339"/>
      <c r="AF10" s="339"/>
      <c r="AG10" s="339"/>
      <c r="AH10" s="339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70"/>
      <c r="C11" s="13"/>
      <c r="D11" s="339"/>
      <c r="E11" s="339"/>
      <c r="F11" s="339"/>
      <c r="G11" s="339"/>
      <c r="H11" s="339"/>
      <c r="I11" s="339"/>
      <c r="J11" s="339"/>
      <c r="K11" s="339"/>
      <c r="L11" s="339"/>
      <c r="M11" s="339"/>
      <c r="N11" s="339"/>
      <c r="O11" s="339"/>
      <c r="P11" s="339"/>
      <c r="Q11" s="339"/>
      <c r="R11" s="339"/>
      <c r="S11" s="339"/>
      <c r="T11" s="339"/>
      <c r="U11" s="339"/>
      <c r="V11" s="339"/>
      <c r="W11" s="339"/>
      <c r="X11" s="339"/>
      <c r="Y11" s="339"/>
      <c r="Z11" s="339"/>
      <c r="AA11" s="339"/>
      <c r="AB11" s="339"/>
      <c r="AC11" s="339"/>
      <c r="AD11" s="339"/>
      <c r="AE11" s="339"/>
      <c r="AF11" s="339"/>
      <c r="AG11" s="339"/>
      <c r="AH11" s="339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7" t="s">
        <v>306</v>
      </c>
      <c r="C12" s="13"/>
      <c r="D12" s="471">
        <f>Assumptions!$H$54</f>
        <v>0</v>
      </c>
      <c r="E12" s="471">
        <f>Assumptions!$H$54</f>
        <v>0</v>
      </c>
      <c r="F12" s="471">
        <f>Assumptions!$H$54</f>
        <v>0</v>
      </c>
      <c r="G12" s="471">
        <f>Assumptions!$H$54</f>
        <v>0</v>
      </c>
      <c r="H12" s="471">
        <f>Assumptions!$H$54</f>
        <v>0</v>
      </c>
      <c r="I12" s="471">
        <f>Assumptions!$H$54</f>
        <v>0</v>
      </c>
      <c r="J12" s="471">
        <f>Assumptions!$H$54</f>
        <v>0</v>
      </c>
      <c r="K12" s="471">
        <f>Assumptions!$H$54</f>
        <v>0</v>
      </c>
      <c r="L12" s="471">
        <f>Assumptions!$H$54</f>
        <v>0</v>
      </c>
      <c r="M12" s="471">
        <f>Assumptions!$H$54</f>
        <v>0</v>
      </c>
      <c r="N12" s="471">
        <f>Assumptions!$H$54</f>
        <v>0</v>
      </c>
      <c r="O12" s="471">
        <f>Assumptions!$H$54</f>
        <v>0</v>
      </c>
      <c r="P12" s="471">
        <f>Assumptions!$H$54</f>
        <v>0</v>
      </c>
      <c r="Q12" s="471">
        <f>Assumptions!$H$54</f>
        <v>0</v>
      </c>
      <c r="R12" s="471">
        <f>Assumptions!$H$54</f>
        <v>0</v>
      </c>
      <c r="S12" s="471">
        <f>Assumptions!$H$54</f>
        <v>0</v>
      </c>
      <c r="T12" s="471">
        <f>Assumptions!$H$54</f>
        <v>0</v>
      </c>
      <c r="U12" s="471">
        <f>Assumptions!$H$54</f>
        <v>0</v>
      </c>
      <c r="V12" s="471">
        <f>Assumptions!$H$54</f>
        <v>0</v>
      </c>
      <c r="W12" s="471">
        <f>Assumptions!$H$54</f>
        <v>0</v>
      </c>
      <c r="X12" s="471">
        <f>Assumptions!$H$54</f>
        <v>0</v>
      </c>
      <c r="Y12" s="471">
        <f>Assumptions!$H$54</f>
        <v>0</v>
      </c>
      <c r="Z12" s="471">
        <f>Assumptions!$H$54</f>
        <v>0</v>
      </c>
      <c r="AA12" s="471">
        <f>Assumptions!$H$54</f>
        <v>0</v>
      </c>
      <c r="AB12" s="471">
        <f>Assumptions!$H$54</f>
        <v>0</v>
      </c>
      <c r="AC12" s="471">
        <f>Assumptions!$H$54</f>
        <v>0</v>
      </c>
      <c r="AD12" s="471">
        <f>Assumptions!$H$54</f>
        <v>0</v>
      </c>
      <c r="AE12" s="471">
        <f>Assumptions!$H$54</f>
        <v>0</v>
      </c>
      <c r="AF12" s="471">
        <f>Assumptions!$H$54</f>
        <v>0</v>
      </c>
      <c r="AG12" s="471">
        <f>Assumptions!$H$54</f>
        <v>0</v>
      </c>
      <c r="AH12" s="471">
        <f>Assumptions!$H$54</f>
        <v>0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7"/>
      <c r="C13" s="13"/>
      <c r="D13" s="339"/>
      <c r="E13" s="339"/>
      <c r="F13" s="339"/>
      <c r="G13" s="339"/>
      <c r="H13" s="339"/>
      <c r="I13" s="339"/>
      <c r="J13" s="339"/>
      <c r="K13" s="339"/>
      <c r="L13" s="339"/>
      <c r="M13" s="339"/>
      <c r="N13" s="339"/>
      <c r="O13" s="339"/>
      <c r="P13" s="339"/>
      <c r="Q13" s="339"/>
      <c r="R13" s="339"/>
      <c r="S13" s="339"/>
      <c r="T13" s="339"/>
      <c r="U13" s="339"/>
      <c r="V13" s="339"/>
      <c r="W13" s="339"/>
      <c r="X13" s="339"/>
      <c r="Y13" s="339"/>
      <c r="Z13" s="339"/>
      <c r="AA13" s="339"/>
      <c r="AB13" s="339"/>
      <c r="AC13" s="339"/>
      <c r="AD13" s="339"/>
      <c r="AE13" s="339"/>
      <c r="AF13" s="339"/>
      <c r="AG13" s="339"/>
      <c r="AH13" s="339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7" t="s">
        <v>315</v>
      </c>
      <c r="C14" s="13"/>
      <c r="D14" s="339"/>
      <c r="E14" s="339"/>
      <c r="F14" s="339"/>
      <c r="G14" s="339"/>
      <c r="H14" s="339"/>
      <c r="I14" s="339"/>
      <c r="J14" s="339"/>
      <c r="K14" s="339"/>
      <c r="L14" s="339"/>
      <c r="M14" s="339"/>
      <c r="N14" s="339"/>
      <c r="O14" s="339"/>
      <c r="P14" s="339"/>
      <c r="Q14" s="339"/>
      <c r="R14" s="339"/>
      <c r="S14" s="339"/>
      <c r="T14" s="339"/>
      <c r="U14" s="339"/>
      <c r="V14" s="339"/>
      <c r="W14" s="339"/>
      <c r="X14" s="339"/>
      <c r="Y14" s="339"/>
      <c r="Z14" s="339"/>
      <c r="AA14" s="339"/>
      <c r="AB14" s="339"/>
      <c r="AC14" s="339"/>
      <c r="AD14" s="339"/>
      <c r="AE14" s="339"/>
      <c r="AF14" s="339"/>
      <c r="AG14" s="339"/>
      <c r="AH14" s="339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243</v>
      </c>
      <c r="C15" s="12"/>
      <c r="D15" s="472">
        <v>5.4933333333333332</v>
      </c>
      <c r="E15" s="472">
        <v>5.6581333333333328</v>
      </c>
      <c r="F15" s="472">
        <v>5.6457561666666676</v>
      </c>
      <c r="G15" s="472">
        <v>5.7213364508333333</v>
      </c>
      <c r="H15" s="472">
        <v>5.6997641986416658</v>
      </c>
      <c r="I15" s="472">
        <v>5.7712527665568336</v>
      </c>
      <c r="J15" s="472">
        <v>5.8419008607681322</v>
      </c>
      <c r="K15" s="472">
        <v>5.9115937131422074</v>
      </c>
      <c r="L15" s="472">
        <v>6.088941524536474</v>
      </c>
      <c r="M15" s="472">
        <v>6.1596167386605574</v>
      </c>
      <c r="N15" s="472">
        <v>6.3444052408203753</v>
      </c>
      <c r="O15" s="472">
        <v>6.4159239908078041</v>
      </c>
      <c r="P15" s="472">
        <v>6.6084017105320383</v>
      </c>
      <c r="Q15" s="472">
        <v>6.680604618110074</v>
      </c>
      <c r="R15" s="472">
        <v>6.7511921386033125</v>
      </c>
      <c r="S15" s="472">
        <v>6.8200023661698452</v>
      </c>
      <c r="T15" s="472">
        <v>6.8868651344656273</v>
      </c>
      <c r="U15" s="472">
        <v>6.951601666729605</v>
      </c>
      <c r="V15" s="472">
        <v>7.014024212308402</v>
      </c>
      <c r="W15" s="472">
        <v>7.0739356691218687</v>
      </c>
      <c r="X15" s="472">
        <v>7.1311291915530655</v>
      </c>
      <c r="Y15" s="472">
        <v>7.1853877832279265</v>
      </c>
      <c r="Z15" s="472">
        <v>7.2396463749027831</v>
      </c>
      <c r="AA15" s="472">
        <v>7.2939049665776494</v>
      </c>
      <c r="AB15" s="472">
        <v>7.3481635582525087</v>
      </c>
      <c r="AC15" s="472">
        <v>7.402422149927367</v>
      </c>
      <c r="AD15" s="472">
        <v>7.4566807416022245</v>
      </c>
      <c r="AE15" s="472">
        <v>7.5109393332770908</v>
      </c>
      <c r="AF15" s="472">
        <v>7.5651979249519501</v>
      </c>
      <c r="AG15" s="472">
        <v>7.6194565166268085</v>
      </c>
      <c r="AH15" s="472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244</v>
      </c>
      <c r="C16" s="12"/>
      <c r="D16" s="472">
        <v>4.3775000000000004</v>
      </c>
      <c r="E16" s="472">
        <v>4.5088249999999999</v>
      </c>
      <c r="F16" s="472">
        <v>4.7351503333333334</v>
      </c>
      <c r="G16" s="472">
        <v>4.8772048433333328</v>
      </c>
      <c r="H16" s="472">
        <v>5.023520988633333</v>
      </c>
      <c r="I16" s="472">
        <v>5.1742266182923329</v>
      </c>
      <c r="J16" s="472">
        <v>5.3294534168411039</v>
      </c>
      <c r="K16" s="472">
        <v>5.2782086724483994</v>
      </c>
      <c r="L16" s="472">
        <v>5.2190927353169778</v>
      </c>
      <c r="M16" s="472">
        <v>5.0396864225404565</v>
      </c>
      <c r="N16" s="472">
        <v>4.9601713700959298</v>
      </c>
      <c r="O16" s="472">
        <v>4.8713496967244438</v>
      </c>
      <c r="P16" s="472">
        <v>4.8951123781718797</v>
      </c>
      <c r="Q16" s="472">
        <v>4.9159166057791106</v>
      </c>
      <c r="R16" s="472">
        <v>4.8037328678523572</v>
      </c>
      <c r="S16" s="472">
        <v>4.8141193172963614</v>
      </c>
      <c r="T16" s="472">
        <v>4.8208055941259396</v>
      </c>
      <c r="U16" s="472">
        <v>4.9654297619497179</v>
      </c>
      <c r="V16" s="472">
        <v>5.114392654808209</v>
      </c>
      <c r="W16" s="472">
        <v>5.117315164896671</v>
      </c>
      <c r="X16" s="472">
        <v>5.27083461984357</v>
      </c>
      <c r="Y16" s="472">
        <v>5.4289596584388775</v>
      </c>
      <c r="Z16" s="472">
        <v>5.5870846970341832</v>
      </c>
      <c r="AA16" s="472">
        <v>5.7452097356294916</v>
      </c>
      <c r="AB16" s="472">
        <v>5.9033347742247999</v>
      </c>
      <c r="AC16" s="472">
        <v>6.0614598128201083</v>
      </c>
      <c r="AD16" s="472">
        <v>6.2195848514154086</v>
      </c>
      <c r="AE16" s="472">
        <v>6.377709890010717</v>
      </c>
      <c r="AF16" s="472">
        <v>6.5358349286060253</v>
      </c>
      <c r="AG16" s="472">
        <v>6.6939599672013337</v>
      </c>
      <c r="AH16" s="472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241</v>
      </c>
      <c r="C17" s="12"/>
      <c r="D17" s="473">
        <v>0</v>
      </c>
      <c r="E17" s="473">
        <v>0</v>
      </c>
      <c r="F17" s="473">
        <v>0</v>
      </c>
      <c r="G17" s="473">
        <v>0</v>
      </c>
      <c r="H17" s="473">
        <v>0</v>
      </c>
      <c r="I17" s="473">
        <v>0</v>
      </c>
      <c r="J17" s="473">
        <v>0</v>
      </c>
      <c r="K17" s="473">
        <v>0</v>
      </c>
      <c r="L17" s="473">
        <v>0</v>
      </c>
      <c r="M17" s="473">
        <v>0</v>
      </c>
      <c r="N17" s="473">
        <v>0</v>
      </c>
      <c r="O17" s="473">
        <v>0</v>
      </c>
      <c r="P17" s="473">
        <v>0</v>
      </c>
      <c r="Q17" s="473">
        <v>0</v>
      </c>
      <c r="R17" s="473">
        <v>0</v>
      </c>
      <c r="S17" s="473">
        <v>0</v>
      </c>
      <c r="T17" s="473">
        <v>0</v>
      </c>
      <c r="U17" s="473">
        <v>0</v>
      </c>
      <c r="V17" s="473">
        <v>0</v>
      </c>
      <c r="W17" s="473">
        <v>0</v>
      </c>
      <c r="X17" s="473">
        <v>0</v>
      </c>
      <c r="Y17" s="473">
        <v>0</v>
      </c>
      <c r="Z17" s="473">
        <v>0</v>
      </c>
      <c r="AA17" s="473">
        <v>0</v>
      </c>
      <c r="AB17" s="473">
        <v>0</v>
      </c>
      <c r="AC17" s="473">
        <v>0</v>
      </c>
      <c r="AD17" s="473">
        <v>0</v>
      </c>
      <c r="AE17" s="473">
        <v>0</v>
      </c>
      <c r="AF17" s="473">
        <v>0</v>
      </c>
      <c r="AG17" s="473">
        <v>0</v>
      </c>
      <c r="AH17" s="473">
        <v>0</v>
      </c>
      <c r="AI17" s="474"/>
      <c r="AJ17" s="474"/>
      <c r="AK17" s="474"/>
      <c r="AL17" s="474"/>
      <c r="AM17" s="474"/>
      <c r="AN17" s="474"/>
      <c r="AO17" s="474"/>
      <c r="AP17" s="474"/>
      <c r="AQ17" s="474"/>
      <c r="AR17" s="474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39</v>
      </c>
      <c r="C18" s="12"/>
      <c r="D18" s="475">
        <v>0</v>
      </c>
      <c r="E18" s="475">
        <v>0</v>
      </c>
      <c r="F18" s="475">
        <v>0</v>
      </c>
      <c r="G18" s="475">
        <v>0</v>
      </c>
      <c r="H18" s="475">
        <v>0</v>
      </c>
      <c r="I18" s="475">
        <v>0</v>
      </c>
      <c r="J18" s="475">
        <v>0</v>
      </c>
      <c r="K18" s="475">
        <v>0</v>
      </c>
      <c r="L18" s="475">
        <v>0</v>
      </c>
      <c r="M18" s="475">
        <v>0</v>
      </c>
      <c r="N18" s="475">
        <v>0</v>
      </c>
      <c r="O18" s="475">
        <v>0</v>
      </c>
      <c r="P18" s="475">
        <v>0</v>
      </c>
      <c r="Q18" s="475">
        <v>0</v>
      </c>
      <c r="R18" s="475">
        <v>0</v>
      </c>
      <c r="S18" s="475">
        <v>0</v>
      </c>
      <c r="T18" s="475">
        <v>0</v>
      </c>
      <c r="U18" s="475">
        <v>0</v>
      </c>
      <c r="V18" s="475">
        <v>0</v>
      </c>
      <c r="W18" s="475">
        <v>0</v>
      </c>
      <c r="X18" s="475">
        <v>0</v>
      </c>
      <c r="Y18" s="475">
        <v>0</v>
      </c>
      <c r="Z18" s="475">
        <v>0</v>
      </c>
      <c r="AA18" s="475">
        <v>0</v>
      </c>
      <c r="AB18" s="475">
        <v>0</v>
      </c>
      <c r="AC18" s="475">
        <v>0</v>
      </c>
      <c r="AD18" s="475">
        <v>0</v>
      </c>
      <c r="AE18" s="475">
        <v>0</v>
      </c>
      <c r="AF18" s="475">
        <v>0</v>
      </c>
      <c r="AG18" s="475">
        <v>0</v>
      </c>
      <c r="AH18" s="475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76">
        <f>Assumptions!V13</f>
        <v>1</v>
      </c>
      <c r="B19" s="13" t="s">
        <v>124</v>
      </c>
      <c r="C19" s="477"/>
      <c r="D19" s="478">
        <f t="shared" ref="D19:AH19" si="4">CHOOSE($A$19,D15,D16,D17,D18)</f>
        <v>5.4933333333333332</v>
      </c>
      <c r="E19" s="478">
        <f t="shared" si="4"/>
        <v>5.6581333333333328</v>
      </c>
      <c r="F19" s="478">
        <f t="shared" si="4"/>
        <v>5.6457561666666676</v>
      </c>
      <c r="G19" s="478">
        <f t="shared" si="4"/>
        <v>5.7213364508333333</v>
      </c>
      <c r="H19" s="478">
        <f t="shared" si="4"/>
        <v>5.6997641986416658</v>
      </c>
      <c r="I19" s="478">
        <f t="shared" si="4"/>
        <v>5.7712527665568336</v>
      </c>
      <c r="J19" s="478">
        <f t="shared" si="4"/>
        <v>5.8419008607681322</v>
      </c>
      <c r="K19" s="478">
        <f t="shared" si="4"/>
        <v>5.9115937131422074</v>
      </c>
      <c r="L19" s="478">
        <f t="shared" si="4"/>
        <v>6.088941524536474</v>
      </c>
      <c r="M19" s="478">
        <f t="shared" si="4"/>
        <v>6.1596167386605574</v>
      </c>
      <c r="N19" s="478">
        <f t="shared" si="4"/>
        <v>6.3444052408203753</v>
      </c>
      <c r="O19" s="478">
        <f t="shared" si="4"/>
        <v>6.4159239908078041</v>
      </c>
      <c r="P19" s="478">
        <f t="shared" si="4"/>
        <v>6.6084017105320383</v>
      </c>
      <c r="Q19" s="478">
        <f t="shared" si="4"/>
        <v>6.680604618110074</v>
      </c>
      <c r="R19" s="478">
        <f t="shared" si="4"/>
        <v>6.7511921386033125</v>
      </c>
      <c r="S19" s="478">
        <f t="shared" si="4"/>
        <v>6.8200023661698452</v>
      </c>
      <c r="T19" s="478">
        <f t="shared" si="4"/>
        <v>6.8868651344656273</v>
      </c>
      <c r="U19" s="478">
        <f t="shared" si="4"/>
        <v>6.951601666729605</v>
      </c>
      <c r="V19" s="478">
        <f t="shared" si="4"/>
        <v>7.014024212308402</v>
      </c>
      <c r="W19" s="478">
        <f t="shared" si="4"/>
        <v>7.0739356691218687</v>
      </c>
      <c r="X19" s="478">
        <f t="shared" si="4"/>
        <v>7.1311291915530655</v>
      </c>
      <c r="Y19" s="478">
        <f t="shared" si="4"/>
        <v>7.1853877832279265</v>
      </c>
      <c r="Z19" s="478">
        <f t="shared" si="4"/>
        <v>7.2396463749027831</v>
      </c>
      <c r="AA19" s="478">
        <f t="shared" si="4"/>
        <v>7.2939049665776494</v>
      </c>
      <c r="AB19" s="478">
        <f t="shared" si="4"/>
        <v>7.3481635582525087</v>
      </c>
      <c r="AC19" s="478">
        <f t="shared" si="4"/>
        <v>7.402422149927367</v>
      </c>
      <c r="AD19" s="478">
        <f t="shared" si="4"/>
        <v>7.4566807416022245</v>
      </c>
      <c r="AE19" s="478">
        <f t="shared" si="4"/>
        <v>7.5109393332770908</v>
      </c>
      <c r="AF19" s="478">
        <f t="shared" si="4"/>
        <v>7.5651979249519501</v>
      </c>
      <c r="AG19" s="478">
        <f t="shared" si="4"/>
        <v>7.6194565166268085</v>
      </c>
      <c r="AH19" s="478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77"/>
      <c r="D20" s="479"/>
      <c r="E20" s="479"/>
      <c r="F20" s="479"/>
      <c r="G20" s="479"/>
      <c r="H20" s="479"/>
      <c r="I20" s="479"/>
      <c r="J20" s="479"/>
      <c r="K20" s="479"/>
      <c r="L20" s="479"/>
      <c r="M20" s="479"/>
      <c r="N20" s="479"/>
      <c r="O20" s="479"/>
      <c r="P20" s="479"/>
      <c r="Q20" s="479"/>
      <c r="R20" s="479"/>
      <c r="S20" s="479"/>
      <c r="T20" s="479"/>
      <c r="U20" s="479"/>
      <c r="V20" s="479"/>
      <c r="W20" s="479"/>
      <c r="X20" s="479"/>
      <c r="Y20" s="480"/>
      <c r="Z20" s="481"/>
      <c r="AA20" s="481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309</v>
      </c>
      <c r="C21" s="477"/>
      <c r="D21" s="482">
        <f>IF(AND(C7&lt;$D$7+Assumptions!$H$53,D7&lt;$D$7+Assumptions!$H$53),D12,IF(AND(C7&lt;$D$7+Assumptions!$H$53,D7&gt;$D$7+Assumptions!$H$53),D12*(1-$D$7)+D19*$D$7,D19))</f>
        <v>5.4933333333333332</v>
      </c>
      <c r="E21" s="483">
        <f>IF(AND(D7&lt;$D$7+Assumptions!$H$53,E7&lt;$D$7+Assumptions!$H$53),E12,IF(AND(D7&lt;$D$7+Assumptions!$H$53,E7&gt;=$D$7+Assumptions!$H$53),E12*(1-$D$7)+E19*$D$7,E19))</f>
        <v>5.6581333333333328</v>
      </c>
      <c r="F21" s="483">
        <f>IF(AND(E7&lt;$D$7+Assumptions!$H$53,F7&lt;$D$7+Assumptions!$H$53),F12,IF(AND(E7&lt;$D$7+Assumptions!$H$53,F7&gt;=$D$7+Assumptions!$H$53),F12*(1-$D$7)+F19*$D$7,F19))</f>
        <v>5.6457561666666676</v>
      </c>
      <c r="G21" s="483">
        <f>IF(AND(F7&lt;$D$7+Assumptions!$H$53,G7&lt;$D$7+Assumptions!$H$53),G12,IF(AND(F7&lt;$D$7+Assumptions!$H$53,G7&gt;=$D$7+Assumptions!$H$53),G12*(1-$D$7)+G19*$D$7,G19))</f>
        <v>5.7213364508333333</v>
      </c>
      <c r="H21" s="483">
        <f>IF(AND(G7&lt;$D$7+Assumptions!$H$53,H7&lt;$D$7+Assumptions!$H$53),H12,IF(AND(G7&lt;$D$7+Assumptions!$H$53,H7&gt;=$D$7+Assumptions!$H$53),H12*(1-$D$7)+H19*$D$7,H19))</f>
        <v>5.6997641986416658</v>
      </c>
      <c r="I21" s="483">
        <f>IF(AND(H7&lt;$D$7+Assumptions!$H$53,I7&lt;$D$7+Assumptions!$H$53),I12,IF(AND(H7&lt;$D$7+Assumptions!$H$53,I7&gt;=$D$7+Assumptions!$H$53),I12*(1-$D$7)+I19*$D$7,I19))</f>
        <v>5.7712527665568336</v>
      </c>
      <c r="J21" s="483">
        <f>IF(AND(I7&lt;$D$7+Assumptions!$H$53,J7&lt;$D$7+Assumptions!$H$53),J12,IF(AND(I7&lt;$D$7+Assumptions!$H$53,J7&gt;=$D$7+Assumptions!$H$53),J12*(1-$D$7)+J19*$D$7,J19))</f>
        <v>5.8419008607681322</v>
      </c>
      <c r="K21" s="483">
        <f>IF(AND(J7&lt;$D$7+Assumptions!$H$53,K7&lt;$D$7+Assumptions!$H$53),K12,IF(AND(J7&lt;$D$7+Assumptions!$H$53,K7&gt;=$D$7+Assumptions!$H$53),K12*(1-$D$7)+K19*$D$7,K19))</f>
        <v>5.9115937131422074</v>
      </c>
      <c r="L21" s="483">
        <f>IF(AND(K7&lt;$D$7+Assumptions!$H$53,L7&lt;$D$7+Assumptions!$H$53),L12,IF(AND(K7&lt;$D$7+Assumptions!$H$53,L7&gt;=$D$7+Assumptions!$H$53),L12*(1-$D$7)+L19*$D$7,L19))</f>
        <v>6.088941524536474</v>
      </c>
      <c r="M21" s="483">
        <f>IF(AND(L7&lt;$D$7+Assumptions!$H$53,M7&lt;$D$7+Assumptions!$H$53),M12,IF(AND(L7&lt;$D$7+Assumptions!$H$53,M7&gt;=$D$7+Assumptions!$H$53),M12*(1-$D$7)+M19*$D$7,M19))</f>
        <v>6.1596167386605574</v>
      </c>
      <c r="N21" s="483">
        <f>IF(AND(M7&lt;$D$7+Assumptions!$H$53,N7&lt;$D$7+Assumptions!$H$53),N12,IF(AND(M7&lt;$D$7+Assumptions!$H$53,N7&gt;=$D$7+Assumptions!$H$53),N12*(1-$D$7)+N19*$D$7,N19))</f>
        <v>6.3444052408203753</v>
      </c>
      <c r="O21" s="483">
        <f>IF(AND(N7&lt;$D$7+Assumptions!$H$53,O7&lt;$D$7+Assumptions!$H$53),O12,IF(AND(N7&lt;$D$7+Assumptions!$H$53,O7&gt;=$D$7+Assumptions!$H$53),O12*(1-$D$7)+O19*$D$7,O19))</f>
        <v>6.4159239908078041</v>
      </c>
      <c r="P21" s="483">
        <f>IF(AND(O7&lt;$D$7+Assumptions!$H$53,P7&lt;$D$7+Assumptions!$H$53),P12,IF(AND(O7&lt;$D$7+Assumptions!$H$53,P7&gt;=$D$7+Assumptions!$H$53),P12*(1-$D$7)+P19*$D$7,P19))</f>
        <v>6.6084017105320383</v>
      </c>
      <c r="Q21" s="483">
        <f>IF(AND(P7&lt;$D$7+Assumptions!$H$53,Q7&lt;$D$7+Assumptions!$H$53),Q12,IF(AND(P7&lt;$D$7+Assumptions!$H$53,Q7&gt;=$D$7+Assumptions!$H$53),Q12*(1-$D$7)+Q19*$D$7,Q19))</f>
        <v>6.680604618110074</v>
      </c>
      <c r="R21" s="484">
        <f>IF(AND(Q7&lt;$D$7+Assumptions!$H$53,R7&lt;$D$7+Assumptions!$H$53),R12,IF(AND(Q7&lt;$D$7+Assumptions!$H$53,R7&gt;=$D$7+Assumptions!$H$53),R12*(1-$D$7)+R19*$D$7,R19))</f>
        <v>6.7511921386033125</v>
      </c>
      <c r="S21" s="482">
        <f>IF(AND(R7&lt;$D$7+Assumptions!$H$53,S7&lt;$D$7+Assumptions!$H$53),S12,IF(AND(R7&lt;$D$7+Assumptions!$H$53,S7&gt;=$D$7+Assumptions!$H$53),S12*(1-$D$7)+S19*$D$7,S19))</f>
        <v>6.8200023661698452</v>
      </c>
      <c r="T21" s="483">
        <f>IF(AND(S7&lt;$D$7+Assumptions!$H$53,T7&lt;$D$7+Assumptions!$H$53),T12,IF(AND(S7&lt;$D$7+Assumptions!$H$53,T7&gt;=$D$7+Assumptions!$H$53),T12*(1-$D$7)+T19*$D$7,T19))</f>
        <v>6.8868651344656273</v>
      </c>
      <c r="U21" s="483">
        <f>IF(AND(T7&lt;$D$7+Assumptions!$H$53,U7&lt;$D$7+Assumptions!$H$53),U12,IF(AND(T7&lt;$D$7+Assumptions!$H$53,U7&gt;=$D$7+Assumptions!$H$53),U12*(1-$D$7)+U19*$D$7,U19))</f>
        <v>6.951601666729605</v>
      </c>
      <c r="V21" s="483">
        <f>IF(AND(U7&lt;$D$7+Assumptions!$H$53,V7&lt;$D$7+Assumptions!$H$53),V12,IF(AND(U7&lt;$D$7+Assumptions!$H$53,V7&gt;=$D$7+Assumptions!$H$53),V12*(1-$D$7)+V19*$D$7,V19))</f>
        <v>7.014024212308402</v>
      </c>
      <c r="W21" s="483">
        <f>IF(AND(V7&lt;$D$7+Assumptions!$H$53,W7&lt;$D$7+Assumptions!$H$53),W12,IF(AND(V7&lt;$D$7+Assumptions!$H$53,W7&gt;=$D$7+Assumptions!$H$53),W12*(1-$D$7)+W19*$D$7,W19))</f>
        <v>7.0739356691218687</v>
      </c>
      <c r="X21" s="483">
        <f>IF(AND(W7&lt;$D$7+Assumptions!$H$53,X7&lt;$D$7+Assumptions!$H$53),X12,IF(AND(W7&lt;$D$7+Assumptions!$H$53,X7&gt;=$D$7+Assumptions!$H$53),X12*(1-$D$7)+X19*$D$7,X19))</f>
        <v>7.1311291915530655</v>
      </c>
      <c r="Y21" s="483">
        <f>IF(AND(X7&lt;$D$7+Assumptions!$H$53,Y7&lt;$D$7+Assumptions!$H$53),Y12,IF(AND(X7&lt;$D$7+Assumptions!$H$53,Y7&gt;=$D$7+Assumptions!$H$53),Y12*(1-$D$7)+Y19*$D$7,Y19))</f>
        <v>7.1853877832279265</v>
      </c>
      <c r="Z21" s="483">
        <f>IF(AND(Y7&lt;$D$7+Assumptions!$H$53,Z7&lt;$D$7+Assumptions!$H$53),Z12,IF(AND(Y7&lt;$D$7+Assumptions!$H$53,Z7&gt;=$D$7+Assumptions!$H$53),Z12*(1-$D$7)+Z19*$D$7,Z19))</f>
        <v>7.2396463749027831</v>
      </c>
      <c r="AA21" s="483">
        <f>IF(AND(Z7&lt;$D$7+Assumptions!$H$53,AA7&lt;$D$7+Assumptions!$H$53),AA12,IF(AND(Z7&lt;$D$7+Assumptions!$H$53,AA7&gt;=$D$7+Assumptions!$H$53),AA12*(1-$D$7)+AA19*$D$7,AA19))</f>
        <v>7.2939049665776494</v>
      </c>
      <c r="AB21" s="483">
        <f>IF(AND(AA7&lt;$D$7+Assumptions!$H$53,AB7&lt;$D$7+Assumptions!$H$53),AB12,IF(AND(AA7&lt;$D$7+Assumptions!$H$53,AB7&gt;=$D$7+Assumptions!$H$53),AB12*(1-$D$7)+AB19*$D$7,AB19))</f>
        <v>7.3481635582525087</v>
      </c>
      <c r="AC21" s="483">
        <f>IF(AND(AB7&lt;$D$7+Assumptions!$H$53,AC7&lt;$D$7+Assumptions!$H$53),AC12,IF(AND(AB7&lt;$D$7+Assumptions!$H$53,AC7&gt;=$D$7+Assumptions!$H$53),AC12*(1-$D$7)+AC19*$D$7,AC19))</f>
        <v>7.402422149927367</v>
      </c>
      <c r="AD21" s="483">
        <f>IF(AND(AC7&lt;$D$7+Assumptions!$H$53,AD7&lt;$D$7+Assumptions!$H$53),AD12,IF(AND(AC7&lt;$D$7+Assumptions!$H$53,AD7&gt;=$D$7+Assumptions!$H$53),AD12*(1-$D$7)+AD19*$D$7,AD19))</f>
        <v>7.4566807416022245</v>
      </c>
      <c r="AE21" s="483">
        <f>IF(AND(AD7&lt;$D$7+Assumptions!$H$53,AE7&lt;$D$7+Assumptions!$H$53),AE12,IF(AND(AD7&lt;$D$7+Assumptions!$H$53,AE7&gt;=$D$7+Assumptions!$H$53),AE12*(1-$D$7)+AE19*$D$7,AE19))</f>
        <v>7.5109393332770908</v>
      </c>
      <c r="AF21" s="483">
        <f>IF(AND(AE7&lt;$D$7+Assumptions!$H$53,AF7&lt;$D$7+Assumptions!$H$53),AF12,IF(AND(AE7&lt;$D$7+Assumptions!$H$53,AF7&gt;=$D$7+Assumptions!$H$53),AF12*(1-$D$7)+AF19*$D$7,AF19))</f>
        <v>7.5651979249519501</v>
      </c>
      <c r="AG21" s="483">
        <f>IF(AND(AF7&lt;$D$7+Assumptions!$H$53,AG7&lt;$D$7+Assumptions!$H$53),AG12,IF(AND(AF7&lt;$D$7+Assumptions!$H$53,AG7&gt;=$D$7+Assumptions!$H$53),AG12*(1-$D$7)+AG19*$D$7,AG19))</f>
        <v>7.6194565166268085</v>
      </c>
      <c r="AH21" s="484">
        <f>IF(AND(AG7&lt;$D$7+Assumptions!$H$53,AH7&lt;$D$7+Assumptions!$H$53),AH12,IF(AND(AG7&lt;$D$7+Assumptions!$H$53,AH7&gt;=$D$7+Assumptions!$H$53),AH12*(1-$D$7)+AH19*$D$7,AH19))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77"/>
      <c r="D22" s="479"/>
      <c r="E22" s="479"/>
      <c r="F22" s="479"/>
      <c r="G22" s="479"/>
      <c r="H22" s="479"/>
      <c r="I22" s="479"/>
      <c r="J22" s="479"/>
      <c r="K22" s="479"/>
      <c r="L22" s="479"/>
      <c r="M22" s="479"/>
      <c r="N22" s="479"/>
      <c r="O22" s="479"/>
      <c r="P22" s="479"/>
      <c r="Q22" s="479"/>
      <c r="R22" s="479"/>
      <c r="S22" s="479"/>
      <c r="T22" s="479"/>
      <c r="U22" s="479"/>
      <c r="V22" s="479"/>
      <c r="W22" s="479"/>
      <c r="X22" s="479"/>
      <c r="Y22" s="480"/>
      <c r="Z22" s="481"/>
      <c r="AA22" s="481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77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69" t="s">
        <v>393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241</v>
      </c>
      <c r="C25" s="485"/>
      <c r="D25" s="473">
        <v>2.2000000000000002</v>
      </c>
      <c r="E25" s="473">
        <v>2.2000000000000002</v>
      </c>
      <c r="F25" s="473">
        <v>2.2000000000000002</v>
      </c>
      <c r="G25" s="473">
        <v>2.2000000000000002</v>
      </c>
      <c r="H25" s="473">
        <v>2.2000000000000002</v>
      </c>
      <c r="I25" s="473">
        <v>2.2000000000000002</v>
      </c>
      <c r="J25" s="473">
        <v>2.2000000000000002</v>
      </c>
      <c r="K25" s="473">
        <v>2.2000000000000002</v>
      </c>
      <c r="L25" s="473">
        <v>2.2000000000000002</v>
      </c>
      <c r="M25" s="473">
        <v>2.2000000000000002</v>
      </c>
      <c r="N25" s="473">
        <v>2.2000000000000002</v>
      </c>
      <c r="O25" s="473">
        <v>2.2000000000000002</v>
      </c>
      <c r="P25" s="473">
        <v>2.2000000000000002</v>
      </c>
      <c r="Q25" s="473">
        <v>2.2000000000000002</v>
      </c>
      <c r="R25" s="473">
        <v>2.2000000000000002</v>
      </c>
      <c r="S25" s="473">
        <v>2.2000000000000002</v>
      </c>
      <c r="T25" s="473">
        <v>2.2000000000000002</v>
      </c>
      <c r="U25" s="473">
        <v>2.2000000000000002</v>
      </c>
      <c r="V25" s="473">
        <v>2.2000000000000002</v>
      </c>
      <c r="W25" s="473">
        <v>2.2000000000000002</v>
      </c>
      <c r="X25" s="473">
        <v>2.2000000000000002</v>
      </c>
      <c r="Y25" s="473">
        <v>2.2000000000000002</v>
      </c>
      <c r="Z25" s="473">
        <v>2.2000000000000002</v>
      </c>
      <c r="AA25" s="473">
        <v>2.2000000000000002</v>
      </c>
      <c r="AB25" s="473">
        <v>2.2000000000000002</v>
      </c>
      <c r="AC25" s="473">
        <v>2.2000000000000002</v>
      </c>
      <c r="AD25" s="473">
        <v>2.2000000000000002</v>
      </c>
      <c r="AE25" s="473">
        <v>2.2000000000000002</v>
      </c>
      <c r="AF25" s="473">
        <v>2.2000000000000002</v>
      </c>
      <c r="AG25" s="473">
        <v>2.2000000000000002</v>
      </c>
      <c r="AH25" s="473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238</v>
      </c>
      <c r="C26" s="13"/>
      <c r="D26" s="473">
        <v>2.5</v>
      </c>
      <c r="E26" s="473">
        <v>2.5</v>
      </c>
      <c r="F26" s="473">
        <v>2.5</v>
      </c>
      <c r="G26" s="473">
        <v>2.5</v>
      </c>
      <c r="H26" s="473">
        <v>2.5</v>
      </c>
      <c r="I26" s="473">
        <v>2.5</v>
      </c>
      <c r="J26" s="473">
        <v>2.5</v>
      </c>
      <c r="K26" s="473">
        <v>2.5</v>
      </c>
      <c r="L26" s="473">
        <v>2.5</v>
      </c>
      <c r="M26" s="473">
        <v>2.5</v>
      </c>
      <c r="N26" s="473">
        <v>2.5</v>
      </c>
      <c r="O26" s="473">
        <v>2.5</v>
      </c>
      <c r="P26" s="473">
        <v>2.5</v>
      </c>
      <c r="Q26" s="473">
        <v>2.5</v>
      </c>
      <c r="R26" s="473">
        <v>2.5</v>
      </c>
      <c r="S26" s="473">
        <v>2.5</v>
      </c>
      <c r="T26" s="473">
        <v>2.5</v>
      </c>
      <c r="U26" s="473">
        <v>2.5</v>
      </c>
      <c r="V26" s="473">
        <v>2.5</v>
      </c>
      <c r="W26" s="473">
        <v>2.5</v>
      </c>
      <c r="X26" s="473">
        <v>2.5</v>
      </c>
      <c r="Y26" s="473">
        <v>2.5</v>
      </c>
      <c r="Z26" s="473">
        <v>2.5</v>
      </c>
      <c r="AA26" s="473">
        <v>2.5</v>
      </c>
      <c r="AB26" s="473">
        <v>2.5</v>
      </c>
      <c r="AC26" s="473">
        <v>2.5</v>
      </c>
      <c r="AD26" s="473">
        <v>2.5</v>
      </c>
      <c r="AE26" s="473">
        <v>2.5</v>
      </c>
      <c r="AF26" s="473">
        <v>2.5</v>
      </c>
      <c r="AG26" s="473">
        <v>2.5</v>
      </c>
      <c r="AH26" s="473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39</v>
      </c>
      <c r="C27" s="13"/>
      <c r="D27" s="486">
        <v>1.5</v>
      </c>
      <c r="E27" s="486">
        <v>1.5</v>
      </c>
      <c r="F27" s="486">
        <v>1.5</v>
      </c>
      <c r="G27" s="486">
        <v>1.5</v>
      </c>
      <c r="H27" s="486">
        <v>1.5</v>
      </c>
      <c r="I27" s="486">
        <v>1.5</v>
      </c>
      <c r="J27" s="486">
        <v>1.5</v>
      </c>
      <c r="K27" s="486">
        <v>1.5</v>
      </c>
      <c r="L27" s="486">
        <v>1.5</v>
      </c>
      <c r="M27" s="486">
        <v>1.5</v>
      </c>
      <c r="N27" s="486">
        <v>1.5</v>
      </c>
      <c r="O27" s="486">
        <v>1.5</v>
      </c>
      <c r="P27" s="486">
        <v>1.5</v>
      </c>
      <c r="Q27" s="486">
        <v>1.5</v>
      </c>
      <c r="R27" s="486">
        <v>1.5</v>
      </c>
      <c r="S27" s="486">
        <v>1.5</v>
      </c>
      <c r="T27" s="486">
        <v>1.5</v>
      </c>
      <c r="U27" s="486">
        <v>1.5</v>
      </c>
      <c r="V27" s="486">
        <v>1.5</v>
      </c>
      <c r="W27" s="486">
        <v>1.5</v>
      </c>
      <c r="X27" s="486">
        <v>1.5</v>
      </c>
      <c r="Y27" s="486">
        <v>1.5</v>
      </c>
      <c r="Z27" s="486">
        <v>1.5</v>
      </c>
      <c r="AA27" s="486">
        <v>1.5</v>
      </c>
      <c r="AB27" s="486">
        <v>1.5</v>
      </c>
      <c r="AC27" s="486">
        <v>1.5</v>
      </c>
      <c r="AD27" s="486">
        <v>1.5</v>
      </c>
      <c r="AE27" s="486">
        <v>1.5</v>
      </c>
      <c r="AF27" s="486">
        <v>1.5</v>
      </c>
      <c r="AG27" s="486">
        <v>1.5</v>
      </c>
      <c r="AH27" s="486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239</v>
      </c>
      <c r="C28" s="13"/>
      <c r="D28" s="487">
        <f>Assumptions!$N$54</f>
        <v>0</v>
      </c>
      <c r="E28" s="487">
        <f>Assumptions!$N$54</f>
        <v>0</v>
      </c>
      <c r="F28" s="487">
        <f>Assumptions!$N$54</f>
        <v>0</v>
      </c>
      <c r="G28" s="487">
        <f>Assumptions!$N$54</f>
        <v>0</v>
      </c>
      <c r="H28" s="487">
        <f>Assumptions!$N$54</f>
        <v>0</v>
      </c>
      <c r="I28" s="487">
        <f>Assumptions!$N$54</f>
        <v>0</v>
      </c>
      <c r="J28" s="487">
        <f>Assumptions!$N$54</f>
        <v>0</v>
      </c>
      <c r="K28" s="487">
        <f>Assumptions!$N$54</f>
        <v>0</v>
      </c>
      <c r="L28" s="487">
        <f>Assumptions!$N$54</f>
        <v>0</v>
      </c>
      <c r="M28" s="487">
        <f>Assumptions!$N$54</f>
        <v>0</v>
      </c>
      <c r="N28" s="487">
        <f>Assumptions!$N$54</f>
        <v>0</v>
      </c>
      <c r="O28" s="487">
        <f>Assumptions!$N$54</f>
        <v>0</v>
      </c>
      <c r="P28" s="487">
        <f>Assumptions!$N$54</f>
        <v>0</v>
      </c>
      <c r="Q28" s="487">
        <f>Assumptions!$N$54</f>
        <v>0</v>
      </c>
      <c r="R28" s="487">
        <f>Assumptions!$N$54</f>
        <v>0</v>
      </c>
      <c r="S28" s="487">
        <f>Assumptions!$N$54</f>
        <v>0</v>
      </c>
      <c r="T28" s="487">
        <f>Assumptions!$N$54</f>
        <v>0</v>
      </c>
      <c r="U28" s="487">
        <f>Assumptions!$N$54</f>
        <v>0</v>
      </c>
      <c r="V28" s="487">
        <f>Assumptions!$N$54</f>
        <v>0</v>
      </c>
      <c r="W28" s="487">
        <f>Assumptions!$N$54</f>
        <v>0</v>
      </c>
      <c r="X28" s="487">
        <f>Assumptions!$N$54</f>
        <v>0</v>
      </c>
      <c r="Y28" s="487">
        <f>Assumptions!$N$54</f>
        <v>0</v>
      </c>
      <c r="Z28" s="487">
        <f>Assumptions!$N$54</f>
        <v>0</v>
      </c>
      <c r="AA28" s="487">
        <f>Assumptions!$N$54</f>
        <v>0</v>
      </c>
      <c r="AB28" s="487">
        <f>Assumptions!$N$54</f>
        <v>0</v>
      </c>
      <c r="AC28" s="487">
        <f>Assumptions!$N$54</f>
        <v>0</v>
      </c>
      <c r="AD28" s="487">
        <f>Assumptions!$N$54</f>
        <v>0</v>
      </c>
      <c r="AE28" s="487">
        <f>Assumptions!$N$54</f>
        <v>0</v>
      </c>
      <c r="AF28" s="487">
        <f>Assumptions!$N$54</f>
        <v>0</v>
      </c>
      <c r="AG28" s="487">
        <f>Assumptions!$N$54</f>
        <v>0</v>
      </c>
      <c r="AH28" s="487">
        <f>Assumptions!$N$54</f>
        <v>0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76">
        <f>Assumptions!U13</f>
        <v>2</v>
      </c>
      <c r="B30" s="43" t="s">
        <v>236</v>
      </c>
      <c r="C30" s="12"/>
      <c r="D30" s="488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2.5</v>
      </c>
      <c r="E30" s="489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2.5</v>
      </c>
      <c r="F30" s="489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2.5</v>
      </c>
      <c r="G30" s="489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2.5</v>
      </c>
      <c r="H30" s="489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2.5</v>
      </c>
      <c r="I30" s="489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2.5</v>
      </c>
      <c r="J30" s="489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2.5</v>
      </c>
      <c r="K30" s="489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2.5</v>
      </c>
      <c r="L30" s="489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2.5</v>
      </c>
      <c r="M30" s="489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2.5</v>
      </c>
      <c r="N30" s="489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2.5</v>
      </c>
      <c r="O30" s="489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2.5</v>
      </c>
      <c r="P30" s="489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2.5</v>
      </c>
      <c r="Q30" s="489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2.5</v>
      </c>
      <c r="R30" s="490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2.5</v>
      </c>
      <c r="S30" s="488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2.5</v>
      </c>
      <c r="T30" s="489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2.5</v>
      </c>
      <c r="U30" s="489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2.5</v>
      </c>
      <c r="V30" s="489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2.5</v>
      </c>
      <c r="W30" s="489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2.5</v>
      </c>
      <c r="X30" s="489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2.5</v>
      </c>
      <c r="Y30" s="489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2.5</v>
      </c>
      <c r="Z30" s="489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2.5</v>
      </c>
      <c r="AA30" s="489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2.5</v>
      </c>
      <c r="AB30" s="489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2.5</v>
      </c>
      <c r="AC30" s="489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2.5</v>
      </c>
      <c r="AD30" s="489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2.5</v>
      </c>
      <c r="AE30" s="489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2.5</v>
      </c>
      <c r="AF30" s="489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2.5</v>
      </c>
      <c r="AG30" s="489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2.5</v>
      </c>
      <c r="AH30" s="490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2.5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69" t="s">
        <v>394</v>
      </c>
      <c r="C33" s="13"/>
      <c r="D33" s="339"/>
      <c r="E33" s="339"/>
      <c r="F33" s="339"/>
      <c r="G33" s="339"/>
      <c r="H33" s="339"/>
      <c r="I33" s="339"/>
      <c r="J33" s="339"/>
      <c r="K33" s="339"/>
      <c r="L33" s="339"/>
      <c r="M33" s="339"/>
      <c r="N33" s="339"/>
      <c r="O33" s="339"/>
      <c r="P33" s="339"/>
      <c r="Q33" s="339"/>
      <c r="R33" s="339"/>
      <c r="S33" s="339"/>
      <c r="T33" s="339"/>
      <c r="U33" s="339"/>
      <c r="V33" s="339"/>
      <c r="W33" s="339"/>
      <c r="X33" s="339"/>
      <c r="Y33" s="339"/>
      <c r="Z33" s="339"/>
      <c r="AA33" s="339"/>
      <c r="AB33" s="339"/>
      <c r="AC33" s="339"/>
      <c r="AD33" s="339"/>
      <c r="AE33" s="339"/>
      <c r="AF33" s="339"/>
      <c r="AG33" s="339"/>
      <c r="AH33" s="339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237</v>
      </c>
      <c r="C34" s="12"/>
      <c r="D34" s="474">
        <f>D44*'Price_Technical Assumption'!D30/1000</f>
        <v>0</v>
      </c>
      <c r="E34" s="474">
        <f>E44*'Price_Technical Assumption'!E30/1000</f>
        <v>0</v>
      </c>
      <c r="F34" s="474">
        <f>F44*'Price_Technical Assumption'!F30/1000</f>
        <v>0</v>
      </c>
      <c r="G34" s="474">
        <f>G44*'Price_Technical Assumption'!G30/1000</f>
        <v>0</v>
      </c>
      <c r="H34" s="474">
        <f>H44*'Price_Technical Assumption'!H30/1000</f>
        <v>0</v>
      </c>
      <c r="I34" s="474">
        <f>I44*'Price_Technical Assumption'!I30/1000</f>
        <v>0</v>
      </c>
      <c r="J34" s="474">
        <f>J44*'Price_Technical Assumption'!J30/1000</f>
        <v>0</v>
      </c>
      <c r="K34" s="474">
        <f>K44*'Price_Technical Assumption'!K30/1000</f>
        <v>0</v>
      </c>
      <c r="L34" s="474">
        <f>L44*'Price_Technical Assumption'!L30/1000</f>
        <v>0</v>
      </c>
      <c r="M34" s="474">
        <f>M44*'Price_Technical Assumption'!M30/1000</f>
        <v>0</v>
      </c>
      <c r="N34" s="474">
        <f>N44*'Price_Technical Assumption'!N30/1000</f>
        <v>0</v>
      </c>
      <c r="O34" s="474">
        <f>O44*'Price_Technical Assumption'!O30/1000</f>
        <v>0</v>
      </c>
      <c r="P34" s="474">
        <f>P44*'Price_Technical Assumption'!P30/1000</f>
        <v>0</v>
      </c>
      <c r="Q34" s="474">
        <f>Q44*'Price_Technical Assumption'!Q30/1000</f>
        <v>0</v>
      </c>
      <c r="R34" s="474">
        <f>R44*'Price_Technical Assumption'!R30/1000</f>
        <v>0</v>
      </c>
      <c r="S34" s="474">
        <f>S44*'Price_Technical Assumption'!S30/1000</f>
        <v>0</v>
      </c>
      <c r="T34" s="474">
        <f>T44*'Price_Technical Assumption'!T30/1000</f>
        <v>0</v>
      </c>
      <c r="U34" s="474">
        <f>U44*'Price_Technical Assumption'!U30/1000</f>
        <v>0</v>
      </c>
      <c r="V34" s="474">
        <f>V44*'Price_Technical Assumption'!V30/1000</f>
        <v>0</v>
      </c>
      <c r="W34" s="474">
        <f>W44*'Price_Technical Assumption'!W30/1000</f>
        <v>0</v>
      </c>
      <c r="X34" s="474">
        <f>X44*'Price_Technical Assumption'!X30/1000</f>
        <v>0</v>
      </c>
      <c r="Y34" s="474">
        <f>Y44*'Price_Technical Assumption'!Y30/1000</f>
        <v>0</v>
      </c>
      <c r="Z34" s="474">
        <f>Z44*'Price_Technical Assumption'!Z30/1000</f>
        <v>0</v>
      </c>
      <c r="AA34" s="474">
        <f>AA44*'Price_Technical Assumption'!AA30/1000</f>
        <v>0</v>
      </c>
      <c r="AB34" s="474">
        <f>AB44*'Price_Technical Assumption'!AB30/1000</f>
        <v>0</v>
      </c>
      <c r="AC34" s="474">
        <f>AC44*'Price_Technical Assumption'!AC30/1000</f>
        <v>0</v>
      </c>
      <c r="AD34" s="474">
        <f>AD44*'Price_Technical Assumption'!AD30/1000</f>
        <v>0</v>
      </c>
      <c r="AE34" s="474">
        <f>AE44*'Price_Technical Assumption'!AE30/1000</f>
        <v>0</v>
      </c>
      <c r="AF34" s="474">
        <f>AF44*'Price_Technical Assumption'!AF30/1000</f>
        <v>0</v>
      </c>
      <c r="AG34" s="474">
        <f>AG44*'Price_Technical Assumption'!AG30/1000</f>
        <v>0</v>
      </c>
      <c r="AH34" s="474">
        <f>AH44*'Price_Technical Assumption'!AH30/1000</f>
        <v>0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413</v>
      </c>
      <c r="C35" s="454"/>
      <c r="D35" s="491">
        <f>Assumptions!$H$60*(1+Assumptions!$N$11)^(D7)</f>
        <v>0</v>
      </c>
      <c r="E35" s="491">
        <f>Assumptions!$H$60*(1+Assumptions!$N$11)^(E7)</f>
        <v>0</v>
      </c>
      <c r="F35" s="491">
        <f>Assumptions!$H$60*(1+Assumptions!$N$11)^(F7)</f>
        <v>0</v>
      </c>
      <c r="G35" s="491">
        <f>Assumptions!$H$60*(1+Assumptions!$N$11)^(G7)</f>
        <v>0</v>
      </c>
      <c r="H35" s="491">
        <f>Assumptions!$H$60*(1+Assumptions!$N$11)^(H7)</f>
        <v>0</v>
      </c>
      <c r="I35" s="491">
        <f>Assumptions!$H$60*(1+Assumptions!$N$11)^(I7)</f>
        <v>0</v>
      </c>
      <c r="J35" s="491">
        <f>Assumptions!$H$60*(1+Assumptions!$N$11)^(J7)</f>
        <v>0</v>
      </c>
      <c r="K35" s="491">
        <f>Assumptions!$H$60*(1+Assumptions!$N$11)^(K7)</f>
        <v>0</v>
      </c>
      <c r="L35" s="491">
        <f>Assumptions!$H$60*(1+Assumptions!$N$11)^(L7)</f>
        <v>0</v>
      </c>
      <c r="M35" s="491">
        <f>Assumptions!$H$60*(1+Assumptions!$N$11)^(M7)</f>
        <v>0</v>
      </c>
      <c r="N35" s="491">
        <f>Assumptions!$H$60*(1+Assumptions!$N$11)^(N7)</f>
        <v>0</v>
      </c>
      <c r="O35" s="491">
        <f>Assumptions!$H$60*(1+Assumptions!$N$11)^(O7)</f>
        <v>0</v>
      </c>
      <c r="P35" s="491">
        <f>Assumptions!$H$60*(1+Assumptions!$N$11)^(P7)</f>
        <v>0</v>
      </c>
      <c r="Q35" s="491">
        <f>Assumptions!$H$60*(1+Assumptions!$N$11)^(Q7)</f>
        <v>0</v>
      </c>
      <c r="R35" s="491">
        <f>Assumptions!$H$60*(1+Assumptions!$N$11)^(R7)</f>
        <v>0</v>
      </c>
      <c r="S35" s="491">
        <f>Assumptions!$H$60*(1+Assumptions!$N$11)^(S7)</f>
        <v>0</v>
      </c>
      <c r="T35" s="491">
        <f>Assumptions!$H$60*(1+Assumptions!$N$11)^(T7)</f>
        <v>0</v>
      </c>
      <c r="U35" s="491">
        <f>Assumptions!$H$60*(1+Assumptions!$N$11)^(U7)</f>
        <v>0</v>
      </c>
      <c r="V35" s="491">
        <f>Assumptions!$H$60*(1+Assumptions!$N$11)^(V7)</f>
        <v>0</v>
      </c>
      <c r="W35" s="491">
        <f>Assumptions!$H$60*(1+Assumptions!$N$11)^(W7)</f>
        <v>0</v>
      </c>
      <c r="X35" s="491">
        <f>Assumptions!$H$60*(1+Assumptions!$N$11)^(X7)</f>
        <v>0</v>
      </c>
      <c r="Y35" s="491">
        <f>Assumptions!$H$60*(1+Assumptions!$N$11)^(Y7)</f>
        <v>0</v>
      </c>
      <c r="Z35" s="491">
        <f>Assumptions!$H$60*(1+Assumptions!$N$11)^(Z7)</f>
        <v>0</v>
      </c>
      <c r="AA35" s="491">
        <f>Assumptions!$H$60*(1+Assumptions!$N$11)^(AA7)</f>
        <v>0</v>
      </c>
      <c r="AB35" s="491">
        <f>Assumptions!$H$60*(1+Assumptions!$N$11)^(AB7)</f>
        <v>0</v>
      </c>
      <c r="AC35" s="491">
        <f>Assumptions!$H$60*(1+Assumptions!$N$11)^(AC7)</f>
        <v>0</v>
      </c>
      <c r="AD35" s="491">
        <f>Assumptions!$H$60*(1+Assumptions!$N$11)^(AD7)</f>
        <v>0</v>
      </c>
      <c r="AE35" s="491">
        <f>Assumptions!$H$60*(1+Assumptions!$N$11)^(AE7)</f>
        <v>0</v>
      </c>
      <c r="AF35" s="491">
        <f>Assumptions!$H$60*(1+Assumptions!$N$11)^(AF7)</f>
        <v>0</v>
      </c>
      <c r="AG35" s="491">
        <f>Assumptions!$H$60*(1+Assumptions!$N$11)^(AG7)</f>
        <v>0</v>
      </c>
      <c r="AH35" s="491">
        <f>Assumptions!$H$60*(1+Assumptions!$N$11)^(AH7)</f>
        <v>0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422</v>
      </c>
      <c r="C36" s="12"/>
      <c r="D36" s="471">
        <f>SUM(D34:D35)</f>
        <v>0</v>
      </c>
      <c r="E36" s="471">
        <f t="shared" ref="E36:AH36" si="5">SUM(E34:E35)</f>
        <v>0</v>
      </c>
      <c r="F36" s="471">
        <f t="shared" si="5"/>
        <v>0</v>
      </c>
      <c r="G36" s="471">
        <f t="shared" si="5"/>
        <v>0</v>
      </c>
      <c r="H36" s="471">
        <f t="shared" si="5"/>
        <v>0</v>
      </c>
      <c r="I36" s="471">
        <f t="shared" si="5"/>
        <v>0</v>
      </c>
      <c r="J36" s="471">
        <f t="shared" si="5"/>
        <v>0</v>
      </c>
      <c r="K36" s="471">
        <f t="shared" si="5"/>
        <v>0</v>
      </c>
      <c r="L36" s="471">
        <f t="shared" si="5"/>
        <v>0</v>
      </c>
      <c r="M36" s="471">
        <f t="shared" si="5"/>
        <v>0</v>
      </c>
      <c r="N36" s="471">
        <f t="shared" si="5"/>
        <v>0</v>
      </c>
      <c r="O36" s="471">
        <f t="shared" si="5"/>
        <v>0</v>
      </c>
      <c r="P36" s="471">
        <f t="shared" si="5"/>
        <v>0</v>
      </c>
      <c r="Q36" s="471">
        <f t="shared" si="5"/>
        <v>0</v>
      </c>
      <c r="R36" s="471">
        <f t="shared" si="5"/>
        <v>0</v>
      </c>
      <c r="S36" s="471">
        <f t="shared" si="5"/>
        <v>0</v>
      </c>
      <c r="T36" s="471">
        <f t="shared" si="5"/>
        <v>0</v>
      </c>
      <c r="U36" s="471">
        <f t="shared" si="5"/>
        <v>0</v>
      </c>
      <c r="V36" s="471">
        <f t="shared" si="5"/>
        <v>0</v>
      </c>
      <c r="W36" s="471">
        <f t="shared" si="5"/>
        <v>0</v>
      </c>
      <c r="X36" s="471">
        <f t="shared" si="5"/>
        <v>0</v>
      </c>
      <c r="Y36" s="471">
        <f t="shared" si="5"/>
        <v>0</v>
      </c>
      <c r="Z36" s="471">
        <f t="shared" si="5"/>
        <v>0</v>
      </c>
      <c r="AA36" s="471">
        <f t="shared" si="5"/>
        <v>0</v>
      </c>
      <c r="AB36" s="471">
        <f t="shared" si="5"/>
        <v>0</v>
      </c>
      <c r="AC36" s="471">
        <f t="shared" si="5"/>
        <v>0</v>
      </c>
      <c r="AD36" s="471">
        <f t="shared" si="5"/>
        <v>0</v>
      </c>
      <c r="AE36" s="471">
        <f t="shared" si="5"/>
        <v>0</v>
      </c>
      <c r="AF36" s="471">
        <f t="shared" si="5"/>
        <v>0</v>
      </c>
      <c r="AG36" s="471">
        <f t="shared" si="5"/>
        <v>0</v>
      </c>
      <c r="AH36" s="471">
        <f t="shared" si="5"/>
        <v>0</v>
      </c>
      <c r="AI36" s="474"/>
      <c r="AJ36" s="474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74"/>
      <c r="E37" s="474"/>
      <c r="F37" s="474"/>
      <c r="G37" s="474"/>
      <c r="H37" s="474"/>
      <c r="I37" s="474"/>
      <c r="J37" s="474"/>
      <c r="K37" s="474"/>
      <c r="L37" s="474"/>
      <c r="M37" s="474"/>
      <c r="N37" s="474"/>
      <c r="O37" s="474"/>
      <c r="P37" s="474"/>
      <c r="Q37" s="474"/>
      <c r="R37" s="474"/>
      <c r="S37" s="474"/>
      <c r="T37" s="474"/>
      <c r="U37" s="474"/>
      <c r="V37" s="474"/>
      <c r="W37" s="474"/>
      <c r="X37" s="474"/>
      <c r="Y37" s="474"/>
      <c r="Z37" s="474"/>
      <c r="AA37" s="474"/>
      <c r="AB37" s="474"/>
      <c r="AC37" s="474"/>
      <c r="AD37" s="474"/>
      <c r="AE37" s="474"/>
      <c r="AF37" s="474"/>
      <c r="AG37" s="474"/>
      <c r="AH37" s="474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76" t="str">
        <f>Assumptions!W14</f>
        <v>Pass-through</v>
      </c>
      <c r="B38" s="43" t="s">
        <v>245</v>
      </c>
      <c r="C38" s="12"/>
      <c r="D38" s="488">
        <f>IF($A$38="Pass-through",D36,D34)</f>
        <v>0</v>
      </c>
      <c r="E38" s="489">
        <f t="shared" ref="E38:AH38" si="6">IF($A$38="Pass-through",E36,E34)</f>
        <v>0</v>
      </c>
      <c r="F38" s="489">
        <f t="shared" si="6"/>
        <v>0</v>
      </c>
      <c r="G38" s="489">
        <f t="shared" si="6"/>
        <v>0</v>
      </c>
      <c r="H38" s="489">
        <f t="shared" si="6"/>
        <v>0</v>
      </c>
      <c r="I38" s="489">
        <f t="shared" si="6"/>
        <v>0</v>
      </c>
      <c r="J38" s="489">
        <f t="shared" si="6"/>
        <v>0</v>
      </c>
      <c r="K38" s="489">
        <f t="shared" si="6"/>
        <v>0</v>
      </c>
      <c r="L38" s="489">
        <f t="shared" si="6"/>
        <v>0</v>
      </c>
      <c r="M38" s="489">
        <f t="shared" si="6"/>
        <v>0</v>
      </c>
      <c r="N38" s="489">
        <f t="shared" si="6"/>
        <v>0</v>
      </c>
      <c r="O38" s="489">
        <f t="shared" si="6"/>
        <v>0</v>
      </c>
      <c r="P38" s="489">
        <f t="shared" si="6"/>
        <v>0</v>
      </c>
      <c r="Q38" s="489">
        <f t="shared" si="6"/>
        <v>0</v>
      </c>
      <c r="R38" s="490">
        <f t="shared" si="6"/>
        <v>0</v>
      </c>
      <c r="S38" s="488">
        <f t="shared" si="6"/>
        <v>0</v>
      </c>
      <c r="T38" s="489">
        <f t="shared" si="6"/>
        <v>0</v>
      </c>
      <c r="U38" s="489">
        <f t="shared" si="6"/>
        <v>0</v>
      </c>
      <c r="V38" s="489">
        <f t="shared" si="6"/>
        <v>0</v>
      </c>
      <c r="W38" s="489">
        <f t="shared" si="6"/>
        <v>0</v>
      </c>
      <c r="X38" s="489">
        <f t="shared" si="6"/>
        <v>0</v>
      </c>
      <c r="Y38" s="489">
        <f t="shared" si="6"/>
        <v>0</v>
      </c>
      <c r="Z38" s="489">
        <f t="shared" si="6"/>
        <v>0</v>
      </c>
      <c r="AA38" s="489">
        <f t="shared" si="6"/>
        <v>0</v>
      </c>
      <c r="AB38" s="489">
        <f t="shared" si="6"/>
        <v>0</v>
      </c>
      <c r="AC38" s="489">
        <f t="shared" si="6"/>
        <v>0</v>
      </c>
      <c r="AD38" s="489">
        <f t="shared" si="6"/>
        <v>0</v>
      </c>
      <c r="AE38" s="489">
        <f t="shared" si="6"/>
        <v>0</v>
      </c>
      <c r="AF38" s="489">
        <f t="shared" si="6"/>
        <v>0</v>
      </c>
      <c r="AG38" s="489">
        <f t="shared" si="6"/>
        <v>0</v>
      </c>
      <c r="AH38" s="490">
        <f t="shared" si="6"/>
        <v>0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469" t="s">
        <v>404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 t="s">
        <v>405</v>
      </c>
      <c r="C42" s="12"/>
      <c r="D42" s="65">
        <f>Assumptions!$H$14</f>
        <v>0</v>
      </c>
      <c r="E42" s="65">
        <f>Assumptions!$H$14</f>
        <v>0</v>
      </c>
      <c r="F42" s="65">
        <f>Assumptions!$H$14</f>
        <v>0</v>
      </c>
      <c r="G42" s="65">
        <f>Assumptions!$H$14</f>
        <v>0</v>
      </c>
      <c r="H42" s="65">
        <f>Assumptions!$H$14</f>
        <v>0</v>
      </c>
      <c r="I42" s="65">
        <f>Assumptions!$H$14</f>
        <v>0</v>
      </c>
      <c r="J42" s="65">
        <f>Assumptions!$H$14</f>
        <v>0</v>
      </c>
      <c r="K42" s="65">
        <f>Assumptions!$H$14</f>
        <v>0</v>
      </c>
      <c r="L42" s="65">
        <f>Assumptions!$H$14</f>
        <v>0</v>
      </c>
      <c r="M42" s="65">
        <f>Assumptions!$H$14</f>
        <v>0</v>
      </c>
      <c r="N42" s="65">
        <f>Assumptions!$H$14</f>
        <v>0</v>
      </c>
      <c r="O42" s="65">
        <f>Assumptions!$H$14</f>
        <v>0</v>
      </c>
      <c r="P42" s="65">
        <f>Assumptions!$H$14</f>
        <v>0</v>
      </c>
      <c r="Q42" s="65">
        <f>Assumptions!$H$14</f>
        <v>0</v>
      </c>
      <c r="R42" s="65">
        <f>Assumptions!$H$14</f>
        <v>0</v>
      </c>
      <c r="S42" s="65">
        <f>Assumptions!$H$14</f>
        <v>0</v>
      </c>
      <c r="T42" s="65">
        <f>Assumptions!$H$14</f>
        <v>0</v>
      </c>
      <c r="U42" s="65">
        <f>Assumptions!$H$14</f>
        <v>0</v>
      </c>
      <c r="V42" s="65">
        <f>Assumptions!$H$14</f>
        <v>0</v>
      </c>
      <c r="W42" s="65">
        <f>Assumptions!$H$14</f>
        <v>0</v>
      </c>
      <c r="X42" s="65">
        <f>Assumptions!$H$14</f>
        <v>0</v>
      </c>
      <c r="Y42" s="65">
        <f>Assumptions!$H$14</f>
        <v>0</v>
      </c>
      <c r="Z42" s="65">
        <f>Assumptions!$H$14</f>
        <v>0</v>
      </c>
      <c r="AA42" s="65">
        <f>Assumptions!$H$14</f>
        <v>0</v>
      </c>
      <c r="AB42" s="65">
        <f>Assumptions!$H$14</f>
        <v>0</v>
      </c>
      <c r="AC42" s="65">
        <f>Assumptions!$H$14</f>
        <v>0</v>
      </c>
      <c r="AD42" s="65">
        <f>Assumptions!$H$14</f>
        <v>0</v>
      </c>
      <c r="AE42" s="65">
        <f>Assumptions!$H$14</f>
        <v>0</v>
      </c>
      <c r="AF42" s="65">
        <f>Assumptions!$H$14</f>
        <v>0</v>
      </c>
      <c r="AG42" s="65">
        <f>Assumptions!$H$14</f>
        <v>0</v>
      </c>
      <c r="AH42" s="65">
        <f>Assumptions!$H$14</f>
        <v>0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12" t="s">
        <v>407</v>
      </c>
      <c r="C43" s="12"/>
      <c r="D43" s="496">
        <v>0.02</v>
      </c>
      <c r="E43" s="496">
        <v>0.02</v>
      </c>
      <c r="F43" s="496">
        <v>0.02</v>
      </c>
      <c r="G43" s="496">
        <v>0.02</v>
      </c>
      <c r="H43" s="496">
        <v>0.02</v>
      </c>
      <c r="I43" s="496">
        <v>0.02</v>
      </c>
      <c r="J43" s="496">
        <v>0.02</v>
      </c>
      <c r="K43" s="496">
        <v>0.02</v>
      </c>
      <c r="L43" s="496">
        <v>0.02</v>
      </c>
      <c r="M43" s="496">
        <v>0.02</v>
      </c>
      <c r="N43" s="496">
        <v>0.02</v>
      </c>
      <c r="O43" s="496">
        <v>0.02</v>
      </c>
      <c r="P43" s="496">
        <v>0.02</v>
      </c>
      <c r="Q43" s="496">
        <v>0.02</v>
      </c>
      <c r="R43" s="496">
        <v>0.02</v>
      </c>
      <c r="S43" s="496">
        <v>0.02</v>
      </c>
      <c r="T43" s="496">
        <v>0.02</v>
      </c>
      <c r="U43" s="496">
        <v>0.02</v>
      </c>
      <c r="V43" s="496">
        <v>0.02</v>
      </c>
      <c r="W43" s="496">
        <v>0.02</v>
      </c>
      <c r="X43" s="496">
        <v>0.02</v>
      </c>
      <c r="Y43" s="496">
        <v>0.02</v>
      </c>
      <c r="Z43" s="496">
        <v>0.02</v>
      </c>
      <c r="AA43" s="496">
        <v>0.02</v>
      </c>
      <c r="AB43" s="496">
        <v>0.02</v>
      </c>
      <c r="AC43" s="496">
        <v>0.02</v>
      </c>
      <c r="AD43" s="496">
        <v>0.02</v>
      </c>
      <c r="AE43" s="496">
        <v>0.02</v>
      </c>
      <c r="AF43" s="496">
        <v>0.02</v>
      </c>
      <c r="AG43" s="496">
        <v>0.02</v>
      </c>
      <c r="AH43" s="496">
        <v>0.02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406</v>
      </c>
      <c r="C44" s="12"/>
      <c r="D44" s="493">
        <f>D42*(1+D43)</f>
        <v>0</v>
      </c>
      <c r="E44" s="494">
        <f t="shared" ref="E44:AH44" si="7">E42*(1+E43)</f>
        <v>0</v>
      </c>
      <c r="F44" s="494">
        <f t="shared" si="7"/>
        <v>0</v>
      </c>
      <c r="G44" s="494">
        <f t="shared" si="7"/>
        <v>0</v>
      </c>
      <c r="H44" s="494">
        <f t="shared" si="7"/>
        <v>0</v>
      </c>
      <c r="I44" s="494">
        <f t="shared" si="7"/>
        <v>0</v>
      </c>
      <c r="J44" s="494">
        <f t="shared" si="7"/>
        <v>0</v>
      </c>
      <c r="K44" s="494">
        <f t="shared" si="7"/>
        <v>0</v>
      </c>
      <c r="L44" s="494">
        <f t="shared" si="7"/>
        <v>0</v>
      </c>
      <c r="M44" s="494">
        <f t="shared" si="7"/>
        <v>0</v>
      </c>
      <c r="N44" s="494">
        <f t="shared" si="7"/>
        <v>0</v>
      </c>
      <c r="O44" s="494">
        <f t="shared" si="7"/>
        <v>0</v>
      </c>
      <c r="P44" s="494">
        <f t="shared" si="7"/>
        <v>0</v>
      </c>
      <c r="Q44" s="494">
        <f t="shared" si="7"/>
        <v>0</v>
      </c>
      <c r="R44" s="495">
        <f t="shared" si="7"/>
        <v>0</v>
      </c>
      <c r="S44" s="493">
        <f t="shared" si="7"/>
        <v>0</v>
      </c>
      <c r="T44" s="494">
        <f t="shared" si="7"/>
        <v>0</v>
      </c>
      <c r="U44" s="494">
        <f t="shared" si="7"/>
        <v>0</v>
      </c>
      <c r="V44" s="494">
        <f t="shared" si="7"/>
        <v>0</v>
      </c>
      <c r="W44" s="494">
        <f t="shared" si="7"/>
        <v>0</v>
      </c>
      <c r="X44" s="494">
        <f t="shared" si="7"/>
        <v>0</v>
      </c>
      <c r="Y44" s="494">
        <f t="shared" si="7"/>
        <v>0</v>
      </c>
      <c r="Z44" s="494">
        <f t="shared" si="7"/>
        <v>0</v>
      </c>
      <c r="AA44" s="494">
        <f t="shared" si="7"/>
        <v>0</v>
      </c>
      <c r="AB44" s="494">
        <f t="shared" si="7"/>
        <v>0</v>
      </c>
      <c r="AC44" s="494">
        <f t="shared" si="7"/>
        <v>0</v>
      </c>
      <c r="AD44" s="494">
        <f t="shared" si="7"/>
        <v>0</v>
      </c>
      <c r="AE44" s="494">
        <f t="shared" si="7"/>
        <v>0</v>
      </c>
      <c r="AF44" s="494">
        <f t="shared" si="7"/>
        <v>0</v>
      </c>
      <c r="AG44" s="494">
        <f t="shared" si="7"/>
        <v>0</v>
      </c>
      <c r="AH44" s="495">
        <f t="shared" si="7"/>
        <v>0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2:AU64"/>
  <sheetViews>
    <sheetView zoomScale="75" zoomScaleNormal="75" workbookViewId="0">
      <selection activeCell="B20" sqref="B20"/>
    </sheetView>
  </sheetViews>
  <sheetFormatPr defaultRowHeight="12.75"/>
  <cols>
    <col min="1" max="1" width="34.42578125" style="12" customWidth="1"/>
    <col min="2" max="2" width="11.28515625" style="12" bestFit="1" customWidth="1"/>
    <col min="3" max="23" width="12.5703125" style="12" customWidth="1"/>
    <col min="24" max="24" width="13.28515625" style="12" bestFit="1" customWidth="1"/>
    <col min="25" max="26" width="13.28515625" style="6" customWidth="1"/>
    <col min="27" max="33" width="13.28515625" style="12" customWidth="1"/>
    <col min="34" max="16384" width="9.140625" style="12"/>
  </cols>
  <sheetData>
    <row r="2" spans="1:33" ht="18.75">
      <c r="A2" s="87" t="str">
        <f>Assumptions!A3</f>
        <v>PROJECT NAME:</v>
      </c>
    </row>
    <row r="4" spans="1:33" ht="18.75">
      <c r="A4" s="60" t="s">
        <v>93</v>
      </c>
      <c r="B4" s="5"/>
    </row>
    <row r="6" spans="1:33">
      <c r="C6" s="212">
        <f>'Price_Technical Assumption'!D7</f>
        <v>0.66666666666666663</v>
      </c>
      <c r="D6" s="212">
        <f>'Price_Technical Assumption'!E7</f>
        <v>1.6666666666666665</v>
      </c>
      <c r="E6" s="212">
        <f>'Price_Technical Assumption'!F7</f>
        <v>2.6666666666666665</v>
      </c>
      <c r="F6" s="212">
        <f>'Price_Technical Assumption'!G7</f>
        <v>3.6666666666666665</v>
      </c>
      <c r="G6" s="212">
        <f>'Price_Technical Assumption'!H7</f>
        <v>4.6666666666666661</v>
      </c>
      <c r="H6" s="212">
        <f>'Price_Technical Assumption'!I7</f>
        <v>5.6666666666666661</v>
      </c>
      <c r="I6" s="212">
        <f>'Price_Technical Assumption'!J7</f>
        <v>6.6666666666666661</v>
      </c>
      <c r="J6" s="212">
        <f>'Price_Technical Assumption'!K7</f>
        <v>7.6666666666666661</v>
      </c>
      <c r="K6" s="212">
        <f>'Price_Technical Assumption'!L7</f>
        <v>8.6666666666666661</v>
      </c>
      <c r="L6" s="212">
        <f>'Price_Technical Assumption'!M7</f>
        <v>9.6666666666666661</v>
      </c>
      <c r="M6" s="212">
        <f>'Price_Technical Assumption'!N7</f>
        <v>10.666666666666666</v>
      </c>
      <c r="N6" s="212">
        <f>'Price_Technical Assumption'!O7</f>
        <v>11.666666666666666</v>
      </c>
      <c r="O6" s="212">
        <f>'Price_Technical Assumption'!P7</f>
        <v>12.666666666666666</v>
      </c>
      <c r="P6" s="212">
        <f>'Price_Technical Assumption'!Q7</f>
        <v>13.666666666666666</v>
      </c>
      <c r="Q6" s="212">
        <f>'Price_Technical Assumption'!R7</f>
        <v>14.666666666666666</v>
      </c>
      <c r="R6" s="212">
        <f>'Price_Technical Assumption'!S7</f>
        <v>15.666666666666666</v>
      </c>
      <c r="S6" s="212">
        <f>'Price_Technical Assumption'!T7</f>
        <v>16.666666666666664</v>
      </c>
      <c r="T6" s="212">
        <f>'Price_Technical Assumption'!U7</f>
        <v>17.666666666666664</v>
      </c>
      <c r="U6" s="212">
        <f>'Price_Technical Assumption'!V7</f>
        <v>18.666666666666664</v>
      </c>
      <c r="V6" s="212">
        <f>'Price_Technical Assumption'!W7</f>
        <v>19.666666666666664</v>
      </c>
      <c r="W6" s="212">
        <f>'Price_Technical Assumption'!X7</f>
        <v>20.666666666666664</v>
      </c>
      <c r="X6" s="212">
        <f>'Price_Technical Assumption'!Y7</f>
        <v>21.666666666666664</v>
      </c>
      <c r="Y6" s="212">
        <f>'Price_Technical Assumption'!Z7</f>
        <v>22.666666666666664</v>
      </c>
      <c r="Z6" s="212">
        <f>'Price_Technical Assumption'!AA7</f>
        <v>23.666666666666664</v>
      </c>
      <c r="AA6" s="212">
        <f>'Price_Technical Assumption'!AB7</f>
        <v>24.666666666666664</v>
      </c>
      <c r="AB6" s="212">
        <f>'Price_Technical Assumption'!AC7</f>
        <v>25.666666666666664</v>
      </c>
      <c r="AC6" s="212">
        <f>'Price_Technical Assumption'!AD7</f>
        <v>26.666666666666664</v>
      </c>
      <c r="AD6" s="212">
        <f>'Price_Technical Assumption'!AE7</f>
        <v>27.666666666666664</v>
      </c>
      <c r="AE6" s="212">
        <f>'Price_Technical Assumption'!AF7</f>
        <v>28.666666666666664</v>
      </c>
      <c r="AF6" s="212">
        <f>'Price_Technical Assumption'!AG7</f>
        <v>29.666666666666664</v>
      </c>
      <c r="AG6" s="212">
        <f>'Price_Technical Assumption'!AH7</f>
        <v>30.666666666666664</v>
      </c>
    </row>
    <row r="7" spans="1:33" s="6" customFormat="1" ht="13.5" thickBot="1">
      <c r="A7" s="123" t="s">
        <v>40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3">
      <c r="A8" s="2"/>
      <c r="C8" s="348">
        <v>37256</v>
      </c>
      <c r="D8" s="348">
        <v>37621</v>
      </c>
      <c r="E8" s="348">
        <v>37986</v>
      </c>
      <c r="F8" s="348">
        <v>38352</v>
      </c>
      <c r="G8" s="348">
        <v>38717</v>
      </c>
      <c r="H8" s="348">
        <v>39082</v>
      </c>
      <c r="I8" s="348">
        <v>39447</v>
      </c>
      <c r="J8" s="348">
        <v>39813</v>
      </c>
      <c r="K8" s="348">
        <v>40178</v>
      </c>
      <c r="L8" s="348">
        <v>40543</v>
      </c>
      <c r="M8" s="348">
        <v>40908</v>
      </c>
      <c r="N8" s="348">
        <v>41274</v>
      </c>
      <c r="O8" s="348">
        <v>41639</v>
      </c>
      <c r="P8" s="348">
        <v>42004</v>
      </c>
      <c r="Q8" s="348">
        <v>42369</v>
      </c>
      <c r="R8" s="348">
        <v>42735</v>
      </c>
      <c r="S8" s="348">
        <v>43100</v>
      </c>
      <c r="T8" s="348">
        <v>43465</v>
      </c>
      <c r="U8" s="348">
        <v>43830</v>
      </c>
      <c r="V8" s="348">
        <v>44196</v>
      </c>
      <c r="W8" s="348">
        <v>44561</v>
      </c>
      <c r="X8" s="348">
        <v>44926</v>
      </c>
      <c r="Y8" s="348">
        <v>45291</v>
      </c>
      <c r="Z8" s="348">
        <v>45657</v>
      </c>
      <c r="AA8" s="348">
        <v>46022</v>
      </c>
      <c r="AB8" s="348">
        <v>46387</v>
      </c>
      <c r="AC8" s="348">
        <v>46752</v>
      </c>
      <c r="AD8" s="348">
        <v>47118</v>
      </c>
      <c r="AE8" s="348">
        <v>47483</v>
      </c>
      <c r="AF8" s="348">
        <v>47848</v>
      </c>
      <c r="AG8" s="348">
        <v>48213</v>
      </c>
    </row>
    <row r="9" spans="1:33">
      <c r="A9" s="1" t="s">
        <v>41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33">
      <c r="A10" s="3" t="s">
        <v>121</v>
      </c>
      <c r="C10" s="74">
        <f>IF(C6&lt;Assumptions!$H$19,C6*12*'Price_Technical Assumption'!D21*Assumptions!$H$68,IF(AND(B6&lt;Assumptions!$H$19,C6&gt;Assumptions!$H$19),(1-$C$6)*12*'Price_Technical Assumption'!D21*Assumptions!$H$68,0))</f>
        <v>0</v>
      </c>
      <c r="D10" s="74">
        <f>IF(D6&lt;Assumptions!$H$19,12*'Price_Technical Assumption'!E21*Assumptions!$H$68,IF(AND(C6&lt;Assumptions!$H$19,D6&gt;Assumptions!$H$19),(1-$C$6)*12*'Price_Technical Assumption'!E21*Assumptions!$H$68,0))</f>
        <v>0</v>
      </c>
      <c r="E10" s="74">
        <f>IF(E6&lt;Assumptions!$H$19,12*'Price_Technical Assumption'!F21*Assumptions!$H$68,IF(AND(D6&lt;Assumptions!$H$19,E6&gt;Assumptions!$H$19),(1-$C$6)*12*'Price_Technical Assumption'!F21*Assumptions!$H$68,0))</f>
        <v>0</v>
      </c>
      <c r="F10" s="74">
        <f>IF(F6&lt;Assumptions!$H$19,12*'Price_Technical Assumption'!G21*Assumptions!$H$68,IF(AND(E6&lt;Assumptions!$H$19,F6&gt;Assumptions!$H$19),(1-$C$6)*12*'Price_Technical Assumption'!G21*Assumptions!$H$68,0))</f>
        <v>0</v>
      </c>
      <c r="G10" s="74">
        <f>IF(G6&lt;Assumptions!$H$19,12*'Price_Technical Assumption'!H21*Assumptions!$H$68,IF(AND(F6&lt;Assumptions!$H$19,G6&gt;Assumptions!$H$19),(1-$C$6)*12*'Price_Technical Assumption'!H21*Assumptions!$H$68,0))</f>
        <v>0</v>
      </c>
      <c r="H10" s="74">
        <f>IF(H6&lt;Assumptions!$H$19,12*'Price_Technical Assumption'!I21*Assumptions!$H$68,IF(AND(G6&lt;Assumptions!$H$19,H6&gt;Assumptions!$H$19),(1-$C$6)*12*'Price_Technical Assumption'!I21*Assumptions!$H$68,0))</f>
        <v>0</v>
      </c>
      <c r="I10" s="74">
        <f>IF(I6&lt;Assumptions!$H$19,12*'Price_Technical Assumption'!J21*Assumptions!$H$68,IF(AND(H6&lt;Assumptions!$H$19,I6&gt;Assumptions!$H$19),(1-$C$6)*12*'Price_Technical Assumption'!J21*Assumptions!$H$68,0))</f>
        <v>0</v>
      </c>
      <c r="J10" s="74">
        <f>IF(J6&lt;Assumptions!$H$19,12*'Price_Technical Assumption'!K21*Assumptions!$H$68,IF(AND(I6&lt;Assumptions!$H$19,J6&gt;Assumptions!$H$19),(1-$C$6)*12*'Price_Technical Assumption'!K21*Assumptions!$H$68,0))</f>
        <v>0</v>
      </c>
      <c r="K10" s="74">
        <f>IF(K6&lt;Assumptions!$H$19,12*'Price_Technical Assumption'!L21*Assumptions!$H$68,IF(AND(J6&lt;Assumptions!$H$19,K6&gt;Assumptions!$H$19),(1-$C$6)*12*'Price_Technical Assumption'!L21*Assumptions!$H$68,0))</f>
        <v>0</v>
      </c>
      <c r="L10" s="74">
        <f>IF(L6&lt;Assumptions!$H$19,12*'Price_Technical Assumption'!M21*Assumptions!$H$68,IF(AND(K6&lt;Assumptions!$H$19,L6&gt;Assumptions!$H$19),(1-$C$6)*12*'Price_Technical Assumption'!M21*Assumptions!$H$68,0))</f>
        <v>0</v>
      </c>
      <c r="M10" s="74">
        <f>IF(M6&lt;Assumptions!$H$19,12*'Price_Technical Assumption'!N21*Assumptions!$H$68,IF(AND(L6&lt;Assumptions!$H$19,M6&gt;Assumptions!$H$19),(1-$C$6)*12*'Price_Technical Assumption'!N21*Assumptions!$H$68,0))</f>
        <v>0</v>
      </c>
      <c r="N10" s="74">
        <f>IF(N6&lt;Assumptions!$H$19,12*'Price_Technical Assumption'!O21*Assumptions!$H$68,IF(AND(M6&lt;Assumptions!$H$19,N6&gt;Assumptions!$H$19),(1-$C$6)*12*'Price_Technical Assumption'!O21*Assumptions!$H$68,0))</f>
        <v>0</v>
      </c>
      <c r="O10" s="74">
        <f>IF(O6&lt;Assumptions!$H$19,12*'Price_Technical Assumption'!P21*Assumptions!$H$68,IF(AND(N6&lt;Assumptions!$H$19,O6&gt;Assumptions!$H$19),(1-$C$6)*12*'Price_Technical Assumption'!P21*Assumptions!$H$68,0))</f>
        <v>0</v>
      </c>
      <c r="P10" s="74">
        <f>IF(P6&lt;Assumptions!$H$19,12*'Price_Technical Assumption'!Q21*Assumptions!$H$68,IF(AND(O6&lt;Assumptions!$H$19,P6&gt;Assumptions!$H$19),(1-$C$6)*12*'Price_Technical Assumption'!Q21*Assumptions!$H$68,0))</f>
        <v>0</v>
      </c>
      <c r="Q10" s="74">
        <f>IF(Q6&lt;Assumptions!$H$19,12*'Price_Technical Assumption'!R21*Assumptions!$H$68,IF(AND(P6&lt;Assumptions!$H$19,Q6&gt;Assumptions!$H$19),(1-$C$6)*12*'Price_Technical Assumption'!R21*Assumptions!$H$68,0))</f>
        <v>0</v>
      </c>
      <c r="R10" s="74">
        <f>IF(R6&lt;Assumptions!$H$19,12*'Price_Technical Assumption'!S21*Assumptions!$H$68,IF(AND(Q6&lt;Assumptions!$H$19,R6&gt;Assumptions!$H$19),(1-$C$6)*12*'Price_Technical Assumption'!S21*Assumptions!$H$68,0))</f>
        <v>0</v>
      </c>
      <c r="S10" s="74">
        <f>IF(S6&lt;Assumptions!$H$19,12*'Price_Technical Assumption'!T21*Assumptions!$H$68,IF(AND(R6&lt;Assumptions!$H$19,S6&gt;Assumptions!$H$19),(1-$C$6)*12*'Price_Technical Assumption'!T21*Assumptions!$H$68,0))</f>
        <v>0</v>
      </c>
      <c r="T10" s="74">
        <f>IF(T6&lt;Assumptions!$H$19,12*'Price_Technical Assumption'!U21*Assumptions!$H$68,IF(AND(S6&lt;Assumptions!$H$19,T6&gt;Assumptions!$H$19),(1-$C$6)*12*'Price_Technical Assumption'!U21*Assumptions!$H$68,0))</f>
        <v>0</v>
      </c>
      <c r="U10" s="74">
        <f>IF(U6&lt;Assumptions!$H$19,12*'Price_Technical Assumption'!V21*Assumptions!$H$68,IF(AND(T6&lt;Assumptions!$H$19,U6&gt;Assumptions!$H$19),(1-$C$6)*12*'Price_Technical Assumption'!V21*Assumptions!$H$68,0))</f>
        <v>0</v>
      </c>
      <c r="V10" s="74">
        <f>IF(V6&lt;Assumptions!$H$19,12*'Price_Technical Assumption'!W21*Assumptions!$H$68,IF(AND(U6&lt;Assumptions!$H$19,V6&gt;Assumptions!$H$19),(1-$C$6)*12*'Price_Technical Assumption'!W21*Assumptions!$H$68,0))</f>
        <v>0</v>
      </c>
      <c r="W10" s="74">
        <f>IF(W6&lt;Assumptions!$H$19,12*'Price_Technical Assumption'!X21*Assumptions!$H$68,IF(AND(V6&lt;Assumptions!$H$19,W6&gt;Assumptions!$H$19),(1-$C$6)*12*'Price_Technical Assumption'!X21*Assumptions!$H$68,0))</f>
        <v>0</v>
      </c>
      <c r="X10" s="74">
        <f>IF(X6&lt;Assumptions!$H$19,12*'Price_Technical Assumption'!Y21*Assumptions!$H$68,IF(AND(W6&lt;Assumptions!$H$19,X6&gt;Assumptions!$H$19),(1-$C$6)*12*'Price_Technical Assumption'!Y21*Assumptions!$H$68,0))</f>
        <v>0</v>
      </c>
      <c r="Y10" s="74">
        <f>IF(Y6&lt;Assumptions!$H$19,12*'Price_Technical Assumption'!Z21*Assumptions!$H$68,IF(AND(X6&lt;Assumptions!$H$19,Y6&gt;Assumptions!$H$19),(1-$C$6)*12*'Price_Technical Assumption'!Z21*Assumptions!$H$68,0))</f>
        <v>0</v>
      </c>
      <c r="Z10" s="74">
        <f>IF(Z6&lt;Assumptions!$H$19,12*'Price_Technical Assumption'!AA21*Assumptions!$H$68,IF(AND(Y6&lt;Assumptions!$H$19,Z6&gt;Assumptions!$H$19),(1-$C$6)*12*'Price_Technical Assumption'!AA21*Assumptions!$H$68,0))</f>
        <v>0</v>
      </c>
      <c r="AA10" s="74">
        <f>IF(AA6&lt;Assumptions!$H$19,12*'Price_Technical Assumption'!AB21*Assumptions!$H$68,IF(AND(Z6&lt;Assumptions!$H$19,AA6&gt;Assumptions!$H$19),(1-$C$6)*12*'Price_Technical Assumption'!AB21*Assumptions!$H$68,0))</f>
        <v>0</v>
      </c>
      <c r="AB10" s="74">
        <f>IF(AB6&lt;Assumptions!$H$19,12*'Price_Technical Assumption'!AC21*Assumptions!$H$68,IF(AND(AA6&lt;Assumptions!$H$19,AB6&gt;Assumptions!$H$19),(1-$C$6)*12*'Price_Technical Assumption'!AC21*Assumptions!$H$68,0))</f>
        <v>0</v>
      </c>
      <c r="AC10" s="74">
        <f>IF(AC6&lt;Assumptions!$H$19,12*'Price_Technical Assumption'!AD21*Assumptions!$H$68,IF(AND(AB6&lt;Assumptions!$H$19,AC6&gt;Assumptions!$H$19),(1-$C$6)*12*'Price_Technical Assumption'!AD21*Assumptions!$H$68,0))</f>
        <v>0</v>
      </c>
      <c r="AD10" s="74">
        <f>IF(AD6&lt;Assumptions!$H$19,12*'Price_Technical Assumption'!AE21*Assumptions!$H$68,IF(AND(AC6&lt;Assumptions!$H$19,AD6&gt;Assumptions!$H$19),(1-$C$6)*12*'Price_Technical Assumption'!AE21*Assumptions!$H$68,0))</f>
        <v>0</v>
      </c>
      <c r="AE10" s="74">
        <f>IF(AE6&lt;Assumptions!$H$19,12*'Price_Technical Assumption'!AF21*Assumptions!$H$68,IF(AND(AD6&lt;Assumptions!$H$19,AE6&gt;Assumptions!$H$19),(1-$C$6)*12*'Price_Technical Assumption'!AF21*Assumptions!$H$68,0))</f>
        <v>0</v>
      </c>
      <c r="AF10" s="74">
        <f>IF(AF6&lt;Assumptions!$H$19,12*'Price_Technical Assumption'!AG21*Assumptions!$H$68,IF(AND(AE6&lt;Assumptions!$H$19,AF6&gt;Assumptions!$H$19),(1-$C$6)*12*'Price_Technical Assumption'!AG21*Assumptions!$H$68,0))</f>
        <v>0</v>
      </c>
      <c r="AG10" s="74">
        <f>IF(AG6&lt;Assumptions!$H$19,12*'Price_Technical Assumption'!AH21*Assumptions!$H$68,IF(AND(AF6&lt;Assumptions!$H$19,AG6&gt;Assumptions!$H$19),(1-$C$6)*12*'Price_Technical Assumption'!AH21*Assumptions!$H$68,0))</f>
        <v>0</v>
      </c>
    </row>
    <row r="11" spans="1:33">
      <c r="A11" s="3" t="s">
        <v>122</v>
      </c>
      <c r="C11" s="74">
        <f>'Price_Technical Assumption'!D38*Assumptions!$H$62/1000</f>
        <v>0</v>
      </c>
      <c r="D11" s="74">
        <f>'Price_Technical Assumption'!E38*Assumptions!$H$62/1000</f>
        <v>0</v>
      </c>
      <c r="E11" s="74">
        <f>'Price_Technical Assumption'!F38*Assumptions!$H$62/1000</f>
        <v>0</v>
      </c>
      <c r="F11" s="74">
        <f>'Price_Technical Assumption'!G38*Assumptions!$H$62/1000</f>
        <v>0</v>
      </c>
      <c r="G11" s="74">
        <f>'Price_Technical Assumption'!H38*Assumptions!$H$62/1000</f>
        <v>0</v>
      </c>
      <c r="H11" s="74">
        <f>'Price_Technical Assumption'!I38*Assumptions!$H$62/1000</f>
        <v>0</v>
      </c>
      <c r="I11" s="74">
        <f>'Price_Technical Assumption'!J38*Assumptions!$H$62/1000</f>
        <v>0</v>
      </c>
      <c r="J11" s="74">
        <f>'Price_Technical Assumption'!K38*Assumptions!$H$62/1000</f>
        <v>0</v>
      </c>
      <c r="K11" s="74">
        <f>'Price_Technical Assumption'!L38*Assumptions!$H$62/1000</f>
        <v>0</v>
      </c>
      <c r="L11" s="74">
        <f>'Price_Technical Assumption'!M38*Assumptions!$H$62/1000</f>
        <v>0</v>
      </c>
      <c r="M11" s="74">
        <f>'Price_Technical Assumption'!N38*Assumptions!$H$62/1000</f>
        <v>0</v>
      </c>
      <c r="N11" s="74">
        <f>'Price_Technical Assumption'!O38*Assumptions!$H$62/1000</f>
        <v>0</v>
      </c>
      <c r="O11" s="74">
        <f>'Price_Technical Assumption'!P38*Assumptions!$H$62/1000</f>
        <v>0</v>
      </c>
      <c r="P11" s="74">
        <f>'Price_Technical Assumption'!Q38*Assumptions!$H$62/1000</f>
        <v>0</v>
      </c>
      <c r="Q11" s="74">
        <f>'Price_Technical Assumption'!R38*Assumptions!$H$62/1000</f>
        <v>0</v>
      </c>
      <c r="R11" s="74">
        <f>'Price_Technical Assumption'!S38*Assumptions!$H$62/1000</f>
        <v>0</v>
      </c>
      <c r="S11" s="74">
        <f>'Price_Technical Assumption'!T38*Assumptions!$H$62/1000</f>
        <v>0</v>
      </c>
      <c r="T11" s="74">
        <f>'Price_Technical Assumption'!U38*Assumptions!$H$62/1000</f>
        <v>0</v>
      </c>
      <c r="U11" s="74">
        <f>'Price_Technical Assumption'!V38*Assumptions!$H$62/1000</f>
        <v>0</v>
      </c>
      <c r="V11" s="74">
        <f>'Price_Technical Assumption'!W38*Assumptions!$H$62/1000</f>
        <v>0</v>
      </c>
      <c r="W11" s="74">
        <f>'Price_Technical Assumption'!X38*Assumptions!$H$62/1000</f>
        <v>0</v>
      </c>
      <c r="X11" s="74">
        <f>'Price_Technical Assumption'!Y38*Assumptions!$H$62/1000</f>
        <v>0</v>
      </c>
      <c r="Y11" s="74">
        <f>'Price_Technical Assumption'!Z38*Assumptions!$H$62/1000</f>
        <v>0</v>
      </c>
      <c r="Z11" s="74">
        <f>'Price_Technical Assumption'!AA38*Assumptions!$H$62/1000</f>
        <v>0</v>
      </c>
      <c r="AA11" s="74">
        <f>'Price_Technical Assumption'!AB38*Assumptions!$H$62/1000</f>
        <v>0</v>
      </c>
      <c r="AB11" s="74">
        <f>'Price_Technical Assumption'!AC38*Assumptions!$H$62/1000</f>
        <v>0</v>
      </c>
      <c r="AC11" s="74">
        <f>'Price_Technical Assumption'!AD38*Assumptions!$H$62/1000</f>
        <v>0</v>
      </c>
      <c r="AD11" s="74">
        <f>'Price_Technical Assumption'!AE38*Assumptions!$H$62/1000</f>
        <v>0</v>
      </c>
      <c r="AE11" s="74">
        <f>'Price_Technical Assumption'!AF38*Assumptions!$H$62/1000</f>
        <v>0</v>
      </c>
      <c r="AF11" s="74">
        <f>'Price_Technical Assumption'!AG38*Assumptions!$H$62/1000</f>
        <v>0</v>
      </c>
      <c r="AG11" s="74">
        <f>'Price_Technical Assumption'!AH38*Assumptions!$H$62/1000</f>
        <v>0</v>
      </c>
    </row>
    <row r="12" spans="1:33">
      <c r="A12" s="208" t="s">
        <v>123</v>
      </c>
      <c r="C12" s="349">
        <v>0</v>
      </c>
      <c r="D12" s="349">
        <v>0</v>
      </c>
      <c r="E12" s="349">
        <v>0</v>
      </c>
      <c r="F12" s="349">
        <v>0</v>
      </c>
      <c r="G12" s="349">
        <v>0</v>
      </c>
      <c r="H12" s="349">
        <v>0</v>
      </c>
      <c r="I12" s="349">
        <v>0</v>
      </c>
      <c r="J12" s="349">
        <v>0</v>
      </c>
      <c r="K12" s="349">
        <v>0</v>
      </c>
      <c r="L12" s="349">
        <v>0</v>
      </c>
      <c r="M12" s="349">
        <v>0</v>
      </c>
      <c r="N12" s="349">
        <v>0</v>
      </c>
      <c r="O12" s="349">
        <v>0</v>
      </c>
      <c r="P12" s="349">
        <v>0</v>
      </c>
      <c r="Q12" s="349">
        <v>0</v>
      </c>
      <c r="R12" s="349">
        <v>0</v>
      </c>
      <c r="S12" s="349">
        <v>0</v>
      </c>
      <c r="T12" s="349">
        <v>0</v>
      </c>
      <c r="U12" s="349">
        <v>0</v>
      </c>
      <c r="V12" s="349">
        <v>0</v>
      </c>
      <c r="W12" s="349">
        <v>0</v>
      </c>
      <c r="X12" s="349">
        <v>0</v>
      </c>
      <c r="Y12" s="349">
        <v>0</v>
      </c>
      <c r="Z12" s="349">
        <v>0</v>
      </c>
      <c r="AA12" s="349">
        <v>0</v>
      </c>
      <c r="AB12" s="349">
        <v>0</v>
      </c>
      <c r="AC12" s="349">
        <v>0</v>
      </c>
      <c r="AD12" s="349">
        <v>0</v>
      </c>
      <c r="AE12" s="349">
        <v>0</v>
      </c>
      <c r="AF12" s="349">
        <v>0</v>
      </c>
      <c r="AG12" s="349">
        <v>0</v>
      </c>
    </row>
    <row r="13" spans="1:33">
      <c r="A13" s="173" t="s">
        <v>42</v>
      </c>
      <c r="C13" s="65">
        <f t="shared" ref="C13:AG13" si="0">SUM(C10:C12)</f>
        <v>0</v>
      </c>
      <c r="D13" s="65">
        <f t="shared" si="0"/>
        <v>0</v>
      </c>
      <c r="E13" s="65">
        <f t="shared" si="0"/>
        <v>0</v>
      </c>
      <c r="F13" s="65">
        <f t="shared" si="0"/>
        <v>0</v>
      </c>
      <c r="G13" s="65">
        <f t="shared" si="0"/>
        <v>0</v>
      </c>
      <c r="H13" s="65">
        <f t="shared" si="0"/>
        <v>0</v>
      </c>
      <c r="I13" s="65">
        <f t="shared" si="0"/>
        <v>0</v>
      </c>
      <c r="J13" s="65">
        <f t="shared" si="0"/>
        <v>0</v>
      </c>
      <c r="K13" s="65">
        <f t="shared" si="0"/>
        <v>0</v>
      </c>
      <c r="L13" s="65">
        <f t="shared" si="0"/>
        <v>0</v>
      </c>
      <c r="M13" s="65">
        <f t="shared" si="0"/>
        <v>0</v>
      </c>
      <c r="N13" s="65">
        <f t="shared" si="0"/>
        <v>0</v>
      </c>
      <c r="O13" s="65">
        <f t="shared" si="0"/>
        <v>0</v>
      </c>
      <c r="P13" s="65">
        <f t="shared" si="0"/>
        <v>0</v>
      </c>
      <c r="Q13" s="65">
        <f t="shared" si="0"/>
        <v>0</v>
      </c>
      <c r="R13" s="65">
        <f t="shared" si="0"/>
        <v>0</v>
      </c>
      <c r="S13" s="65">
        <f t="shared" si="0"/>
        <v>0</v>
      </c>
      <c r="T13" s="65">
        <f t="shared" si="0"/>
        <v>0</v>
      </c>
      <c r="U13" s="65">
        <f t="shared" si="0"/>
        <v>0</v>
      </c>
      <c r="V13" s="65">
        <f t="shared" si="0"/>
        <v>0</v>
      </c>
      <c r="W13" s="65">
        <f t="shared" si="0"/>
        <v>0</v>
      </c>
      <c r="X13" s="65">
        <f t="shared" si="0"/>
        <v>0</v>
      </c>
      <c r="Y13" s="65">
        <f t="shared" si="0"/>
        <v>0</v>
      </c>
      <c r="Z13" s="65">
        <f t="shared" si="0"/>
        <v>0</v>
      </c>
      <c r="AA13" s="65">
        <f t="shared" si="0"/>
        <v>0</v>
      </c>
      <c r="AB13" s="65">
        <f t="shared" si="0"/>
        <v>0</v>
      </c>
      <c r="AC13" s="65">
        <f t="shared" si="0"/>
        <v>0</v>
      </c>
      <c r="AD13" s="65">
        <f t="shared" si="0"/>
        <v>0</v>
      </c>
      <c r="AE13" s="65">
        <f t="shared" si="0"/>
        <v>0</v>
      </c>
      <c r="AF13" s="65">
        <f t="shared" si="0"/>
        <v>0</v>
      </c>
      <c r="AG13" s="65">
        <f t="shared" si="0"/>
        <v>0</v>
      </c>
    </row>
    <row r="14" spans="1:33">
      <c r="A14" s="6"/>
      <c r="Y14" s="12"/>
      <c r="Z14" s="12"/>
    </row>
    <row r="15" spans="1:33">
      <c r="A15" s="1" t="s">
        <v>43</v>
      </c>
      <c r="Y15" s="12"/>
      <c r="Z15" s="12"/>
    </row>
    <row r="16" spans="1:33">
      <c r="A16" s="3" t="s">
        <v>44</v>
      </c>
      <c r="C16" s="218">
        <f>Assumptions!$H$62*'Price_Technical Assumption'!D30*'Price_Technical Assumption'!D44/1000000</f>
        <v>0</v>
      </c>
      <c r="D16" s="218">
        <f>Assumptions!$H$62*'Price_Technical Assumption'!E30*'Price_Technical Assumption'!E44/1000000</f>
        <v>0</v>
      </c>
      <c r="E16" s="218">
        <f>Assumptions!$H$62*'Price_Technical Assumption'!F30*'Price_Technical Assumption'!F44/1000000</f>
        <v>0</v>
      </c>
      <c r="F16" s="218">
        <f>Assumptions!$H$62*'Price_Technical Assumption'!G30*'Price_Technical Assumption'!G44/1000000</f>
        <v>0</v>
      </c>
      <c r="G16" s="218">
        <f>Assumptions!$H$62*'Price_Technical Assumption'!H30*'Price_Technical Assumption'!H44/1000000</f>
        <v>0</v>
      </c>
      <c r="H16" s="218">
        <f>Assumptions!$H$62*'Price_Technical Assumption'!I30*'Price_Technical Assumption'!I44/1000000</f>
        <v>0</v>
      </c>
      <c r="I16" s="218">
        <f>Assumptions!$H$62*'Price_Technical Assumption'!J30*'Price_Technical Assumption'!J44/1000000</f>
        <v>0</v>
      </c>
      <c r="J16" s="218">
        <f>Assumptions!$H$62*'Price_Technical Assumption'!K30*'Price_Technical Assumption'!K44/1000000</f>
        <v>0</v>
      </c>
      <c r="K16" s="218">
        <f>Assumptions!$H$62*'Price_Technical Assumption'!L30*'Price_Technical Assumption'!L44/1000000</f>
        <v>0</v>
      </c>
      <c r="L16" s="218">
        <f>Assumptions!$H$62*'Price_Technical Assumption'!M30*'Price_Technical Assumption'!M44/1000000</f>
        <v>0</v>
      </c>
      <c r="M16" s="218">
        <f>Assumptions!$H$62*'Price_Technical Assumption'!N30*'Price_Technical Assumption'!N44/1000000</f>
        <v>0</v>
      </c>
      <c r="N16" s="218">
        <f>Assumptions!$H$62*'Price_Technical Assumption'!O30*'Price_Technical Assumption'!O44/1000000</f>
        <v>0</v>
      </c>
      <c r="O16" s="218">
        <f>Assumptions!$H$62*'Price_Technical Assumption'!P30*'Price_Technical Assumption'!P44/1000000</f>
        <v>0</v>
      </c>
      <c r="P16" s="218">
        <f>Assumptions!$H$62*'Price_Technical Assumption'!Q30*'Price_Technical Assumption'!Q44/1000000</f>
        <v>0</v>
      </c>
      <c r="Q16" s="218">
        <f>Assumptions!$H$62*'Price_Technical Assumption'!R30*'Price_Technical Assumption'!R44/1000000</f>
        <v>0</v>
      </c>
      <c r="R16" s="218">
        <f>Assumptions!$H$62*'Price_Technical Assumption'!S30*'Price_Technical Assumption'!S44/1000000</f>
        <v>0</v>
      </c>
      <c r="S16" s="218">
        <f>Assumptions!$H$62*'Price_Technical Assumption'!T30*'Price_Technical Assumption'!T44/1000000</f>
        <v>0</v>
      </c>
      <c r="T16" s="218">
        <f>Assumptions!$H$62*'Price_Technical Assumption'!U30*'Price_Technical Assumption'!U44/1000000</f>
        <v>0</v>
      </c>
      <c r="U16" s="218">
        <f>Assumptions!$H$62*'Price_Technical Assumption'!V30*'Price_Technical Assumption'!V44/1000000</f>
        <v>0</v>
      </c>
      <c r="V16" s="218">
        <f>Assumptions!$H$62*'Price_Technical Assumption'!W30*'Price_Technical Assumption'!W44/1000000</f>
        <v>0</v>
      </c>
      <c r="W16" s="218">
        <f>Assumptions!$H$62*'Price_Technical Assumption'!X30*'Price_Technical Assumption'!X44/1000000</f>
        <v>0</v>
      </c>
      <c r="X16" s="218">
        <f>Assumptions!$H$62*'Price_Technical Assumption'!Y30*'Price_Technical Assumption'!Y44/1000000</f>
        <v>0</v>
      </c>
      <c r="Y16" s="218">
        <f>Assumptions!$H$62*'Price_Technical Assumption'!Z30*'Price_Technical Assumption'!Z44/1000000</f>
        <v>0</v>
      </c>
      <c r="Z16" s="218">
        <f>Assumptions!$H$62*'Price_Technical Assumption'!AA30*'Price_Technical Assumption'!AA44/1000000</f>
        <v>0</v>
      </c>
      <c r="AA16" s="218">
        <f>Assumptions!$H$62*'Price_Technical Assumption'!AB30*'Price_Technical Assumption'!AB44/1000000</f>
        <v>0</v>
      </c>
      <c r="AB16" s="218">
        <f>Assumptions!$H$62*'Price_Technical Assumption'!AC30*'Price_Technical Assumption'!AC44/1000000</f>
        <v>0</v>
      </c>
      <c r="AC16" s="218">
        <f>Assumptions!$H$62*'Price_Technical Assumption'!AD30*'Price_Technical Assumption'!AD44/1000000</f>
        <v>0</v>
      </c>
      <c r="AD16" s="218">
        <f>Assumptions!$H$62*'Price_Technical Assumption'!AE30*'Price_Technical Assumption'!AE44/1000000</f>
        <v>0</v>
      </c>
      <c r="AE16" s="218">
        <f>Assumptions!$H$62*'Price_Technical Assumption'!AF30*'Price_Technical Assumption'!AF44/1000000</f>
        <v>0</v>
      </c>
      <c r="AF16" s="218">
        <f>Assumptions!$H$62*'Price_Technical Assumption'!AG30*'Price_Technical Assumption'!AG44/1000000</f>
        <v>0</v>
      </c>
      <c r="AG16" s="218">
        <f>Assumptions!$H$62*'Price_Technical Assumption'!AH30*'Price_Technical Assumption'!AH44/1000000</f>
        <v>0</v>
      </c>
    </row>
    <row r="17" spans="1:47">
      <c r="A17" s="3" t="s">
        <v>203</v>
      </c>
      <c r="C17" s="74">
        <f>Assumptions!$N19*C6</f>
        <v>0</v>
      </c>
      <c r="D17" s="74">
        <f>Assumptions!$N19*(1+Assumptions!$N$11)</f>
        <v>0</v>
      </c>
      <c r="E17" s="74">
        <f>D17*(1+Assumptions!$N$11)</f>
        <v>0</v>
      </c>
      <c r="F17" s="74">
        <f>E17*(1+Assumptions!$N$11)</f>
        <v>0</v>
      </c>
      <c r="G17" s="74">
        <f>F17*(1+Assumptions!$N$11)</f>
        <v>0</v>
      </c>
      <c r="H17" s="74">
        <f>G17*(1+Assumptions!$N$11)</f>
        <v>0</v>
      </c>
      <c r="I17" s="74">
        <f>H17*(1+Assumptions!$N$11)</f>
        <v>0</v>
      </c>
      <c r="J17" s="74">
        <f>I17*(1+Assumptions!$N$11)</f>
        <v>0</v>
      </c>
      <c r="K17" s="74">
        <f>J17*(1+Assumptions!$N$11)</f>
        <v>0</v>
      </c>
      <c r="L17" s="74">
        <f>K17*(1+Assumptions!$N$11)</f>
        <v>0</v>
      </c>
      <c r="M17" s="74">
        <f>L17*(1+Assumptions!$N$11)</f>
        <v>0</v>
      </c>
      <c r="N17" s="74">
        <f>M17*(1+Assumptions!$N$11)</f>
        <v>0</v>
      </c>
      <c r="O17" s="74">
        <f>N17*(1+Assumptions!$N$11)</f>
        <v>0</v>
      </c>
      <c r="P17" s="74">
        <f>O17*(1+Assumptions!$N$11)</f>
        <v>0</v>
      </c>
      <c r="Q17" s="74">
        <f>P17*(1+Assumptions!$N$11)</f>
        <v>0</v>
      </c>
      <c r="R17" s="74">
        <f>Q17*(1+Assumptions!$N$11)</f>
        <v>0</v>
      </c>
      <c r="S17" s="74">
        <f>R17*(1+Assumptions!$N$11)</f>
        <v>0</v>
      </c>
      <c r="T17" s="74">
        <f>S17*(1+Assumptions!$N$11)</f>
        <v>0</v>
      </c>
      <c r="U17" s="74">
        <f>T17*(1+Assumptions!$N$11)</f>
        <v>0</v>
      </c>
      <c r="V17" s="74">
        <f>U17*(1+Assumptions!$N$11)</f>
        <v>0</v>
      </c>
      <c r="W17" s="74">
        <f>V17*(1+Assumptions!$N$11)</f>
        <v>0</v>
      </c>
      <c r="X17" s="74">
        <f>W17*(1+Assumptions!$N$11)</f>
        <v>0</v>
      </c>
      <c r="Y17" s="74">
        <f>X17*(1+Assumptions!$N$11)</f>
        <v>0</v>
      </c>
      <c r="Z17" s="74">
        <f>Y17*(1+Assumptions!$N$11)</f>
        <v>0</v>
      </c>
      <c r="AA17" s="74">
        <f>Z17*(1+Assumptions!$N$11)</f>
        <v>0</v>
      </c>
      <c r="AB17" s="74">
        <f>AA17*(1+Assumptions!$N$11)</f>
        <v>0</v>
      </c>
      <c r="AC17" s="74">
        <f>AB17*(1+Assumptions!$N$11)</f>
        <v>0</v>
      </c>
      <c r="AD17" s="74">
        <f>AC17*(1+Assumptions!$N$11)</f>
        <v>0</v>
      </c>
      <c r="AE17" s="74">
        <f>AD17*(1+Assumptions!$N$11)</f>
        <v>0</v>
      </c>
      <c r="AF17" s="74">
        <f>AE17*(1+Assumptions!$N$11)</f>
        <v>0</v>
      </c>
      <c r="AG17" s="74">
        <f>AF17*(1+Assumptions!$N$11)</f>
        <v>0</v>
      </c>
    </row>
    <row r="18" spans="1:47">
      <c r="A18" s="3" t="s">
        <v>249</v>
      </c>
      <c r="C18" s="218">
        <f>+(Assumptions!$N$15*Assumptions!$H$62)/1000*(1+Assumptions!$N$11)^IS!C6</f>
        <v>0</v>
      </c>
      <c r="D18" s="74">
        <f>C18*(1+Assumptions!$N$11)</f>
        <v>0</v>
      </c>
      <c r="E18" s="74">
        <f>D18*(1+Assumptions!$N$11)</f>
        <v>0</v>
      </c>
      <c r="F18" s="74">
        <f>E18*(1+Assumptions!$N$11)</f>
        <v>0</v>
      </c>
      <c r="G18" s="74">
        <f>F18*(1+Assumptions!$N$11)</f>
        <v>0</v>
      </c>
      <c r="H18" s="74">
        <f>G18*(1+Assumptions!$N$11)</f>
        <v>0</v>
      </c>
      <c r="I18" s="74">
        <f>H18*(1+Assumptions!$N$11)</f>
        <v>0</v>
      </c>
      <c r="J18" s="74">
        <f>I18*(1+Assumptions!$N$11)</f>
        <v>0</v>
      </c>
      <c r="K18" s="74">
        <f>J18*(1+Assumptions!$N$11)</f>
        <v>0</v>
      </c>
      <c r="L18" s="74">
        <f>K18*(1+Assumptions!$N$11)</f>
        <v>0</v>
      </c>
      <c r="M18" s="74">
        <f>L18*(1+Assumptions!$N$11)</f>
        <v>0</v>
      </c>
      <c r="N18" s="74">
        <f>M18*(1+Assumptions!$N$11)</f>
        <v>0</v>
      </c>
      <c r="O18" s="74">
        <f>N18*(1+Assumptions!$N$11)</f>
        <v>0</v>
      </c>
      <c r="P18" s="74">
        <f>O18*(1+Assumptions!$N$11)</f>
        <v>0</v>
      </c>
      <c r="Q18" s="74">
        <f>P18*(1+Assumptions!$N$11)</f>
        <v>0</v>
      </c>
      <c r="R18" s="74">
        <f>Q18*(1+Assumptions!$N$11)</f>
        <v>0</v>
      </c>
      <c r="S18" s="74">
        <f>R18*(1+Assumptions!$N$11)</f>
        <v>0</v>
      </c>
      <c r="T18" s="74">
        <f>S18*(1+Assumptions!$N$11)</f>
        <v>0</v>
      </c>
      <c r="U18" s="74">
        <f>T18*(1+Assumptions!$N$11)</f>
        <v>0</v>
      </c>
      <c r="V18" s="74">
        <f>U18*(1+Assumptions!$N$11)</f>
        <v>0</v>
      </c>
      <c r="W18" s="74">
        <f>V18*(1+Assumptions!$N$11)</f>
        <v>0</v>
      </c>
      <c r="X18" s="74">
        <f>W18*(1+Assumptions!$N$11)</f>
        <v>0</v>
      </c>
      <c r="Y18" s="74">
        <f>X18*(1+Assumptions!$N$11)</f>
        <v>0</v>
      </c>
      <c r="Z18" s="74">
        <f>Y18*(1+Assumptions!$N$11)</f>
        <v>0</v>
      </c>
      <c r="AA18" s="74">
        <f>Z18*(1+Assumptions!$N$11)</f>
        <v>0</v>
      </c>
      <c r="AB18" s="74">
        <f>AA18*(1+Assumptions!$N$11)</f>
        <v>0</v>
      </c>
      <c r="AC18" s="74">
        <f>AB18*(1+Assumptions!$N$11)</f>
        <v>0</v>
      </c>
      <c r="AD18" s="74">
        <f>AC18*(1+Assumptions!$N$11)</f>
        <v>0</v>
      </c>
      <c r="AE18" s="74">
        <f>AD18*(1+Assumptions!$N$11)</f>
        <v>0</v>
      </c>
      <c r="AF18" s="74">
        <f>AE18*(1+Assumptions!$N$11)</f>
        <v>0</v>
      </c>
      <c r="AG18" s="74">
        <f>AF18*(1+Assumptions!$N$11)</f>
        <v>0</v>
      </c>
    </row>
    <row r="19" spans="1:47">
      <c r="A19" s="3" t="s">
        <v>250</v>
      </c>
      <c r="C19" s="74">
        <f>Assumptions!$N$16*Assumptions!$H$62/1000*(1+Assumptions!$N$11)^IS!C6</f>
        <v>0</v>
      </c>
      <c r="D19" s="74">
        <f>C19*(1+Assumptions!$N$11)</f>
        <v>0</v>
      </c>
      <c r="E19" s="74">
        <f>D19*(1+Assumptions!$N$11)</f>
        <v>0</v>
      </c>
      <c r="F19" s="74">
        <f>E19*(1+Assumptions!$N$11)</f>
        <v>0</v>
      </c>
      <c r="G19" s="74">
        <f>F19*(1+Assumptions!$N$11)</f>
        <v>0</v>
      </c>
      <c r="H19" s="74">
        <f>G19*(1+Assumptions!$N$11)</f>
        <v>0</v>
      </c>
      <c r="I19" s="74">
        <f>H19*(1+Assumptions!$N$11)</f>
        <v>0</v>
      </c>
      <c r="J19" s="74">
        <f>I19*(1+Assumptions!$N$11)</f>
        <v>0</v>
      </c>
      <c r="K19" s="74">
        <f>J19*(1+Assumptions!$N$11)</f>
        <v>0</v>
      </c>
      <c r="L19" s="74">
        <f>K19*(1+Assumptions!$N$11)</f>
        <v>0</v>
      </c>
      <c r="M19" s="74">
        <f>L19*(1+Assumptions!$N$11)</f>
        <v>0</v>
      </c>
      <c r="N19" s="74">
        <f>M19*(1+Assumptions!$N$11)</f>
        <v>0</v>
      </c>
      <c r="O19" s="74">
        <f>N19*(1+Assumptions!$N$11)</f>
        <v>0</v>
      </c>
      <c r="P19" s="74">
        <f>O19*(1+Assumptions!$N$11)</f>
        <v>0</v>
      </c>
      <c r="Q19" s="74">
        <f>P19*(1+Assumptions!$N$11)</f>
        <v>0</v>
      </c>
      <c r="R19" s="74">
        <f>Q19*(1+Assumptions!$N$11)</f>
        <v>0</v>
      </c>
      <c r="S19" s="74">
        <f>R19*(1+Assumptions!$N$11)</f>
        <v>0</v>
      </c>
      <c r="T19" s="74">
        <f>S19*(1+Assumptions!$N$11)</f>
        <v>0</v>
      </c>
      <c r="U19" s="74">
        <f>T19*(1+Assumptions!$N$11)</f>
        <v>0</v>
      </c>
      <c r="V19" s="74">
        <f>U19*(1+Assumptions!$N$11)</f>
        <v>0</v>
      </c>
      <c r="W19" s="74">
        <f>V19*(1+Assumptions!$N$11)</f>
        <v>0</v>
      </c>
      <c r="X19" s="74">
        <f>W19*(1+Assumptions!$N$11)</f>
        <v>0</v>
      </c>
      <c r="Y19" s="74">
        <f>X19*(1+Assumptions!$N$11)</f>
        <v>0</v>
      </c>
      <c r="Z19" s="74">
        <f>Y19*(1+Assumptions!$N$11)</f>
        <v>0</v>
      </c>
      <c r="AA19" s="74">
        <f>Z19*(1+Assumptions!$N$11)</f>
        <v>0</v>
      </c>
      <c r="AB19" s="74">
        <f>AA19*(1+Assumptions!$N$11)</f>
        <v>0</v>
      </c>
      <c r="AC19" s="74">
        <f>AB19*(1+Assumptions!$N$11)</f>
        <v>0</v>
      </c>
      <c r="AD19" s="74">
        <f>AC19*(1+Assumptions!$N$11)</f>
        <v>0</v>
      </c>
      <c r="AE19" s="74">
        <f>AD19*(1+Assumptions!$N$11)</f>
        <v>0</v>
      </c>
      <c r="AF19" s="74">
        <f>AE19*(1+Assumptions!$N$11)</f>
        <v>0</v>
      </c>
      <c r="AG19" s="74">
        <f>AF19*(1+Assumptions!$N$11)</f>
        <v>0</v>
      </c>
    </row>
    <row r="20" spans="1:47">
      <c r="A20" s="3" t="s">
        <v>35</v>
      </c>
      <c r="C20" s="74">
        <f>Assumptions!$N20*Assumptions!H18/12</f>
        <v>0</v>
      </c>
      <c r="D20" s="74">
        <f>Assumptions!$N20*(1+Assumptions!$N$11)</f>
        <v>0</v>
      </c>
      <c r="E20" s="74">
        <f>D20*(1+Assumptions!$N$11)</f>
        <v>0</v>
      </c>
      <c r="F20" s="74">
        <f>E20*(1+Assumptions!$N$11)</f>
        <v>0</v>
      </c>
      <c r="G20" s="74">
        <f>F20*(1+Assumptions!$N$11)</f>
        <v>0</v>
      </c>
      <c r="H20" s="74">
        <f>G20*(1+Assumptions!$N$11)</f>
        <v>0</v>
      </c>
      <c r="I20" s="74">
        <f>H20*(1+Assumptions!$N$11)</f>
        <v>0</v>
      </c>
      <c r="J20" s="74">
        <f>I20*(1+Assumptions!$N$11)</f>
        <v>0</v>
      </c>
      <c r="K20" s="74">
        <f>J20*(1+Assumptions!$N$11)</f>
        <v>0</v>
      </c>
      <c r="L20" s="74">
        <f>K20*(1+Assumptions!$N$11)</f>
        <v>0</v>
      </c>
      <c r="M20" s="74">
        <f>L20*(1+Assumptions!$N$11)</f>
        <v>0</v>
      </c>
      <c r="N20" s="74">
        <f>M20*(1+Assumptions!$N$11)</f>
        <v>0</v>
      </c>
      <c r="O20" s="74">
        <f>N20*(1+Assumptions!$N$11)</f>
        <v>0</v>
      </c>
      <c r="P20" s="74">
        <f>O20*(1+Assumptions!$N$11)</f>
        <v>0</v>
      </c>
      <c r="Q20" s="74">
        <f>P20*(1+Assumptions!$N$11)</f>
        <v>0</v>
      </c>
      <c r="R20" s="74">
        <f>Q20*(1+Assumptions!$N$11)</f>
        <v>0</v>
      </c>
      <c r="S20" s="74">
        <f>R20*(1+Assumptions!$N$11)</f>
        <v>0</v>
      </c>
      <c r="T20" s="74">
        <f>S20*(1+Assumptions!$N$11)</f>
        <v>0</v>
      </c>
      <c r="U20" s="74">
        <f>T20*(1+Assumptions!$N$11)</f>
        <v>0</v>
      </c>
      <c r="V20" s="74">
        <f>U20*(1+Assumptions!$N$11)</f>
        <v>0</v>
      </c>
      <c r="W20" s="74">
        <f>V20*(1+Assumptions!$N$11)</f>
        <v>0</v>
      </c>
      <c r="X20" s="74">
        <f>W20*(1+Assumptions!$N$11)</f>
        <v>0</v>
      </c>
      <c r="Y20" s="74">
        <f>X20*(1+Assumptions!$N$11)</f>
        <v>0</v>
      </c>
      <c r="Z20" s="74">
        <f>Y20*(1+Assumptions!$N$11)</f>
        <v>0</v>
      </c>
      <c r="AA20" s="74">
        <f>Z20*(1+Assumptions!$N$11)</f>
        <v>0</v>
      </c>
      <c r="AB20" s="74">
        <f>AA20*(1+Assumptions!$N$11)</f>
        <v>0</v>
      </c>
      <c r="AC20" s="74">
        <f>AB20*(1+Assumptions!$N$11)</f>
        <v>0</v>
      </c>
      <c r="AD20" s="74">
        <f>AC20*(1+Assumptions!$N$11)</f>
        <v>0</v>
      </c>
      <c r="AE20" s="74">
        <f>AD20*(1+Assumptions!$N$11)</f>
        <v>0</v>
      </c>
      <c r="AF20" s="74">
        <f>AE20*(1+Assumptions!$N$11)</f>
        <v>0</v>
      </c>
      <c r="AG20" s="74">
        <f>AF20*(1+Assumptions!$N$11)</f>
        <v>0</v>
      </c>
    </row>
    <row r="21" spans="1:47">
      <c r="A21" s="3" t="s">
        <v>36</v>
      </c>
      <c r="C21" s="74">
        <f>Assumptions!$N21*Assumptions!H18/12</f>
        <v>0</v>
      </c>
      <c r="D21" s="74">
        <f>(Assumptions!$N21)*(1+Assumptions!$N$11)</f>
        <v>0</v>
      </c>
      <c r="E21" s="74">
        <f>D21*(1+Assumptions!$N$11)</f>
        <v>0</v>
      </c>
      <c r="F21" s="74">
        <f>E21*(1+Assumptions!$N$11)</f>
        <v>0</v>
      </c>
      <c r="G21" s="74">
        <f>F21*(1+Assumptions!$N$11)</f>
        <v>0</v>
      </c>
      <c r="H21" s="74">
        <f>G21*(1+Assumptions!$N$11)</f>
        <v>0</v>
      </c>
      <c r="I21" s="74">
        <f>H21*(1+Assumptions!$N$11)</f>
        <v>0</v>
      </c>
      <c r="J21" s="74">
        <f>I21*(1+Assumptions!$N$11)</f>
        <v>0</v>
      </c>
      <c r="K21" s="74">
        <f>J21*(1+Assumptions!$N$11)</f>
        <v>0</v>
      </c>
      <c r="L21" s="74">
        <f>K21*(1+Assumptions!$N$11)</f>
        <v>0</v>
      </c>
      <c r="M21" s="74">
        <f>L21*(1+Assumptions!$N$11)</f>
        <v>0</v>
      </c>
      <c r="N21" s="74">
        <f>M21*(1+Assumptions!$N$11)</f>
        <v>0</v>
      </c>
      <c r="O21" s="74">
        <f>N21*(1+Assumptions!$N$11)</f>
        <v>0</v>
      </c>
      <c r="P21" s="74">
        <f>O21*(1+Assumptions!$N$11)</f>
        <v>0</v>
      </c>
      <c r="Q21" s="74">
        <f>P21*(1+Assumptions!$N$11)</f>
        <v>0</v>
      </c>
      <c r="R21" s="74">
        <f>Q21*(1+Assumptions!$N$11)</f>
        <v>0</v>
      </c>
      <c r="S21" s="74">
        <f>R21*(1+Assumptions!$N$11)</f>
        <v>0</v>
      </c>
      <c r="T21" s="74">
        <f>S21*(1+Assumptions!$N$11)</f>
        <v>0</v>
      </c>
      <c r="U21" s="74">
        <f>T21*(1+Assumptions!$N$11)</f>
        <v>0</v>
      </c>
      <c r="V21" s="74">
        <f>U21*(1+Assumptions!$N$11)</f>
        <v>0</v>
      </c>
      <c r="W21" s="74">
        <f>V21*(1+Assumptions!$N$11)</f>
        <v>0</v>
      </c>
      <c r="X21" s="74">
        <f>W21*(1+Assumptions!$N$11)</f>
        <v>0</v>
      </c>
      <c r="Y21" s="74">
        <f>X21*(1+Assumptions!$N$11)</f>
        <v>0</v>
      </c>
      <c r="Z21" s="74">
        <f>Y21*(1+Assumptions!$N$11)</f>
        <v>0</v>
      </c>
      <c r="AA21" s="74">
        <f>Z21*(1+Assumptions!$N$11)</f>
        <v>0</v>
      </c>
      <c r="AB21" s="74">
        <f>AA21*(1+Assumptions!$N$11)</f>
        <v>0</v>
      </c>
      <c r="AC21" s="74">
        <f>AB21*(1+Assumptions!$N$11)</f>
        <v>0</v>
      </c>
      <c r="AD21" s="74">
        <f>AC21*(1+Assumptions!$N$11)</f>
        <v>0</v>
      </c>
      <c r="AE21" s="74">
        <f>AD21*(1+Assumptions!$N$11)</f>
        <v>0</v>
      </c>
      <c r="AF21" s="74">
        <f>AE21*(1+Assumptions!$N$11)</f>
        <v>0</v>
      </c>
      <c r="AG21" s="74">
        <f>AF21*(1+Assumptions!$N$11)</f>
        <v>0</v>
      </c>
    </row>
    <row r="22" spans="1:47">
      <c r="A22" s="3" t="s">
        <v>352</v>
      </c>
      <c r="C22" s="74">
        <f>+Assumptions!N22</f>
        <v>0</v>
      </c>
      <c r="D22" s="74">
        <f>+Assumptions!N22*(1+Assumptions!$N$11)</f>
        <v>0</v>
      </c>
      <c r="E22" s="74">
        <f>D22*(1+Assumptions!$N$11)</f>
        <v>0</v>
      </c>
      <c r="F22" s="74">
        <f>E22*(1+Assumptions!$N$11)</f>
        <v>0</v>
      </c>
      <c r="G22" s="74">
        <f>F22*(1+Assumptions!$N$11)</f>
        <v>0</v>
      </c>
      <c r="H22" s="74">
        <f>G22*(1+Assumptions!$N$11)</f>
        <v>0</v>
      </c>
      <c r="I22" s="74">
        <f>H22*(1+Assumptions!$N$11)</f>
        <v>0</v>
      </c>
      <c r="J22" s="74">
        <f>I22*(1+Assumptions!$N$11)</f>
        <v>0</v>
      </c>
      <c r="K22" s="74">
        <f>J22*(1+Assumptions!$N$11)</f>
        <v>0</v>
      </c>
      <c r="L22" s="74">
        <f>K22*(1+Assumptions!$N$11)</f>
        <v>0</v>
      </c>
      <c r="M22" s="74">
        <f>L22*(1+Assumptions!$N$11)</f>
        <v>0</v>
      </c>
      <c r="N22" s="74">
        <f>M22*(1+Assumptions!$N$11)</f>
        <v>0</v>
      </c>
      <c r="O22" s="74">
        <f>N22*(1+Assumptions!$N$11)</f>
        <v>0</v>
      </c>
      <c r="P22" s="74">
        <f>O22*(1+Assumptions!$N$11)</f>
        <v>0</v>
      </c>
      <c r="Q22" s="74">
        <f>P22*(1+Assumptions!$N$11)</f>
        <v>0</v>
      </c>
      <c r="R22" s="74">
        <f>Q22*(1+Assumptions!$N$11)</f>
        <v>0</v>
      </c>
      <c r="S22" s="74">
        <f>R22*(1+Assumptions!$N$11)</f>
        <v>0</v>
      </c>
      <c r="T22" s="74">
        <f>S22*(1+Assumptions!$N$11)</f>
        <v>0</v>
      </c>
      <c r="U22" s="74">
        <f>T22*(1+Assumptions!$N$11)</f>
        <v>0</v>
      </c>
      <c r="V22" s="74">
        <f>U22*(1+Assumptions!$N$11)</f>
        <v>0</v>
      </c>
      <c r="W22" s="74">
        <f>V22*(1+Assumptions!$N$11)</f>
        <v>0</v>
      </c>
      <c r="X22" s="74">
        <f>W22*(1+Assumptions!$N$11)</f>
        <v>0</v>
      </c>
      <c r="Y22" s="74">
        <f>X22*(1+Assumptions!$N$11)</f>
        <v>0</v>
      </c>
      <c r="Z22" s="74">
        <f>Y22*(1+Assumptions!$N$11)</f>
        <v>0</v>
      </c>
      <c r="AA22" s="74">
        <f>Z22*(1+Assumptions!$N$11)</f>
        <v>0</v>
      </c>
      <c r="AB22" s="74">
        <f>AA22*(1+Assumptions!$N$11)</f>
        <v>0</v>
      </c>
      <c r="AC22" s="74">
        <f>AB22*(1+Assumptions!$N$11)</f>
        <v>0</v>
      </c>
      <c r="AD22" s="74">
        <f>AC22*(1+Assumptions!$N$11)</f>
        <v>0</v>
      </c>
      <c r="AE22" s="74">
        <f>AD22*(1+Assumptions!$N$11)</f>
        <v>0</v>
      </c>
      <c r="AF22" s="74">
        <f>AE22*(1+Assumptions!$N$11)</f>
        <v>0</v>
      </c>
      <c r="AG22" s="74">
        <f>AF22*(1+Assumptions!$N$11)</f>
        <v>0</v>
      </c>
    </row>
    <row r="23" spans="1:47" ht="14.25" customHeight="1">
      <c r="A23" s="3" t="s">
        <v>215</v>
      </c>
      <c r="C23" s="193">
        <f ca="1">Assumptions!N30</f>
        <v>0</v>
      </c>
      <c r="D23" s="193">
        <f ca="1">C23*(1+Assumptions!$N$11)</f>
        <v>0</v>
      </c>
      <c r="E23" s="193">
        <f ca="1">D23*(1+Assumptions!$N$11)</f>
        <v>0</v>
      </c>
      <c r="F23" s="193">
        <f ca="1">E23*(1+Assumptions!$N$11)</f>
        <v>0</v>
      </c>
      <c r="G23" s="193">
        <f ca="1">F23*(1+Assumptions!$N$11)</f>
        <v>0</v>
      </c>
      <c r="H23" s="193">
        <f ca="1">G23*(1+Assumptions!$N$11)</f>
        <v>0</v>
      </c>
      <c r="I23" s="193">
        <f ca="1">H23*(1+Assumptions!$N$11)</f>
        <v>0</v>
      </c>
      <c r="J23" s="193">
        <f ca="1">I23*(1+Assumptions!$N$11)</f>
        <v>0</v>
      </c>
      <c r="K23" s="193">
        <f ca="1">J23*(1+Assumptions!$N$11)</f>
        <v>0</v>
      </c>
      <c r="L23" s="193">
        <f ca="1">K23*(1+Assumptions!$N$11)</f>
        <v>0</v>
      </c>
      <c r="M23" s="193">
        <f ca="1">L23*(1+Assumptions!$N$11)</f>
        <v>0</v>
      </c>
      <c r="N23" s="193">
        <f ca="1">M23*(1+Assumptions!$N$11)</f>
        <v>0</v>
      </c>
      <c r="O23" s="193">
        <f ca="1">N23*(1+Assumptions!$N$11)</f>
        <v>0</v>
      </c>
      <c r="P23" s="193">
        <f ca="1">O23*(1+Assumptions!$N$11)</f>
        <v>0</v>
      </c>
      <c r="Q23" s="193">
        <f ca="1">P23*(1+Assumptions!$N$11)</f>
        <v>0</v>
      </c>
      <c r="R23" s="193">
        <f ca="1">Q23*(1+Assumptions!$N$11)</f>
        <v>0</v>
      </c>
      <c r="S23" s="193">
        <f ca="1">R23*(1+Assumptions!$N$11)</f>
        <v>0</v>
      </c>
      <c r="T23" s="193">
        <f ca="1">S23*(1+Assumptions!$N$11)</f>
        <v>0</v>
      </c>
      <c r="U23" s="193">
        <f ca="1">T23*(1+Assumptions!$N$11)</f>
        <v>0</v>
      </c>
      <c r="V23" s="193">
        <f ca="1">U23*(1+Assumptions!$N$11)</f>
        <v>0</v>
      </c>
      <c r="W23" s="193">
        <f ca="1">V23*(1+Assumptions!$N$11)</f>
        <v>0</v>
      </c>
      <c r="X23" s="193">
        <f ca="1">W23*(1+Assumptions!$N$11)</f>
        <v>0</v>
      </c>
      <c r="Y23" s="193">
        <f ca="1">X23*(1+Assumptions!$N$11)</f>
        <v>0</v>
      </c>
      <c r="Z23" s="193">
        <f ca="1">Y23*(1+Assumptions!$N$11)</f>
        <v>0</v>
      </c>
      <c r="AA23" s="193">
        <f ca="1">Z23*(1+Assumptions!$N$11)</f>
        <v>0</v>
      </c>
      <c r="AB23" s="193">
        <f ca="1">AA23*(1+Assumptions!$N$11)</f>
        <v>0</v>
      </c>
      <c r="AC23" s="193">
        <f ca="1">AB23*(1+Assumptions!$N$11)</f>
        <v>0</v>
      </c>
      <c r="AD23" s="193">
        <f ca="1">AC23*(1+Assumptions!$N$11)</f>
        <v>0</v>
      </c>
      <c r="AE23" s="193">
        <f ca="1">AD23*(1+Assumptions!$N$11)</f>
        <v>0</v>
      </c>
      <c r="AF23" s="193">
        <f ca="1">AE23*(1+Assumptions!$N$11)</f>
        <v>0</v>
      </c>
      <c r="AG23" s="193">
        <f ca="1">AF23*(1+Assumptions!$N$11)</f>
        <v>0</v>
      </c>
    </row>
    <row r="24" spans="1:47">
      <c r="A24" s="5" t="s">
        <v>205</v>
      </c>
      <c r="C24" s="74" t="e">
        <f>Assumptions!$N$52*Depreciation!D50*Assumptions!H18/12</f>
        <v>#N/A</v>
      </c>
      <c r="D24" s="74" t="e">
        <f>Assumptions!$N$52*Depreciation!E50</f>
        <v>#N/A</v>
      </c>
      <c r="E24" s="74" t="e">
        <f>Assumptions!$N$52*Depreciation!F50</f>
        <v>#N/A</v>
      </c>
      <c r="F24" s="74" t="e">
        <f>Assumptions!$N$52*Depreciation!G50</f>
        <v>#N/A</v>
      </c>
      <c r="G24" s="74" t="e">
        <f>Assumptions!$N$52*Depreciation!H50</f>
        <v>#N/A</v>
      </c>
      <c r="H24" s="74" t="e">
        <f>Assumptions!$N$52*Depreciation!I50</f>
        <v>#N/A</v>
      </c>
      <c r="I24" s="74" t="e">
        <f>Assumptions!$N$52*Depreciation!J50</f>
        <v>#N/A</v>
      </c>
      <c r="J24" s="74" t="e">
        <f>Assumptions!$N$52*Depreciation!K50</f>
        <v>#N/A</v>
      </c>
      <c r="K24" s="74" t="e">
        <f>Assumptions!$N$52*Depreciation!L50</f>
        <v>#N/A</v>
      </c>
      <c r="L24" s="74" t="e">
        <f>Assumptions!$N$52*Depreciation!M50</f>
        <v>#N/A</v>
      </c>
      <c r="M24" s="74" t="e">
        <f>Assumptions!$N$52*Depreciation!N50</f>
        <v>#N/A</v>
      </c>
      <c r="N24" s="74" t="e">
        <f>Assumptions!$N$52*Depreciation!O50</f>
        <v>#N/A</v>
      </c>
      <c r="O24" s="74" t="e">
        <f>Assumptions!$N$52*Depreciation!P50</f>
        <v>#N/A</v>
      </c>
      <c r="P24" s="74" t="e">
        <f>Assumptions!$N$52*Depreciation!Q50</f>
        <v>#N/A</v>
      </c>
      <c r="Q24" s="74" t="e">
        <f>Assumptions!$N$52*Depreciation!R50</f>
        <v>#N/A</v>
      </c>
      <c r="R24" s="74" t="e">
        <f>Assumptions!$N$52*Depreciation!S50</f>
        <v>#N/A</v>
      </c>
      <c r="S24" s="74" t="e">
        <f>Assumptions!$N$52*Depreciation!T50</f>
        <v>#N/A</v>
      </c>
      <c r="T24" s="74" t="e">
        <f>Assumptions!$N$52*Depreciation!U50</f>
        <v>#N/A</v>
      </c>
      <c r="U24" s="74" t="e">
        <f>Assumptions!$N$52*Depreciation!V50</f>
        <v>#N/A</v>
      </c>
      <c r="V24" s="74" t="e">
        <f>Assumptions!$N$52*Depreciation!W50</f>
        <v>#N/A</v>
      </c>
      <c r="W24" s="74" t="e">
        <f>Assumptions!$N$52*Depreciation!X50</f>
        <v>#N/A</v>
      </c>
      <c r="X24" s="74" t="e">
        <f>Assumptions!$N$52*Depreciation!Y50</f>
        <v>#N/A</v>
      </c>
      <c r="Y24" s="74" t="e">
        <f>Assumptions!$N$52*Depreciation!Z50</f>
        <v>#N/A</v>
      </c>
      <c r="Z24" s="74" t="e">
        <f>Assumptions!$N$52*Depreciation!AA50</f>
        <v>#N/A</v>
      </c>
      <c r="AA24" s="74" t="e">
        <f>Assumptions!$N$52*Depreciation!AB50</f>
        <v>#N/A</v>
      </c>
      <c r="AB24" s="74" t="e">
        <f>Assumptions!$N$52*Depreciation!AC50</f>
        <v>#N/A</v>
      </c>
      <c r="AC24" s="74" t="e">
        <f>Assumptions!$N$52*Depreciation!AD50</f>
        <v>#N/A</v>
      </c>
      <c r="AD24" s="74" t="e">
        <f>Assumptions!$N$52*Depreciation!AE50</f>
        <v>#N/A</v>
      </c>
      <c r="AE24" s="74" t="e">
        <f>Assumptions!$N$52*Depreciation!AF50</f>
        <v>#N/A</v>
      </c>
      <c r="AF24" s="74" t="e">
        <f>Assumptions!$N$52*Depreciation!AG50</f>
        <v>#N/A</v>
      </c>
      <c r="AG24" s="74" t="e">
        <f>Assumptions!$N$52*Depreciation!AH50</f>
        <v>#N/A</v>
      </c>
    </row>
    <row r="25" spans="1:47">
      <c r="A25" s="5" t="s">
        <v>209</v>
      </c>
      <c r="C25" s="193">
        <v>0</v>
      </c>
      <c r="D25" s="193">
        <v>0</v>
      </c>
      <c r="E25" s="193">
        <v>0</v>
      </c>
      <c r="F25" s="193">
        <v>0</v>
      </c>
      <c r="G25" s="193">
        <v>0</v>
      </c>
      <c r="H25" s="193">
        <v>0</v>
      </c>
      <c r="I25" s="193">
        <v>0</v>
      </c>
      <c r="J25" s="193">
        <v>0</v>
      </c>
      <c r="K25" s="193">
        <v>0</v>
      </c>
      <c r="L25" s="193">
        <v>0</v>
      </c>
      <c r="M25" s="193">
        <v>0</v>
      </c>
      <c r="N25" s="193">
        <v>0</v>
      </c>
      <c r="O25" s="193">
        <v>0</v>
      </c>
      <c r="P25" s="193">
        <v>0</v>
      </c>
      <c r="Q25" s="193">
        <v>0</v>
      </c>
      <c r="R25" s="193">
        <v>0</v>
      </c>
      <c r="S25" s="193">
        <v>0</v>
      </c>
      <c r="T25" s="193">
        <v>0</v>
      </c>
      <c r="U25" s="193">
        <v>0</v>
      </c>
      <c r="V25" s="193">
        <v>0</v>
      </c>
      <c r="W25" s="193">
        <v>0</v>
      </c>
      <c r="X25" s="193">
        <v>0</v>
      </c>
      <c r="Y25" s="193">
        <v>0</v>
      </c>
      <c r="Z25" s="193">
        <v>0</v>
      </c>
      <c r="AA25" s="193">
        <v>0</v>
      </c>
      <c r="AB25" s="193">
        <v>0</v>
      </c>
      <c r="AC25" s="193">
        <v>0</v>
      </c>
      <c r="AD25" s="193">
        <v>0</v>
      </c>
      <c r="AE25" s="193">
        <v>0</v>
      </c>
      <c r="AF25" s="193">
        <v>0</v>
      </c>
      <c r="AG25" s="193">
        <v>0</v>
      </c>
    </row>
    <row r="26" spans="1:47">
      <c r="A26" s="13" t="s">
        <v>20</v>
      </c>
      <c r="C26" s="74">
        <f>IF(C8&lt;Assumptions!$G$34,Assumptions!$G$42*Assumptions!$G$41*C6,0)</f>
        <v>0</v>
      </c>
      <c r="D26" s="74">
        <f>IF(D8&lt;Assumptions!$G$34,Assumptions!$G$42*Assumptions!$G$41,IF(AND(D8&gt;Assumptions!$G$34,C8&lt;Assumptions!$G$34),Assumptions!$G$42*Assumptions!$G$41*(1-$C$6),0))</f>
        <v>0</v>
      </c>
      <c r="E26" s="74">
        <f>IF(E8&lt;Assumptions!$G$34,Assumptions!$G$42*Assumptions!$G$41,IF(AND(E8&gt;Assumptions!$G$34,D8&lt;Assumptions!$G$34),Assumptions!$G$42*Assumptions!$G$41*(1-$C$6),0))</f>
        <v>0</v>
      </c>
      <c r="F26" s="74">
        <f>IF(F8&lt;Assumptions!$G$34,Assumptions!$G$42*Assumptions!$G$41,IF(AND(F8&gt;Assumptions!$G$34,E8&lt;Assumptions!$G$34),Assumptions!$G$42*Assumptions!$G$41*(1-$C$6),0))</f>
        <v>0</v>
      </c>
      <c r="G26" s="74">
        <f>IF(G8&lt;Assumptions!$G$34,Assumptions!$G$42*Assumptions!$G$41,IF(AND(G8&gt;Assumptions!$G$34,F8&lt;Assumptions!$G$34),Assumptions!$G$42*Assumptions!$G$41*(1-$C$6),0))</f>
        <v>0</v>
      </c>
      <c r="H26" s="74">
        <f>IF(H8&lt;Assumptions!$G$34,Assumptions!$G$42*Assumptions!$G$41,IF(AND(H8&gt;Assumptions!$G$34,G8&lt;Assumptions!$G$34),Assumptions!$G$42*Assumptions!$G$41*(1-$C$6),0))</f>
        <v>0</v>
      </c>
      <c r="I26" s="74">
        <f>IF(I8&lt;Assumptions!$G$34,Assumptions!$G$42*Assumptions!$G$41,IF(AND(I8&gt;Assumptions!$G$34,H8&lt;Assumptions!$G$34),Assumptions!$G$42*Assumptions!$G$41*(1-$C$6),0))</f>
        <v>0</v>
      </c>
      <c r="J26" s="74">
        <f>IF(J8&lt;Assumptions!$G$34,Assumptions!$G$42*Assumptions!$G$41,IF(AND(J8&gt;Assumptions!$G$34,I8&lt;Assumptions!$G$34),Assumptions!$G$42*Assumptions!$G$41*(1-$C$6),0))</f>
        <v>0</v>
      </c>
      <c r="K26" s="74">
        <f>IF(K8&lt;Assumptions!$G$34,Assumptions!$G$42*Assumptions!$G$41,IF(AND(K8&gt;Assumptions!$G$34,J8&lt;Assumptions!$G$34),Assumptions!$G$42*Assumptions!$G$41*(1-$C$6),0))</f>
        <v>0</v>
      </c>
      <c r="L26" s="74">
        <f>IF(L8&lt;Assumptions!$G$34,Assumptions!$G$42*Assumptions!$G$41,IF(AND(L8&gt;Assumptions!$G$34,K8&lt;Assumptions!$G$34),Assumptions!$G$42*Assumptions!$G$41*(1-$C$6),0))</f>
        <v>0</v>
      </c>
      <c r="M26" s="74">
        <f>IF(M8&lt;Assumptions!$G$34,Assumptions!$G$42*Assumptions!$G$41,IF(AND(M8&gt;Assumptions!$G$34,L8&lt;Assumptions!$G$34),Assumptions!$G$42*Assumptions!$G$41*(1-$C$6),0))</f>
        <v>0</v>
      </c>
      <c r="N26" s="74">
        <f>IF(N8&lt;Assumptions!$G$34,Assumptions!$G$42*Assumptions!$G$41,IF(AND(N8&gt;Assumptions!$G$34,M8&lt;Assumptions!$G$34),Assumptions!$G$42*Assumptions!$G$41*(1-$C$6),0))</f>
        <v>0</v>
      </c>
      <c r="O26" s="74">
        <f>IF(O8&lt;Assumptions!$G$34,Assumptions!$G$42*Assumptions!$G$41,IF(AND(O8&gt;Assumptions!$G$34,N8&lt;Assumptions!$G$34),Assumptions!$G$42*Assumptions!$G$41*(1-$C$6),0))</f>
        <v>0</v>
      </c>
      <c r="P26" s="74">
        <f>IF(P8&lt;Assumptions!$G$34,Assumptions!$G$42*Assumptions!$G$41,IF(AND(P8&gt;Assumptions!$G$34,O8&lt;Assumptions!$G$34),Assumptions!$G$42*Assumptions!$G$41*(1-$C$6),0))</f>
        <v>0</v>
      </c>
      <c r="Q26" s="74">
        <f>IF(Q8&lt;Assumptions!$G$34,Assumptions!$G$42*Assumptions!$G$41,IF(AND(Q8&gt;Assumptions!$G$34,P8&lt;Assumptions!$G$34),Assumptions!$G$42*Assumptions!$G$41*(1-$C$6),0))</f>
        <v>0</v>
      </c>
      <c r="R26" s="74">
        <f>IF(R8&lt;Assumptions!$G$34,Assumptions!$G$42*Assumptions!$G$41,IF(AND(R8&gt;Assumptions!$G$34,Q8&lt;Assumptions!$G$34),Assumptions!$G$42*Assumptions!$G$41*(1-$C$6),0))</f>
        <v>0</v>
      </c>
      <c r="S26" s="74">
        <f>IF(S8&lt;Assumptions!$G$34,Assumptions!$G$42*Assumptions!$G$41,IF(AND(S8&gt;Assumptions!$G$34,R8&lt;Assumptions!$G$34),Assumptions!$G$42*Assumptions!$G$41*(1-$C$6),0))</f>
        <v>0</v>
      </c>
      <c r="T26" s="74">
        <f>IF(T8&lt;Assumptions!$G$34,Assumptions!$G$42*Assumptions!$G$41,IF(AND(T8&gt;Assumptions!$G$34,S8&lt;Assumptions!$G$34),Assumptions!$G$42*Assumptions!$G$41*(1-$C$6),0))</f>
        <v>0</v>
      </c>
      <c r="U26" s="74">
        <f>IF(U8&lt;Assumptions!$G$34,Assumptions!$G$42*Assumptions!$G$41,IF(AND(U8&gt;Assumptions!$G$34,T8&lt;Assumptions!$G$34),Assumptions!$G$42*Assumptions!$G$41*(1-$C$6),0))</f>
        <v>0</v>
      </c>
      <c r="V26" s="74">
        <f>IF(V8&lt;Assumptions!$G$34,Assumptions!$G$42*Assumptions!$G$41,IF(AND(V8&gt;Assumptions!$G$34,U8&lt;Assumptions!$G$34),Assumptions!$G$42*Assumptions!$G$41*(1-$C$6),0))</f>
        <v>0</v>
      </c>
      <c r="W26" s="74">
        <f>IF(W8&lt;Assumptions!$G$34,Assumptions!$G$42*Assumptions!$G$41,IF(AND(W8&gt;Assumptions!$G$34,V8&lt;Assumptions!$G$34),Assumptions!$G$42*Assumptions!$G$41*(1-$C$6),0))</f>
        <v>0</v>
      </c>
      <c r="X26" s="74">
        <f>IF(X8&lt;Assumptions!$G$34,Assumptions!$G$42*Assumptions!$G$41,IF(AND(X8&gt;Assumptions!$G$34,W8&lt;Assumptions!$G$34),Assumptions!$G$42*Assumptions!$G$41*(1-$C$6),0))</f>
        <v>0</v>
      </c>
      <c r="Y26" s="74">
        <f>IF(Y8&lt;Assumptions!$G$34,Assumptions!$G$42*Assumptions!$G$41,IF(AND(Y8&gt;Assumptions!$G$34,X8&lt;Assumptions!$G$34),Assumptions!$G$42*Assumptions!$G$41*(1-$C$6),0))</f>
        <v>0</v>
      </c>
      <c r="Z26" s="74">
        <f>IF(Z8&lt;Assumptions!$G$34,Assumptions!$G$42*Assumptions!$G$41,IF(AND(Z8&gt;Assumptions!$G$34,Y8&lt;Assumptions!$G$34),Assumptions!$G$42*Assumptions!$G$41*(1-$C$6),0))</f>
        <v>0</v>
      </c>
      <c r="AA26" s="74">
        <f>IF(AA8&lt;Assumptions!$G$34,Assumptions!$G$42*Assumptions!$G$41,IF(AND(AA8&gt;Assumptions!$G$34,Z8&lt;Assumptions!$G$34),Assumptions!$G$42*Assumptions!$G$41*(1-$C$6),0))</f>
        <v>0</v>
      </c>
      <c r="AB26" s="74">
        <f>IF(AB8&lt;Assumptions!$G$34,Assumptions!$G$42*Assumptions!$G$41,IF(AND(AB8&gt;Assumptions!$G$34,AA8&lt;Assumptions!$G$34),Assumptions!$G$42*Assumptions!$G$41*(1-$C$6),0))</f>
        <v>0</v>
      </c>
      <c r="AC26" s="74">
        <f>IF(AC8&lt;Assumptions!$G$34,Assumptions!$G$42*Assumptions!$G$41,IF(AND(AC8&gt;Assumptions!$G$34,AB8&lt;Assumptions!$G$34),Assumptions!$G$42*Assumptions!$G$41*(1-$C$6),0))</f>
        <v>0</v>
      </c>
      <c r="AD26" s="74">
        <f>IF(AD8&lt;Assumptions!$G$34,Assumptions!$G$42*Assumptions!$G$41,IF(AND(AD8&gt;Assumptions!$G$34,AC8&lt;Assumptions!$G$34),Assumptions!$G$42*Assumptions!$G$41*(1-$C$6),0))</f>
        <v>0</v>
      </c>
      <c r="AE26" s="74">
        <f>IF(AE8&lt;Assumptions!$G$34,Assumptions!$G$42*Assumptions!$G$41,IF(AND(AE8&gt;Assumptions!$G$34,AD8&lt;Assumptions!$G$34),Assumptions!$G$42*Assumptions!$G$41*(1-$C$6),0))</f>
        <v>0</v>
      </c>
      <c r="AF26" s="74">
        <f>IF(AF8&lt;Assumptions!$G$34,Assumptions!$G$42*Assumptions!$G$41,IF(AND(AF8&gt;Assumptions!$G$34,AE8&lt;Assumptions!$G$34),Assumptions!$G$42*Assumptions!$G$41*(1-$C$6),0))</f>
        <v>0</v>
      </c>
      <c r="AG26" s="74">
        <f>IF(AG8&lt;Assumptions!$G$34,Assumptions!$G$42*Assumptions!$G$41,IF(AND(AG8&gt;Assumptions!$G$34,AF8&lt;Assumptions!$G$34),Assumptions!$G$42*Assumptions!$G$41*(1-$C$6),0))</f>
        <v>0</v>
      </c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</row>
    <row r="27" spans="1:47">
      <c r="A27" s="13" t="s">
        <v>45</v>
      </c>
      <c r="C27" s="74" t="e">
        <f>Assumptions!$O$23*Assumptions!$H$68*Assumptions!H18/12</f>
        <v>#DIV/0!</v>
      </c>
      <c r="D27" s="74" t="e">
        <f>Assumptions!$O$23*Assumptions!$H$68*(1+Assumptions!$N$11)</f>
        <v>#DIV/0!</v>
      </c>
      <c r="E27" s="74" t="e">
        <f>Assumptions!$O$23*Assumptions!$H$68*(1+Assumptions!$N$11)</f>
        <v>#DIV/0!</v>
      </c>
      <c r="F27" s="74" t="e">
        <f>Assumptions!$O$23*Assumptions!$H$68*(1+Assumptions!$N$11)</f>
        <v>#DIV/0!</v>
      </c>
      <c r="G27" s="74" t="e">
        <f>Assumptions!$O$23*Assumptions!$H$68*(1+Assumptions!$N$11)</f>
        <v>#DIV/0!</v>
      </c>
      <c r="H27" s="74" t="e">
        <f>Assumptions!$O$23*Assumptions!$H$68*(1+Assumptions!$N$11)</f>
        <v>#DIV/0!</v>
      </c>
      <c r="I27" s="74" t="e">
        <f>Assumptions!$O$23*Assumptions!$H$68*(1+Assumptions!$N$11)</f>
        <v>#DIV/0!</v>
      </c>
      <c r="J27" s="74" t="e">
        <f>Assumptions!$O$23*Assumptions!$H$68*(1+Assumptions!$N$11)</f>
        <v>#DIV/0!</v>
      </c>
      <c r="K27" s="74" t="e">
        <f>Assumptions!$O$23*Assumptions!$H$68*(1+Assumptions!$N$11)</f>
        <v>#DIV/0!</v>
      </c>
      <c r="L27" s="74" t="e">
        <f>Assumptions!$O$23*Assumptions!$H$68*(1+Assumptions!$N$11)</f>
        <v>#DIV/0!</v>
      </c>
      <c r="M27" s="74" t="e">
        <f>Assumptions!$O$23*Assumptions!$H$68*(1+Assumptions!$N$11)</f>
        <v>#DIV/0!</v>
      </c>
      <c r="N27" s="74" t="e">
        <f>Assumptions!$O$23*Assumptions!$H$68*(1+Assumptions!$N$11)</f>
        <v>#DIV/0!</v>
      </c>
      <c r="O27" s="74" t="e">
        <f>Assumptions!$O$23*Assumptions!$H$68*(1+Assumptions!$N$11)</f>
        <v>#DIV/0!</v>
      </c>
      <c r="P27" s="74" t="e">
        <f>Assumptions!$O$23*Assumptions!$H$68*(1+Assumptions!$N$11)</f>
        <v>#DIV/0!</v>
      </c>
      <c r="Q27" s="74" t="e">
        <f>Assumptions!$O$23*Assumptions!$H$68*(1+Assumptions!$N$11)</f>
        <v>#DIV/0!</v>
      </c>
      <c r="R27" s="74" t="e">
        <f>Assumptions!$O$23*Assumptions!$H$68*(1+Assumptions!$N$11)</f>
        <v>#DIV/0!</v>
      </c>
      <c r="S27" s="74" t="e">
        <f>Assumptions!$O$23*Assumptions!$H$68*(1+Assumptions!$N$11)</f>
        <v>#DIV/0!</v>
      </c>
      <c r="T27" s="74" t="e">
        <f>Assumptions!$O$23*Assumptions!$H$68*(1+Assumptions!$N$11)</f>
        <v>#DIV/0!</v>
      </c>
      <c r="U27" s="74" t="e">
        <f>Assumptions!$O$23*Assumptions!$H$68*(1+Assumptions!$N$11)</f>
        <v>#DIV/0!</v>
      </c>
      <c r="V27" s="74" t="e">
        <f>Assumptions!$O$23*Assumptions!$H$68*(1+Assumptions!$N$11)</f>
        <v>#DIV/0!</v>
      </c>
      <c r="W27" s="74" t="e">
        <f>Assumptions!$O$23*Assumptions!$H$68*(1+Assumptions!$N$11)</f>
        <v>#DIV/0!</v>
      </c>
      <c r="X27" s="74" t="e">
        <f>Assumptions!$O$23*Assumptions!$H$68*(1+Assumptions!$N$11)</f>
        <v>#DIV/0!</v>
      </c>
      <c r="Y27" s="74" t="e">
        <f>Assumptions!$O$23*Assumptions!$H$68*(1+Assumptions!$N$11)</f>
        <v>#DIV/0!</v>
      </c>
      <c r="Z27" s="74" t="e">
        <f>Assumptions!$O$23*Assumptions!$H$68*(1+Assumptions!$N$11)</f>
        <v>#DIV/0!</v>
      </c>
      <c r="AA27" s="74" t="e">
        <f>Assumptions!$O$23*Assumptions!$H$68*(1+Assumptions!$N$11)</f>
        <v>#DIV/0!</v>
      </c>
      <c r="AB27" s="74" t="e">
        <f>Assumptions!$O$23*Assumptions!$H$68*(1+Assumptions!$N$11)</f>
        <v>#DIV/0!</v>
      </c>
      <c r="AC27" s="74" t="e">
        <f>Assumptions!$O$23*Assumptions!$H$68*(1+Assumptions!$N$11)</f>
        <v>#DIV/0!</v>
      </c>
      <c r="AD27" s="74" t="e">
        <f>Assumptions!$O$23*Assumptions!$H$68*(1+Assumptions!$N$11)</f>
        <v>#DIV/0!</v>
      </c>
      <c r="AE27" s="74" t="e">
        <f>Assumptions!$O$23*Assumptions!$H$68*(1+Assumptions!$N$11)</f>
        <v>#DIV/0!</v>
      </c>
      <c r="AF27" s="74" t="e">
        <f>Assumptions!$O$23*Assumptions!$H$68*(1+Assumptions!$N$11)</f>
        <v>#DIV/0!</v>
      </c>
      <c r="AG27" s="74" t="e">
        <f>Assumptions!$O$23*Assumptions!$H$68*(1+Assumptions!$N$11)</f>
        <v>#DIV/0!</v>
      </c>
    </row>
    <row r="28" spans="1:47">
      <c r="A28" s="3" t="s">
        <v>46</v>
      </c>
      <c r="C28" s="74">
        <f>Assumptions!$N24*Assumptions!H18/12</f>
        <v>0</v>
      </c>
      <c r="D28" s="74">
        <f>Assumptions!$N24*(1+Assumptions!$N$11)</f>
        <v>0</v>
      </c>
      <c r="E28" s="74">
        <f>D28*(1+Assumptions!$N$11)</f>
        <v>0</v>
      </c>
      <c r="F28" s="74">
        <f>E28*(1+Assumptions!$N$11)</f>
        <v>0</v>
      </c>
      <c r="G28" s="74">
        <f>F28*(1+Assumptions!$N$11)</f>
        <v>0</v>
      </c>
      <c r="H28" s="74">
        <f>G28*(1+Assumptions!$N$11)</f>
        <v>0</v>
      </c>
      <c r="I28" s="74">
        <f>H28*(1+Assumptions!$N$11)</f>
        <v>0</v>
      </c>
      <c r="J28" s="74">
        <f>I28*(1+Assumptions!$N$11)</f>
        <v>0</v>
      </c>
      <c r="K28" s="74">
        <f>J28*(1+Assumptions!$N$11)</f>
        <v>0</v>
      </c>
      <c r="L28" s="74">
        <f>K28*(1+Assumptions!$N$11)</f>
        <v>0</v>
      </c>
      <c r="M28" s="74">
        <f>L28*(1+Assumptions!$N$11)</f>
        <v>0</v>
      </c>
      <c r="N28" s="74">
        <f>M28*(1+Assumptions!$N$11)</f>
        <v>0</v>
      </c>
      <c r="O28" s="74">
        <f>N28*(1+Assumptions!$N$11)</f>
        <v>0</v>
      </c>
      <c r="P28" s="74">
        <f>O28*(1+Assumptions!$N$11)</f>
        <v>0</v>
      </c>
      <c r="Q28" s="74">
        <f>P28*(1+Assumptions!$N$11)</f>
        <v>0</v>
      </c>
      <c r="R28" s="74">
        <f>Q28*(1+Assumptions!$N$11)</f>
        <v>0</v>
      </c>
      <c r="S28" s="74">
        <f>R28*(1+Assumptions!$N$11)</f>
        <v>0</v>
      </c>
      <c r="T28" s="74">
        <f>S28*(1+Assumptions!$N$11)</f>
        <v>0</v>
      </c>
      <c r="U28" s="74">
        <f>T28*(1+Assumptions!$N$11)</f>
        <v>0</v>
      </c>
      <c r="V28" s="74">
        <f>U28*(1+Assumptions!$N$11)</f>
        <v>0</v>
      </c>
      <c r="W28" s="74">
        <f>V28*(1+Assumptions!$N$11)</f>
        <v>0</v>
      </c>
      <c r="X28" s="74">
        <f>W28*(1+Assumptions!$N$11)</f>
        <v>0</v>
      </c>
      <c r="Y28" s="74">
        <f>X28*(1+Assumptions!$N$11)</f>
        <v>0</v>
      </c>
      <c r="Z28" s="74">
        <f>Y28*(1+Assumptions!$N$11)</f>
        <v>0</v>
      </c>
      <c r="AA28" s="74">
        <f>Z28*(1+Assumptions!$N$11)</f>
        <v>0</v>
      </c>
      <c r="AB28" s="74">
        <f>AA28*(1+Assumptions!$N$11)</f>
        <v>0</v>
      </c>
      <c r="AC28" s="74">
        <f>AB28*(1+Assumptions!$N$11)</f>
        <v>0</v>
      </c>
      <c r="AD28" s="74">
        <f>AC28*(1+Assumptions!$N$11)</f>
        <v>0</v>
      </c>
      <c r="AE28" s="74">
        <f>AD28*(1+Assumptions!$N$11)</f>
        <v>0</v>
      </c>
      <c r="AF28" s="74">
        <f>AE28*(1+Assumptions!$N$11)</f>
        <v>0</v>
      </c>
      <c r="AG28" s="74">
        <f>AF28*(1+Assumptions!$N$11)</f>
        <v>0</v>
      </c>
    </row>
    <row r="29" spans="1:47">
      <c r="A29" s="3" t="s">
        <v>47</v>
      </c>
      <c r="C29" s="75">
        <f>Assumptions!$N25*Assumptions!H18/12</f>
        <v>0</v>
      </c>
      <c r="D29" s="75">
        <f>Assumptions!$N25*(1+Assumptions!$N$11)</f>
        <v>0</v>
      </c>
      <c r="E29" s="75">
        <f>D29*(1+Assumptions!$N$11)</f>
        <v>0</v>
      </c>
      <c r="F29" s="75">
        <f>E29*(1+Assumptions!$N$11)</f>
        <v>0</v>
      </c>
      <c r="G29" s="75">
        <f>F29*(1+Assumptions!$N$11)</f>
        <v>0</v>
      </c>
      <c r="H29" s="75">
        <f>G29*(1+Assumptions!$N$11)</f>
        <v>0</v>
      </c>
      <c r="I29" s="75">
        <f>H29*(1+Assumptions!$N$11)</f>
        <v>0</v>
      </c>
      <c r="J29" s="75">
        <f>I29*(1+Assumptions!$N$11)</f>
        <v>0</v>
      </c>
      <c r="K29" s="75">
        <f>J29*(1+Assumptions!$N$11)</f>
        <v>0</v>
      </c>
      <c r="L29" s="75">
        <f>K29*(1+Assumptions!$N$11)</f>
        <v>0</v>
      </c>
      <c r="M29" s="75">
        <f>L29*(1+Assumptions!$N$11)</f>
        <v>0</v>
      </c>
      <c r="N29" s="75">
        <f>M29*(1+Assumptions!$N$11)</f>
        <v>0</v>
      </c>
      <c r="O29" s="75">
        <f>N29*(1+Assumptions!$N$11)</f>
        <v>0</v>
      </c>
      <c r="P29" s="75">
        <f>O29*(1+Assumptions!$N$11)</f>
        <v>0</v>
      </c>
      <c r="Q29" s="75">
        <f>P29*(1+Assumptions!$N$11)</f>
        <v>0</v>
      </c>
      <c r="R29" s="75">
        <f>Q29*(1+Assumptions!$N$11)</f>
        <v>0</v>
      </c>
      <c r="S29" s="75">
        <f>R29*(1+Assumptions!$N$11)</f>
        <v>0</v>
      </c>
      <c r="T29" s="75">
        <f>S29*(1+Assumptions!$N$11)</f>
        <v>0</v>
      </c>
      <c r="U29" s="75">
        <f>T29*(1+Assumptions!$N$11)</f>
        <v>0</v>
      </c>
      <c r="V29" s="75">
        <f>U29*(1+Assumptions!$N$11)</f>
        <v>0</v>
      </c>
      <c r="W29" s="75">
        <f>V29*(1+Assumptions!$N$11)</f>
        <v>0</v>
      </c>
      <c r="X29" s="75">
        <f>W29*(1+Assumptions!$N$11)</f>
        <v>0</v>
      </c>
      <c r="Y29" s="75">
        <f>X29*(1+Assumptions!$N$11)</f>
        <v>0</v>
      </c>
      <c r="Z29" s="75">
        <f>Y29*(1+Assumptions!$N$11)</f>
        <v>0</v>
      </c>
      <c r="AA29" s="75">
        <f>Z29*(1+Assumptions!$N$11)</f>
        <v>0</v>
      </c>
      <c r="AB29" s="75">
        <f>AA29*(1+Assumptions!$N$11)</f>
        <v>0</v>
      </c>
      <c r="AC29" s="75">
        <f>AB29*(1+Assumptions!$N$11)</f>
        <v>0</v>
      </c>
      <c r="AD29" s="75">
        <f>AC29*(1+Assumptions!$N$11)</f>
        <v>0</v>
      </c>
      <c r="AE29" s="75">
        <f>AD29*(1+Assumptions!$N$11)</f>
        <v>0</v>
      </c>
      <c r="AF29" s="75">
        <f>AE29*(1+Assumptions!$N$11)</f>
        <v>0</v>
      </c>
      <c r="AG29" s="75">
        <f>AF29*(1+Assumptions!$N$11)</f>
        <v>0</v>
      </c>
    </row>
    <row r="30" spans="1:47">
      <c r="A30" s="3" t="s">
        <v>48</v>
      </c>
      <c r="C30" s="65" t="e">
        <f t="shared" ref="C30:X30" ca="1" si="1">SUM(C16:C29)</f>
        <v>#N/A</v>
      </c>
      <c r="D30" s="65" t="e">
        <f t="shared" ca="1" si="1"/>
        <v>#N/A</v>
      </c>
      <c r="E30" s="65" t="e">
        <f t="shared" ca="1" si="1"/>
        <v>#N/A</v>
      </c>
      <c r="F30" s="65" t="e">
        <f t="shared" ca="1" si="1"/>
        <v>#N/A</v>
      </c>
      <c r="G30" s="65" t="e">
        <f t="shared" ca="1" si="1"/>
        <v>#N/A</v>
      </c>
      <c r="H30" s="65" t="e">
        <f t="shared" ca="1" si="1"/>
        <v>#N/A</v>
      </c>
      <c r="I30" s="65" t="e">
        <f t="shared" ca="1" si="1"/>
        <v>#N/A</v>
      </c>
      <c r="J30" s="65" t="e">
        <f t="shared" ca="1" si="1"/>
        <v>#N/A</v>
      </c>
      <c r="K30" s="65" t="e">
        <f t="shared" ca="1" si="1"/>
        <v>#N/A</v>
      </c>
      <c r="L30" s="65" t="e">
        <f t="shared" ca="1" si="1"/>
        <v>#N/A</v>
      </c>
      <c r="M30" s="65" t="e">
        <f t="shared" ca="1" si="1"/>
        <v>#N/A</v>
      </c>
      <c r="N30" s="65" t="e">
        <f t="shared" ca="1" si="1"/>
        <v>#N/A</v>
      </c>
      <c r="O30" s="65" t="e">
        <f t="shared" ca="1" si="1"/>
        <v>#N/A</v>
      </c>
      <c r="P30" s="65" t="e">
        <f t="shared" ca="1" si="1"/>
        <v>#N/A</v>
      </c>
      <c r="Q30" s="65" t="e">
        <f t="shared" ca="1" si="1"/>
        <v>#N/A</v>
      </c>
      <c r="R30" s="65" t="e">
        <f t="shared" ca="1" si="1"/>
        <v>#N/A</v>
      </c>
      <c r="S30" s="65" t="e">
        <f t="shared" ca="1" si="1"/>
        <v>#N/A</v>
      </c>
      <c r="T30" s="65" t="e">
        <f t="shared" ca="1" si="1"/>
        <v>#N/A</v>
      </c>
      <c r="U30" s="65" t="e">
        <f t="shared" ca="1" si="1"/>
        <v>#N/A</v>
      </c>
      <c r="V30" s="65" t="e">
        <f t="shared" ca="1" si="1"/>
        <v>#N/A</v>
      </c>
      <c r="W30" s="65" t="e">
        <f t="shared" ca="1" si="1"/>
        <v>#N/A</v>
      </c>
      <c r="X30" s="65" t="e">
        <f t="shared" ca="1" si="1"/>
        <v>#N/A</v>
      </c>
      <c r="Y30" s="65" t="e">
        <f t="shared" ref="Y30:AG30" ca="1" si="2">SUM(Y16:Y29)</f>
        <v>#N/A</v>
      </c>
      <c r="Z30" s="65" t="e">
        <f t="shared" ca="1" si="2"/>
        <v>#N/A</v>
      </c>
      <c r="AA30" s="65" t="e">
        <f t="shared" ca="1" si="2"/>
        <v>#N/A</v>
      </c>
      <c r="AB30" s="65" t="e">
        <f t="shared" ca="1" si="2"/>
        <v>#N/A</v>
      </c>
      <c r="AC30" s="65" t="e">
        <f t="shared" ca="1" si="2"/>
        <v>#N/A</v>
      </c>
      <c r="AD30" s="65" t="e">
        <f t="shared" ca="1" si="2"/>
        <v>#N/A</v>
      </c>
      <c r="AE30" s="65" t="e">
        <f t="shared" ca="1" si="2"/>
        <v>#N/A</v>
      </c>
      <c r="AF30" s="65" t="e">
        <f t="shared" ca="1" si="2"/>
        <v>#N/A</v>
      </c>
      <c r="AG30" s="65" t="e">
        <f t="shared" ca="1" si="2"/>
        <v>#N/A</v>
      </c>
    </row>
    <row r="31" spans="1:47">
      <c r="A31" s="4"/>
      <c r="C31" s="350"/>
      <c r="D31" s="350"/>
      <c r="E31" s="350"/>
      <c r="F31" s="350"/>
      <c r="G31" s="350"/>
      <c r="H31" s="350"/>
      <c r="I31" s="350"/>
      <c r="J31" s="350"/>
      <c r="K31" s="350"/>
      <c r="L31" s="350"/>
      <c r="M31" s="350"/>
      <c r="N31" s="350"/>
      <c r="O31" s="350"/>
      <c r="P31" s="350"/>
      <c r="Q31" s="350"/>
      <c r="R31" s="350"/>
      <c r="S31" s="350"/>
      <c r="T31" s="350"/>
      <c r="U31" s="350"/>
      <c r="V31" s="350"/>
      <c r="W31" s="350"/>
      <c r="X31" s="350"/>
      <c r="Y31" s="350"/>
      <c r="Z31" s="350"/>
      <c r="AA31" s="350"/>
      <c r="AB31" s="350"/>
      <c r="AC31" s="350"/>
      <c r="AD31" s="350"/>
      <c r="AE31" s="350"/>
      <c r="AF31" s="350"/>
      <c r="AG31" s="350"/>
    </row>
    <row r="32" spans="1:47">
      <c r="A32" s="1" t="s">
        <v>49</v>
      </c>
      <c r="C32" s="124" t="e">
        <f t="shared" ref="C32:X32" ca="1" si="3">C13-C30</f>
        <v>#N/A</v>
      </c>
      <c r="D32" s="124" t="e">
        <f t="shared" ca="1" si="3"/>
        <v>#N/A</v>
      </c>
      <c r="E32" s="124" t="e">
        <f t="shared" ca="1" si="3"/>
        <v>#N/A</v>
      </c>
      <c r="F32" s="124" t="e">
        <f t="shared" ca="1" si="3"/>
        <v>#N/A</v>
      </c>
      <c r="G32" s="124" t="e">
        <f t="shared" ca="1" si="3"/>
        <v>#N/A</v>
      </c>
      <c r="H32" s="124" t="e">
        <f t="shared" ca="1" si="3"/>
        <v>#N/A</v>
      </c>
      <c r="I32" s="124" t="e">
        <f t="shared" ca="1" si="3"/>
        <v>#N/A</v>
      </c>
      <c r="J32" s="124" t="e">
        <f t="shared" ca="1" si="3"/>
        <v>#N/A</v>
      </c>
      <c r="K32" s="124" t="e">
        <f t="shared" ca="1" si="3"/>
        <v>#N/A</v>
      </c>
      <c r="L32" s="124" t="e">
        <f t="shared" ca="1" si="3"/>
        <v>#N/A</v>
      </c>
      <c r="M32" s="124" t="e">
        <f t="shared" ca="1" si="3"/>
        <v>#N/A</v>
      </c>
      <c r="N32" s="124" t="e">
        <f t="shared" ca="1" si="3"/>
        <v>#N/A</v>
      </c>
      <c r="O32" s="124" t="e">
        <f t="shared" ca="1" si="3"/>
        <v>#N/A</v>
      </c>
      <c r="P32" s="124" t="e">
        <f t="shared" ca="1" si="3"/>
        <v>#N/A</v>
      </c>
      <c r="Q32" s="124" t="e">
        <f t="shared" ca="1" si="3"/>
        <v>#N/A</v>
      </c>
      <c r="R32" s="124" t="e">
        <f t="shared" ca="1" si="3"/>
        <v>#N/A</v>
      </c>
      <c r="S32" s="124" t="e">
        <f t="shared" ca="1" si="3"/>
        <v>#N/A</v>
      </c>
      <c r="T32" s="124" t="e">
        <f t="shared" ca="1" si="3"/>
        <v>#N/A</v>
      </c>
      <c r="U32" s="124" t="e">
        <f t="shared" ca="1" si="3"/>
        <v>#N/A</v>
      </c>
      <c r="V32" s="124" t="e">
        <f t="shared" ca="1" si="3"/>
        <v>#N/A</v>
      </c>
      <c r="W32" s="124" t="e">
        <f t="shared" ca="1" si="3"/>
        <v>#N/A</v>
      </c>
      <c r="X32" s="124" t="e">
        <f t="shared" ca="1" si="3"/>
        <v>#N/A</v>
      </c>
      <c r="Y32" s="124" t="e">
        <f t="shared" ref="Y32:AG32" ca="1" si="4">Y13-Y30</f>
        <v>#N/A</v>
      </c>
      <c r="Z32" s="124" t="e">
        <f t="shared" ca="1" si="4"/>
        <v>#N/A</v>
      </c>
      <c r="AA32" s="124" t="e">
        <f t="shared" ca="1" si="4"/>
        <v>#N/A</v>
      </c>
      <c r="AB32" s="124" t="e">
        <f t="shared" ca="1" si="4"/>
        <v>#N/A</v>
      </c>
      <c r="AC32" s="124" t="e">
        <f t="shared" ca="1" si="4"/>
        <v>#N/A</v>
      </c>
      <c r="AD32" s="124" t="e">
        <f t="shared" ca="1" si="4"/>
        <v>#N/A</v>
      </c>
      <c r="AE32" s="124" t="e">
        <f t="shared" ca="1" si="4"/>
        <v>#N/A</v>
      </c>
      <c r="AF32" s="124" t="e">
        <f t="shared" ca="1" si="4"/>
        <v>#N/A</v>
      </c>
      <c r="AG32" s="124" t="e">
        <f t="shared" ca="1" si="4"/>
        <v>#N/A</v>
      </c>
    </row>
    <row r="33" spans="1:33">
      <c r="A33" s="1"/>
      <c r="C33" s="350"/>
      <c r="D33" s="350"/>
      <c r="E33" s="350"/>
      <c r="F33" s="350"/>
      <c r="G33" s="350"/>
      <c r="H33" s="350"/>
      <c r="I33" s="350"/>
      <c r="J33" s="350"/>
      <c r="K33" s="350"/>
      <c r="L33" s="350"/>
      <c r="M33" s="350"/>
      <c r="N33" s="350"/>
      <c r="O33" s="350"/>
      <c r="P33" s="350"/>
      <c r="Q33" s="350"/>
      <c r="R33" s="350"/>
      <c r="S33" s="350"/>
      <c r="T33" s="350"/>
      <c r="U33" s="350"/>
      <c r="V33" s="350"/>
      <c r="W33" s="350"/>
      <c r="X33" s="350"/>
      <c r="Y33" s="350"/>
      <c r="Z33" s="350"/>
      <c r="AA33" s="350"/>
      <c r="AB33" s="350"/>
      <c r="AC33" s="350"/>
      <c r="AD33" s="350"/>
      <c r="AE33" s="350"/>
      <c r="AF33" s="350"/>
      <c r="AG33" s="350"/>
    </row>
    <row r="34" spans="1:33">
      <c r="A34" s="3" t="s">
        <v>50</v>
      </c>
      <c r="C34" s="65" t="e">
        <f>Depreciation!D48</f>
        <v>#N/A</v>
      </c>
      <c r="D34" s="65" t="e">
        <f>Depreciation!E48</f>
        <v>#N/A</v>
      </c>
      <c r="E34" s="65" t="e">
        <f>Depreciation!F48</f>
        <v>#N/A</v>
      </c>
      <c r="F34" s="65" t="e">
        <f>Depreciation!G48</f>
        <v>#N/A</v>
      </c>
      <c r="G34" s="65" t="e">
        <f>Depreciation!H48</f>
        <v>#N/A</v>
      </c>
      <c r="H34" s="65" t="e">
        <f>Depreciation!I48</f>
        <v>#N/A</v>
      </c>
      <c r="I34" s="65" t="e">
        <f>Depreciation!J48</f>
        <v>#N/A</v>
      </c>
      <c r="J34" s="65" t="e">
        <f>Depreciation!K48</f>
        <v>#N/A</v>
      </c>
      <c r="K34" s="65" t="e">
        <f>Depreciation!L48</f>
        <v>#N/A</v>
      </c>
      <c r="L34" s="65" t="e">
        <f>Depreciation!M48</f>
        <v>#N/A</v>
      </c>
      <c r="M34" s="65" t="e">
        <f>Depreciation!N48</f>
        <v>#N/A</v>
      </c>
      <c r="N34" s="65" t="e">
        <f>Depreciation!O48</f>
        <v>#N/A</v>
      </c>
      <c r="O34" s="65" t="e">
        <f>Depreciation!P48</f>
        <v>#N/A</v>
      </c>
      <c r="P34" s="65" t="e">
        <f>Depreciation!Q48</f>
        <v>#N/A</v>
      </c>
      <c r="Q34" s="65" t="e">
        <f>Depreciation!R48</f>
        <v>#N/A</v>
      </c>
      <c r="R34" s="65" t="e">
        <f>Depreciation!S48</f>
        <v>#N/A</v>
      </c>
      <c r="S34" s="65" t="e">
        <f>Depreciation!T48</f>
        <v>#N/A</v>
      </c>
      <c r="T34" s="65" t="e">
        <f>Depreciation!U48</f>
        <v>#N/A</v>
      </c>
      <c r="U34" s="65" t="e">
        <f>Depreciation!V48</f>
        <v>#N/A</v>
      </c>
      <c r="V34" s="65" t="e">
        <f>Depreciation!W48</f>
        <v>#N/A</v>
      </c>
      <c r="W34" s="65" t="e">
        <f>Depreciation!X48</f>
        <v>#N/A</v>
      </c>
      <c r="X34" s="65" t="e">
        <f>Depreciation!Y48</f>
        <v>#N/A</v>
      </c>
      <c r="Y34" s="65" t="e">
        <f>Depreciation!Z48</f>
        <v>#N/A</v>
      </c>
      <c r="Z34" s="65" t="e">
        <f>Depreciation!AA48</f>
        <v>#N/A</v>
      </c>
      <c r="AA34" s="65" t="e">
        <f>Depreciation!AB48</f>
        <v>#N/A</v>
      </c>
      <c r="AB34" s="65" t="e">
        <f>Depreciation!AC48</f>
        <v>#N/A</v>
      </c>
      <c r="AC34" s="65" t="e">
        <f>Depreciation!AD48</f>
        <v>#N/A</v>
      </c>
      <c r="AD34" s="65" t="e">
        <f>Depreciation!AE48</f>
        <v>#N/A</v>
      </c>
      <c r="AE34" s="65" t="e">
        <f>Depreciation!AF48</f>
        <v>#N/A</v>
      </c>
      <c r="AF34" s="65" t="e">
        <f>Depreciation!AG48</f>
        <v>#N/A</v>
      </c>
      <c r="AG34" s="65" t="e">
        <f>Depreciation!AH48</f>
        <v>#N/A</v>
      </c>
    </row>
    <row r="35" spans="1:33">
      <c r="A35" s="3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</row>
    <row r="36" spans="1:33">
      <c r="A36" s="1" t="s">
        <v>51</v>
      </c>
      <c r="C36" s="124" t="e">
        <f ca="1">C32-C34</f>
        <v>#N/A</v>
      </c>
      <c r="D36" s="124" t="e">
        <f t="shared" ref="D36:X36" ca="1" si="5">D32-D34</f>
        <v>#N/A</v>
      </c>
      <c r="E36" s="124" t="e">
        <f t="shared" ca="1" si="5"/>
        <v>#N/A</v>
      </c>
      <c r="F36" s="124" t="e">
        <f t="shared" ca="1" si="5"/>
        <v>#N/A</v>
      </c>
      <c r="G36" s="124" t="e">
        <f t="shared" ca="1" si="5"/>
        <v>#N/A</v>
      </c>
      <c r="H36" s="124" t="e">
        <f t="shared" ca="1" si="5"/>
        <v>#N/A</v>
      </c>
      <c r="I36" s="124" t="e">
        <f t="shared" ca="1" si="5"/>
        <v>#N/A</v>
      </c>
      <c r="J36" s="124" t="e">
        <f t="shared" ca="1" si="5"/>
        <v>#N/A</v>
      </c>
      <c r="K36" s="124" t="e">
        <f t="shared" ca="1" si="5"/>
        <v>#N/A</v>
      </c>
      <c r="L36" s="124" t="e">
        <f t="shared" ca="1" si="5"/>
        <v>#N/A</v>
      </c>
      <c r="M36" s="124" t="e">
        <f t="shared" ca="1" si="5"/>
        <v>#N/A</v>
      </c>
      <c r="N36" s="124" t="e">
        <f t="shared" ca="1" si="5"/>
        <v>#N/A</v>
      </c>
      <c r="O36" s="124" t="e">
        <f t="shared" ca="1" si="5"/>
        <v>#N/A</v>
      </c>
      <c r="P36" s="124" t="e">
        <f t="shared" ca="1" si="5"/>
        <v>#N/A</v>
      </c>
      <c r="Q36" s="124" t="e">
        <f t="shared" ca="1" si="5"/>
        <v>#N/A</v>
      </c>
      <c r="R36" s="124" t="e">
        <f t="shared" ca="1" si="5"/>
        <v>#N/A</v>
      </c>
      <c r="S36" s="124" t="e">
        <f t="shared" ca="1" si="5"/>
        <v>#N/A</v>
      </c>
      <c r="T36" s="124" t="e">
        <f t="shared" ca="1" si="5"/>
        <v>#N/A</v>
      </c>
      <c r="U36" s="124" t="e">
        <f t="shared" ca="1" si="5"/>
        <v>#N/A</v>
      </c>
      <c r="V36" s="124" t="e">
        <f t="shared" ca="1" si="5"/>
        <v>#N/A</v>
      </c>
      <c r="W36" s="124" t="e">
        <f t="shared" ca="1" si="5"/>
        <v>#N/A</v>
      </c>
      <c r="X36" s="124" t="e">
        <f t="shared" ca="1" si="5"/>
        <v>#N/A</v>
      </c>
      <c r="Y36" s="124" t="e">
        <f t="shared" ref="Y36:AG36" ca="1" si="6">Y32-Y34</f>
        <v>#N/A</v>
      </c>
      <c r="Z36" s="124" t="e">
        <f t="shared" ca="1" si="6"/>
        <v>#N/A</v>
      </c>
      <c r="AA36" s="124" t="e">
        <f t="shared" ca="1" si="6"/>
        <v>#N/A</v>
      </c>
      <c r="AB36" s="124" t="e">
        <f t="shared" ca="1" si="6"/>
        <v>#N/A</v>
      </c>
      <c r="AC36" s="124" t="e">
        <f t="shared" ca="1" si="6"/>
        <v>#N/A</v>
      </c>
      <c r="AD36" s="124" t="e">
        <f t="shared" ca="1" si="6"/>
        <v>#N/A</v>
      </c>
      <c r="AE36" s="124" t="e">
        <f t="shared" ca="1" si="6"/>
        <v>#N/A</v>
      </c>
      <c r="AF36" s="124" t="e">
        <f t="shared" ca="1" si="6"/>
        <v>#N/A</v>
      </c>
      <c r="AG36" s="124" t="e">
        <f t="shared" ca="1" si="6"/>
        <v>#N/A</v>
      </c>
    </row>
    <row r="37" spans="1:33">
      <c r="A37" s="1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</row>
    <row r="38" spans="1:33">
      <c r="A38" s="3" t="s">
        <v>137</v>
      </c>
      <c r="C38" s="65" t="e">
        <f ca="1">Debt!B57</f>
        <v>#N/A</v>
      </c>
      <c r="D38" s="65" t="e">
        <f ca="1">Debt!C57</f>
        <v>#N/A</v>
      </c>
      <c r="E38" s="65" t="e">
        <f ca="1">Debt!D57</f>
        <v>#N/A</v>
      </c>
      <c r="F38" s="65" t="e">
        <f ca="1">Debt!E57</f>
        <v>#N/A</v>
      </c>
      <c r="G38" s="65" t="e">
        <f ca="1">Debt!F57</f>
        <v>#N/A</v>
      </c>
      <c r="H38" s="65" t="e">
        <f ca="1">Debt!G57</f>
        <v>#N/A</v>
      </c>
      <c r="I38" s="65" t="e">
        <f ca="1">Debt!H57</f>
        <v>#N/A</v>
      </c>
      <c r="J38" s="65" t="e">
        <f ca="1">Debt!I57</f>
        <v>#N/A</v>
      </c>
      <c r="K38" s="65" t="e">
        <f ca="1">Debt!J57</f>
        <v>#N/A</v>
      </c>
      <c r="L38" s="65" t="e">
        <f ca="1">Debt!K57</f>
        <v>#N/A</v>
      </c>
      <c r="M38" s="65" t="e">
        <f ca="1">Debt!L57</f>
        <v>#N/A</v>
      </c>
      <c r="N38" s="65" t="e">
        <f ca="1">Debt!M57</f>
        <v>#N/A</v>
      </c>
      <c r="O38" s="65" t="e">
        <f ca="1">Debt!N57</f>
        <v>#N/A</v>
      </c>
      <c r="P38" s="65" t="e">
        <f ca="1">Debt!O57</f>
        <v>#N/A</v>
      </c>
      <c r="Q38" s="65" t="e">
        <f ca="1">Debt!P57</f>
        <v>#N/A</v>
      </c>
      <c r="R38" s="65" t="e">
        <f ca="1">Debt!Q57</f>
        <v>#N/A</v>
      </c>
      <c r="S38" s="65" t="e">
        <f ca="1">Debt!R57</f>
        <v>#N/A</v>
      </c>
      <c r="T38" s="65" t="e">
        <f ca="1">Debt!S57</f>
        <v>#N/A</v>
      </c>
      <c r="U38" s="65" t="e">
        <f ca="1">Debt!T57</f>
        <v>#N/A</v>
      </c>
      <c r="V38" s="65" t="e">
        <f ca="1">Debt!U57</f>
        <v>#N/A</v>
      </c>
      <c r="W38" s="65" t="e">
        <f ca="1">Debt!V57</f>
        <v>#N/A</v>
      </c>
      <c r="X38" s="65" t="e">
        <f ca="1">Debt!W57</f>
        <v>#N/A</v>
      </c>
      <c r="Y38" s="65" t="e">
        <f ca="1">Debt!X57</f>
        <v>#N/A</v>
      </c>
      <c r="Z38" s="65" t="e">
        <f ca="1">Debt!Y57</f>
        <v>#N/A</v>
      </c>
      <c r="AA38" s="65" t="e">
        <f ca="1">Debt!Z57</f>
        <v>#N/A</v>
      </c>
      <c r="AB38" s="65" t="e">
        <f ca="1">Debt!AA57</f>
        <v>#N/A</v>
      </c>
      <c r="AC38" s="65" t="e">
        <f ca="1">Debt!AB57</f>
        <v>#N/A</v>
      </c>
      <c r="AD38" s="65" t="e">
        <f ca="1">Debt!AC57</f>
        <v>#N/A</v>
      </c>
      <c r="AE38" s="65" t="e">
        <f ca="1">Debt!AD57</f>
        <v>#N/A</v>
      </c>
      <c r="AF38" s="65" t="e">
        <f ca="1">Debt!AE57</f>
        <v>#N/A</v>
      </c>
      <c r="AG38" s="65" t="e">
        <f ca="1">Debt!AF57</f>
        <v>#N/A</v>
      </c>
    </row>
    <row r="39" spans="1:33" ht="12" customHeight="1">
      <c r="A39" s="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</row>
    <row r="40" spans="1:33">
      <c r="A40" s="1" t="s">
        <v>211</v>
      </c>
      <c r="C40" s="124" t="e">
        <f ca="1">C36-C38</f>
        <v>#N/A</v>
      </c>
      <c r="D40" s="124" t="e">
        <f t="shared" ref="D40:X40" ca="1" si="7">D36-D38</f>
        <v>#N/A</v>
      </c>
      <c r="E40" s="124" t="e">
        <f t="shared" ca="1" si="7"/>
        <v>#N/A</v>
      </c>
      <c r="F40" s="124" t="e">
        <f t="shared" ca="1" si="7"/>
        <v>#N/A</v>
      </c>
      <c r="G40" s="124" t="e">
        <f t="shared" ca="1" si="7"/>
        <v>#N/A</v>
      </c>
      <c r="H40" s="124" t="e">
        <f t="shared" ca="1" si="7"/>
        <v>#N/A</v>
      </c>
      <c r="I40" s="124" t="e">
        <f t="shared" ca="1" si="7"/>
        <v>#N/A</v>
      </c>
      <c r="J40" s="124" t="e">
        <f t="shared" ca="1" si="7"/>
        <v>#N/A</v>
      </c>
      <c r="K40" s="124" t="e">
        <f t="shared" ca="1" si="7"/>
        <v>#N/A</v>
      </c>
      <c r="L40" s="124" t="e">
        <f t="shared" ca="1" si="7"/>
        <v>#N/A</v>
      </c>
      <c r="M40" s="124" t="e">
        <f t="shared" ca="1" si="7"/>
        <v>#N/A</v>
      </c>
      <c r="N40" s="124" t="e">
        <f t="shared" ca="1" si="7"/>
        <v>#N/A</v>
      </c>
      <c r="O40" s="124" t="e">
        <f t="shared" ca="1" si="7"/>
        <v>#N/A</v>
      </c>
      <c r="P40" s="124" t="e">
        <f t="shared" ca="1" si="7"/>
        <v>#N/A</v>
      </c>
      <c r="Q40" s="124" t="e">
        <f t="shared" ca="1" si="7"/>
        <v>#N/A</v>
      </c>
      <c r="R40" s="124" t="e">
        <f t="shared" ca="1" si="7"/>
        <v>#N/A</v>
      </c>
      <c r="S40" s="124" t="e">
        <f t="shared" ca="1" si="7"/>
        <v>#N/A</v>
      </c>
      <c r="T40" s="124" t="e">
        <f t="shared" ca="1" si="7"/>
        <v>#N/A</v>
      </c>
      <c r="U40" s="124" t="e">
        <f t="shared" ca="1" si="7"/>
        <v>#N/A</v>
      </c>
      <c r="V40" s="124" t="e">
        <f t="shared" ca="1" si="7"/>
        <v>#N/A</v>
      </c>
      <c r="W40" s="124" t="e">
        <f t="shared" ca="1" si="7"/>
        <v>#N/A</v>
      </c>
      <c r="X40" s="124" t="e">
        <f t="shared" ca="1" si="7"/>
        <v>#N/A</v>
      </c>
      <c r="Y40" s="124" t="e">
        <f t="shared" ref="Y40:AG40" ca="1" si="8">Y36-Y38</f>
        <v>#N/A</v>
      </c>
      <c r="Z40" s="124" t="e">
        <f t="shared" ca="1" si="8"/>
        <v>#N/A</v>
      </c>
      <c r="AA40" s="124" t="e">
        <f t="shared" ca="1" si="8"/>
        <v>#N/A</v>
      </c>
      <c r="AB40" s="124" t="e">
        <f t="shared" ca="1" si="8"/>
        <v>#N/A</v>
      </c>
      <c r="AC40" s="124" t="e">
        <f t="shared" ca="1" si="8"/>
        <v>#N/A</v>
      </c>
      <c r="AD40" s="124" t="e">
        <f t="shared" ca="1" si="8"/>
        <v>#N/A</v>
      </c>
      <c r="AE40" s="124" t="e">
        <f t="shared" ca="1" si="8"/>
        <v>#N/A</v>
      </c>
      <c r="AF40" s="124" t="e">
        <f t="shared" ca="1" si="8"/>
        <v>#N/A</v>
      </c>
      <c r="AG40" s="124" t="e">
        <f t="shared" ca="1" si="8"/>
        <v>#N/A</v>
      </c>
    </row>
    <row r="41" spans="1:33">
      <c r="A41" s="1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</row>
    <row r="42" spans="1:33">
      <c r="A42" s="3" t="s">
        <v>52</v>
      </c>
      <c r="B42" s="328">
        <f>Assumptions!N51</f>
        <v>0</v>
      </c>
      <c r="C42" s="74" t="e">
        <f ca="1">-C40*$B$42</f>
        <v>#N/A</v>
      </c>
      <c r="D42" s="74" t="e">
        <f t="shared" ref="D42:AG42" ca="1" si="9">-D40*$B$42</f>
        <v>#N/A</v>
      </c>
      <c r="E42" s="74" t="e">
        <f t="shared" ca="1" si="9"/>
        <v>#N/A</v>
      </c>
      <c r="F42" s="74" t="e">
        <f t="shared" ca="1" si="9"/>
        <v>#N/A</v>
      </c>
      <c r="G42" s="74" t="e">
        <f t="shared" ca="1" si="9"/>
        <v>#N/A</v>
      </c>
      <c r="H42" s="74" t="e">
        <f t="shared" ca="1" si="9"/>
        <v>#N/A</v>
      </c>
      <c r="I42" s="74" t="e">
        <f t="shared" ca="1" si="9"/>
        <v>#N/A</v>
      </c>
      <c r="J42" s="74" t="e">
        <f t="shared" ca="1" si="9"/>
        <v>#N/A</v>
      </c>
      <c r="K42" s="74" t="e">
        <f t="shared" ca="1" si="9"/>
        <v>#N/A</v>
      </c>
      <c r="L42" s="74" t="e">
        <f t="shared" ca="1" si="9"/>
        <v>#N/A</v>
      </c>
      <c r="M42" s="74" t="e">
        <f t="shared" ca="1" si="9"/>
        <v>#N/A</v>
      </c>
      <c r="N42" s="74" t="e">
        <f t="shared" ca="1" si="9"/>
        <v>#N/A</v>
      </c>
      <c r="O42" s="74" t="e">
        <f t="shared" ca="1" si="9"/>
        <v>#N/A</v>
      </c>
      <c r="P42" s="74" t="e">
        <f t="shared" ca="1" si="9"/>
        <v>#N/A</v>
      </c>
      <c r="Q42" s="74" t="e">
        <f t="shared" ca="1" si="9"/>
        <v>#N/A</v>
      </c>
      <c r="R42" s="74" t="e">
        <f t="shared" ca="1" si="9"/>
        <v>#N/A</v>
      </c>
      <c r="S42" s="74" t="e">
        <f t="shared" ca="1" si="9"/>
        <v>#N/A</v>
      </c>
      <c r="T42" s="74" t="e">
        <f t="shared" ca="1" si="9"/>
        <v>#N/A</v>
      </c>
      <c r="U42" s="74" t="e">
        <f t="shared" ca="1" si="9"/>
        <v>#N/A</v>
      </c>
      <c r="V42" s="74" t="e">
        <f t="shared" ca="1" si="9"/>
        <v>#N/A</v>
      </c>
      <c r="W42" s="74" t="e">
        <f t="shared" ca="1" si="9"/>
        <v>#N/A</v>
      </c>
      <c r="X42" s="74" t="e">
        <f t="shared" ca="1" si="9"/>
        <v>#N/A</v>
      </c>
      <c r="Y42" s="74" t="e">
        <f t="shared" ca="1" si="9"/>
        <v>#N/A</v>
      </c>
      <c r="Z42" s="74" t="e">
        <f t="shared" ca="1" si="9"/>
        <v>#N/A</v>
      </c>
      <c r="AA42" s="74" t="e">
        <f t="shared" ca="1" si="9"/>
        <v>#N/A</v>
      </c>
      <c r="AB42" s="74" t="e">
        <f t="shared" ca="1" si="9"/>
        <v>#N/A</v>
      </c>
      <c r="AC42" s="74" t="e">
        <f t="shared" ca="1" si="9"/>
        <v>#N/A</v>
      </c>
      <c r="AD42" s="74" t="e">
        <f t="shared" ca="1" si="9"/>
        <v>#N/A</v>
      </c>
      <c r="AE42" s="74" t="e">
        <f t="shared" ca="1" si="9"/>
        <v>#N/A</v>
      </c>
      <c r="AF42" s="74" t="e">
        <f t="shared" ca="1" si="9"/>
        <v>#N/A</v>
      </c>
      <c r="AG42" s="74" t="e">
        <f t="shared" ca="1" si="9"/>
        <v>#N/A</v>
      </c>
    </row>
    <row r="43" spans="1:33">
      <c r="A43" s="3" t="s">
        <v>53</v>
      </c>
      <c r="B43" s="328">
        <f>Assumptions!N50</f>
        <v>0.35</v>
      </c>
      <c r="C43" s="74" t="e">
        <f t="shared" ref="C43:AG43" ca="1" si="10">(C40+C42)*-$B$43</f>
        <v>#N/A</v>
      </c>
      <c r="D43" s="74" t="e">
        <f t="shared" ca="1" si="10"/>
        <v>#N/A</v>
      </c>
      <c r="E43" s="74" t="e">
        <f t="shared" ca="1" si="10"/>
        <v>#N/A</v>
      </c>
      <c r="F43" s="74" t="e">
        <f t="shared" ca="1" si="10"/>
        <v>#N/A</v>
      </c>
      <c r="G43" s="74" t="e">
        <f t="shared" ca="1" si="10"/>
        <v>#N/A</v>
      </c>
      <c r="H43" s="74" t="e">
        <f t="shared" ca="1" si="10"/>
        <v>#N/A</v>
      </c>
      <c r="I43" s="74" t="e">
        <f t="shared" ca="1" si="10"/>
        <v>#N/A</v>
      </c>
      <c r="J43" s="74" t="e">
        <f t="shared" ca="1" si="10"/>
        <v>#N/A</v>
      </c>
      <c r="K43" s="74" t="e">
        <f t="shared" ca="1" si="10"/>
        <v>#N/A</v>
      </c>
      <c r="L43" s="74" t="e">
        <f t="shared" ca="1" si="10"/>
        <v>#N/A</v>
      </c>
      <c r="M43" s="74" t="e">
        <f t="shared" ca="1" si="10"/>
        <v>#N/A</v>
      </c>
      <c r="N43" s="74" t="e">
        <f t="shared" ca="1" si="10"/>
        <v>#N/A</v>
      </c>
      <c r="O43" s="74" t="e">
        <f t="shared" ca="1" si="10"/>
        <v>#N/A</v>
      </c>
      <c r="P43" s="74" t="e">
        <f t="shared" ca="1" si="10"/>
        <v>#N/A</v>
      </c>
      <c r="Q43" s="74" t="e">
        <f t="shared" ca="1" si="10"/>
        <v>#N/A</v>
      </c>
      <c r="R43" s="74" t="e">
        <f t="shared" ca="1" si="10"/>
        <v>#N/A</v>
      </c>
      <c r="S43" s="74" t="e">
        <f t="shared" ca="1" si="10"/>
        <v>#N/A</v>
      </c>
      <c r="T43" s="74" t="e">
        <f t="shared" ca="1" si="10"/>
        <v>#N/A</v>
      </c>
      <c r="U43" s="74" t="e">
        <f t="shared" ca="1" si="10"/>
        <v>#N/A</v>
      </c>
      <c r="V43" s="74" t="e">
        <f t="shared" ca="1" si="10"/>
        <v>#N/A</v>
      </c>
      <c r="W43" s="74" t="e">
        <f t="shared" ca="1" si="10"/>
        <v>#N/A</v>
      </c>
      <c r="X43" s="74" t="e">
        <f t="shared" ca="1" si="10"/>
        <v>#N/A</v>
      </c>
      <c r="Y43" s="74" t="e">
        <f t="shared" ca="1" si="10"/>
        <v>#N/A</v>
      </c>
      <c r="Z43" s="74" t="e">
        <f t="shared" ca="1" si="10"/>
        <v>#N/A</v>
      </c>
      <c r="AA43" s="74" t="e">
        <f t="shared" ca="1" si="10"/>
        <v>#N/A</v>
      </c>
      <c r="AB43" s="74" t="e">
        <f t="shared" ca="1" si="10"/>
        <v>#N/A</v>
      </c>
      <c r="AC43" s="74" t="e">
        <f t="shared" ca="1" si="10"/>
        <v>#N/A</v>
      </c>
      <c r="AD43" s="74" t="e">
        <f t="shared" ca="1" si="10"/>
        <v>#N/A</v>
      </c>
      <c r="AE43" s="74" t="e">
        <f t="shared" ca="1" si="10"/>
        <v>#N/A</v>
      </c>
      <c r="AF43" s="74" t="e">
        <f t="shared" ca="1" si="10"/>
        <v>#N/A</v>
      </c>
      <c r="AG43" s="74" t="e">
        <f t="shared" ca="1" si="10"/>
        <v>#N/A</v>
      </c>
    </row>
    <row r="44" spans="1:33">
      <c r="A44" s="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</row>
    <row r="45" spans="1:33" ht="15.75">
      <c r="A45" s="54" t="s">
        <v>54</v>
      </c>
      <c r="B45" s="46"/>
      <c r="C45" s="351" t="e">
        <f t="shared" ref="C45:AG45" ca="1" si="11">C40+C42+C43</f>
        <v>#N/A</v>
      </c>
      <c r="D45" s="351" t="e">
        <f t="shared" ca="1" si="11"/>
        <v>#N/A</v>
      </c>
      <c r="E45" s="351" t="e">
        <f t="shared" ca="1" si="11"/>
        <v>#N/A</v>
      </c>
      <c r="F45" s="351" t="e">
        <f t="shared" ca="1" si="11"/>
        <v>#N/A</v>
      </c>
      <c r="G45" s="351" t="e">
        <f t="shared" ca="1" si="11"/>
        <v>#N/A</v>
      </c>
      <c r="H45" s="351" t="e">
        <f t="shared" ca="1" si="11"/>
        <v>#N/A</v>
      </c>
      <c r="I45" s="351" t="e">
        <f t="shared" ca="1" si="11"/>
        <v>#N/A</v>
      </c>
      <c r="J45" s="351" t="e">
        <f t="shared" ca="1" si="11"/>
        <v>#N/A</v>
      </c>
      <c r="K45" s="351" t="e">
        <f t="shared" ca="1" si="11"/>
        <v>#N/A</v>
      </c>
      <c r="L45" s="351" t="e">
        <f t="shared" ca="1" si="11"/>
        <v>#N/A</v>
      </c>
      <c r="M45" s="351" t="e">
        <f t="shared" ca="1" si="11"/>
        <v>#N/A</v>
      </c>
      <c r="N45" s="351" t="e">
        <f t="shared" ca="1" si="11"/>
        <v>#N/A</v>
      </c>
      <c r="O45" s="351" t="e">
        <f t="shared" ca="1" si="11"/>
        <v>#N/A</v>
      </c>
      <c r="P45" s="351" t="e">
        <f t="shared" ca="1" si="11"/>
        <v>#N/A</v>
      </c>
      <c r="Q45" s="351" t="e">
        <f t="shared" ca="1" si="11"/>
        <v>#N/A</v>
      </c>
      <c r="R45" s="351" t="e">
        <f t="shared" ca="1" si="11"/>
        <v>#N/A</v>
      </c>
      <c r="S45" s="351" t="e">
        <f t="shared" ca="1" si="11"/>
        <v>#N/A</v>
      </c>
      <c r="T45" s="351" t="e">
        <f t="shared" ca="1" si="11"/>
        <v>#N/A</v>
      </c>
      <c r="U45" s="351" t="e">
        <f t="shared" ca="1" si="11"/>
        <v>#N/A</v>
      </c>
      <c r="V45" s="351" t="e">
        <f t="shared" ca="1" si="11"/>
        <v>#N/A</v>
      </c>
      <c r="W45" s="351" t="e">
        <f t="shared" ca="1" si="11"/>
        <v>#N/A</v>
      </c>
      <c r="X45" s="351" t="e">
        <f t="shared" ca="1" si="11"/>
        <v>#N/A</v>
      </c>
      <c r="Y45" s="351" t="e">
        <f t="shared" ca="1" si="11"/>
        <v>#N/A</v>
      </c>
      <c r="Z45" s="351" t="e">
        <f t="shared" ca="1" si="11"/>
        <v>#N/A</v>
      </c>
      <c r="AA45" s="351" t="e">
        <f t="shared" ca="1" si="11"/>
        <v>#N/A</v>
      </c>
      <c r="AB45" s="351" t="e">
        <f t="shared" ca="1" si="11"/>
        <v>#N/A</v>
      </c>
      <c r="AC45" s="351" t="e">
        <f t="shared" ca="1" si="11"/>
        <v>#N/A</v>
      </c>
      <c r="AD45" s="351" t="e">
        <f t="shared" ca="1" si="11"/>
        <v>#N/A</v>
      </c>
      <c r="AE45" s="351" t="e">
        <f t="shared" ca="1" si="11"/>
        <v>#N/A</v>
      </c>
      <c r="AF45" s="351" t="e">
        <f t="shared" ca="1" si="11"/>
        <v>#N/A</v>
      </c>
      <c r="AG45" s="351" t="e">
        <f t="shared" ca="1" si="11"/>
        <v>#N/A</v>
      </c>
    </row>
    <row r="48" spans="1:33"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</row>
    <row r="49" spans="1:33">
      <c r="A49" s="11"/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2"/>
      <c r="P49" s="352"/>
      <c r="Q49" s="352"/>
      <c r="R49" s="352"/>
      <c r="S49" s="352"/>
      <c r="T49" s="352"/>
      <c r="U49" s="352"/>
      <c r="V49" s="352"/>
      <c r="W49" s="352"/>
      <c r="X49" s="352"/>
      <c r="Y49" s="352"/>
      <c r="Z49" s="352"/>
      <c r="AA49" s="352"/>
      <c r="AB49" s="352"/>
      <c r="AC49" s="352"/>
      <c r="AD49" s="352"/>
      <c r="AE49" s="352"/>
      <c r="AF49" s="352"/>
      <c r="AG49" s="352"/>
    </row>
    <row r="50" spans="1:33">
      <c r="A50" s="11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352"/>
      <c r="T50" s="352"/>
      <c r="U50" s="352"/>
      <c r="V50" s="352"/>
      <c r="W50" s="352"/>
      <c r="X50" s="352"/>
      <c r="Y50" s="352"/>
      <c r="Z50" s="352"/>
      <c r="AA50" s="352"/>
      <c r="AB50" s="352"/>
      <c r="AC50" s="352"/>
      <c r="AD50" s="352"/>
      <c r="AE50" s="352"/>
      <c r="AF50" s="352"/>
      <c r="AG50" s="352"/>
    </row>
    <row r="51" spans="1:33">
      <c r="C51" s="352"/>
      <c r="D51" s="352"/>
      <c r="E51" s="352"/>
      <c r="F51" s="352"/>
      <c r="G51" s="352"/>
    </row>
    <row r="52" spans="1:33">
      <c r="C52" s="6"/>
      <c r="D52" s="6"/>
      <c r="E52" s="6"/>
      <c r="F52" s="6"/>
      <c r="G52" s="6"/>
    </row>
    <row r="53" spans="1:33">
      <c r="C53" s="352"/>
      <c r="D53" s="352"/>
      <c r="E53" s="352"/>
      <c r="F53" s="352"/>
      <c r="G53" s="352"/>
    </row>
    <row r="54" spans="1:33">
      <c r="C54" s="352"/>
      <c r="D54" s="352"/>
      <c r="E54" s="352"/>
      <c r="F54" s="352"/>
      <c r="G54" s="352"/>
    </row>
    <row r="55" spans="1:33">
      <c r="C55" s="352"/>
      <c r="D55" s="352"/>
      <c r="E55" s="352"/>
      <c r="F55" s="352"/>
      <c r="G55" s="352"/>
    </row>
    <row r="56" spans="1:33">
      <c r="C56" s="352"/>
      <c r="D56" s="352"/>
      <c r="E56" s="352"/>
      <c r="F56" s="352"/>
      <c r="G56" s="352"/>
    </row>
    <row r="57" spans="1:33">
      <c r="C57" s="352"/>
      <c r="D57" s="352"/>
      <c r="E57" s="352"/>
      <c r="F57" s="352"/>
      <c r="G57" s="352"/>
    </row>
    <row r="58" spans="1:33">
      <c r="C58" s="6"/>
      <c r="D58" s="6"/>
      <c r="E58" s="6"/>
      <c r="F58" s="6"/>
      <c r="G58" s="6"/>
    </row>
    <row r="59" spans="1:33">
      <c r="C59" s="6"/>
      <c r="D59" s="6"/>
      <c r="E59" s="6"/>
      <c r="F59" s="6"/>
      <c r="G59" s="6"/>
    </row>
    <row r="60" spans="1:33">
      <c r="C60" s="353"/>
      <c r="D60" s="353"/>
      <c r="E60" s="353"/>
      <c r="F60" s="353"/>
      <c r="G60" s="6"/>
    </row>
    <row r="61" spans="1:33">
      <c r="C61" s="6"/>
      <c r="D61" s="6"/>
      <c r="E61" s="6"/>
      <c r="F61" s="6"/>
      <c r="G61" s="6"/>
    </row>
    <row r="62" spans="1:33">
      <c r="C62" s="353"/>
      <c r="D62" s="6"/>
      <c r="E62" s="6"/>
      <c r="F62" s="6"/>
      <c r="G62" s="6"/>
    </row>
    <row r="63" spans="1:33">
      <c r="C63" s="6"/>
      <c r="D63" s="6"/>
      <c r="E63" s="6"/>
      <c r="F63" s="6"/>
      <c r="G63" s="6"/>
    </row>
    <row r="64" spans="1:33">
      <c r="C64" s="6"/>
      <c r="D64" s="6"/>
      <c r="E64" s="6"/>
      <c r="F64" s="6"/>
      <c r="G64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D34" sqref="D34"/>
    </sheetView>
  </sheetViews>
  <sheetFormatPr defaultRowHeight="12.75"/>
  <cols>
    <col min="1" max="1" width="34.42578125" customWidth="1"/>
    <col min="2" max="2" width="11.28515625" bestFit="1" customWidth="1"/>
    <col min="3" max="3" width="11.28515625" customWidth="1"/>
    <col min="4" max="24" width="12.5703125" customWidth="1"/>
    <col min="25" max="25" width="13.28515625" bestFit="1" customWidth="1"/>
    <col min="26" max="27" width="13.28515625" style="88" customWidth="1"/>
    <col min="28" max="34" width="13.28515625" customWidth="1"/>
  </cols>
  <sheetData>
    <row r="2" spans="1:60" ht="18.75">
      <c r="A2" s="87" t="str">
        <f>Assumptions!A3</f>
        <v>PROJECT NAME:</v>
      </c>
    </row>
    <row r="4" spans="1:60" ht="18.75">
      <c r="A4" s="60" t="s">
        <v>139</v>
      </c>
      <c r="B4" s="8"/>
      <c r="C4" s="8"/>
    </row>
    <row r="6" spans="1:60">
      <c r="C6" s="301">
        <v>0</v>
      </c>
      <c r="D6" s="210">
        <f>'Price_Technical Assumption'!D7</f>
        <v>0.66666666666666663</v>
      </c>
      <c r="E6" s="210">
        <f>'Price_Technical Assumption'!E7</f>
        <v>1.6666666666666665</v>
      </c>
      <c r="F6" s="210">
        <f>'Price_Technical Assumption'!F7</f>
        <v>2.6666666666666665</v>
      </c>
      <c r="G6" s="210">
        <f>'Price_Technical Assumption'!G7</f>
        <v>3.6666666666666665</v>
      </c>
      <c r="H6" s="210">
        <f>'Price_Technical Assumption'!H7</f>
        <v>4.6666666666666661</v>
      </c>
      <c r="I6" s="210">
        <f>'Price_Technical Assumption'!I7</f>
        <v>5.6666666666666661</v>
      </c>
      <c r="J6" s="210">
        <f>'Price_Technical Assumption'!J7</f>
        <v>6.6666666666666661</v>
      </c>
      <c r="K6" s="210">
        <f>'Price_Technical Assumption'!K7</f>
        <v>7.6666666666666661</v>
      </c>
      <c r="L6" s="210">
        <f>'Price_Technical Assumption'!L7</f>
        <v>8.6666666666666661</v>
      </c>
      <c r="M6" s="210">
        <f>'Price_Technical Assumption'!M7</f>
        <v>9.6666666666666661</v>
      </c>
      <c r="N6" s="210">
        <f>'Price_Technical Assumption'!N7</f>
        <v>10.666666666666666</v>
      </c>
      <c r="O6" s="210">
        <f>'Price_Technical Assumption'!O7</f>
        <v>11.666666666666666</v>
      </c>
      <c r="P6" s="210">
        <f>'Price_Technical Assumption'!P7</f>
        <v>12.666666666666666</v>
      </c>
      <c r="Q6" s="210">
        <f>'Price_Technical Assumption'!Q7</f>
        <v>13.666666666666666</v>
      </c>
      <c r="R6" s="210">
        <f>'Price_Technical Assumption'!R7</f>
        <v>14.666666666666666</v>
      </c>
      <c r="S6" s="210">
        <f>'Price_Technical Assumption'!S7</f>
        <v>15.666666666666666</v>
      </c>
      <c r="T6" s="210">
        <f>'Price_Technical Assumption'!T7</f>
        <v>16.666666666666664</v>
      </c>
      <c r="U6" s="210">
        <f>'Price_Technical Assumption'!U7</f>
        <v>17.666666666666664</v>
      </c>
      <c r="V6" s="210">
        <f>'Price_Technical Assumption'!V7</f>
        <v>18.666666666666664</v>
      </c>
      <c r="W6" s="210">
        <f>'Price_Technical Assumption'!W7</f>
        <v>19.666666666666664</v>
      </c>
      <c r="X6" s="210">
        <f>'Price_Technical Assumption'!X7</f>
        <v>20.666666666666664</v>
      </c>
      <c r="Y6" s="210">
        <f>'Price_Technical Assumption'!Y7</f>
        <v>21.666666666666664</v>
      </c>
      <c r="Z6" s="210">
        <f>'Price_Technical Assumption'!Z7</f>
        <v>22.666666666666664</v>
      </c>
      <c r="AA6" s="210">
        <f>'Price_Technical Assumption'!AA7</f>
        <v>23.666666666666664</v>
      </c>
      <c r="AB6" s="210">
        <f>'Price_Technical Assumption'!AB7</f>
        <v>24.666666666666664</v>
      </c>
      <c r="AC6" s="210">
        <f>'Price_Technical Assumption'!AC7</f>
        <v>25.666666666666664</v>
      </c>
      <c r="AD6" s="210">
        <f>'Price_Technical Assumption'!AD7</f>
        <v>26.666666666666664</v>
      </c>
      <c r="AE6" s="210">
        <f>'Price_Technical Assumption'!AE7</f>
        <v>27.666666666666664</v>
      </c>
      <c r="AF6" s="210">
        <f>'Price_Technical Assumption'!AF7</f>
        <v>28.666666666666664</v>
      </c>
      <c r="AG6" s="210">
        <f>'Price_Technical Assumption'!AG7</f>
        <v>29.666666666666664</v>
      </c>
      <c r="AH6" s="210">
        <f>'Price_Technical Assumption'!AH7</f>
        <v>30.666666666666664</v>
      </c>
    </row>
    <row r="7" spans="1:60" s="6" customFormat="1" ht="13.5" thickBot="1">
      <c r="A7" s="123" t="s">
        <v>40</v>
      </c>
      <c r="B7" s="7"/>
      <c r="C7" s="302" t="s">
        <v>254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03"/>
      <c r="D8" s="211">
        <f>Assumptions!H17+365.25*Assumptions!H18/12</f>
        <v>37255.5</v>
      </c>
      <c r="E8" s="211">
        <f t="shared" ref="E8:AH8" si="0">D8+365.25</f>
        <v>37620.75</v>
      </c>
      <c r="F8" s="211">
        <f t="shared" si="0"/>
        <v>37986</v>
      </c>
      <c r="G8" s="211">
        <f t="shared" si="0"/>
        <v>38351.25</v>
      </c>
      <c r="H8" s="211">
        <f t="shared" si="0"/>
        <v>38716.5</v>
      </c>
      <c r="I8" s="211">
        <f t="shared" si="0"/>
        <v>39081.75</v>
      </c>
      <c r="J8" s="211">
        <f t="shared" si="0"/>
        <v>39447</v>
      </c>
      <c r="K8" s="211">
        <f t="shared" si="0"/>
        <v>39812.25</v>
      </c>
      <c r="L8" s="211">
        <f t="shared" si="0"/>
        <v>40177.5</v>
      </c>
      <c r="M8" s="211">
        <f t="shared" si="0"/>
        <v>40542.75</v>
      </c>
      <c r="N8" s="211">
        <f t="shared" si="0"/>
        <v>40908</v>
      </c>
      <c r="O8" s="211">
        <f t="shared" si="0"/>
        <v>41273.25</v>
      </c>
      <c r="P8" s="211">
        <f t="shared" si="0"/>
        <v>41638.5</v>
      </c>
      <c r="Q8" s="211">
        <f t="shared" si="0"/>
        <v>42003.75</v>
      </c>
      <c r="R8" s="211">
        <f t="shared" si="0"/>
        <v>42369</v>
      </c>
      <c r="S8" s="211">
        <f t="shared" si="0"/>
        <v>42734.25</v>
      </c>
      <c r="T8" s="211">
        <f t="shared" si="0"/>
        <v>43099.5</v>
      </c>
      <c r="U8" s="211">
        <f t="shared" si="0"/>
        <v>43464.75</v>
      </c>
      <c r="V8" s="211">
        <f t="shared" si="0"/>
        <v>43830</v>
      </c>
      <c r="W8" s="211">
        <f t="shared" si="0"/>
        <v>44195.25</v>
      </c>
      <c r="X8" s="211">
        <f t="shared" si="0"/>
        <v>44560.5</v>
      </c>
      <c r="Y8" s="211">
        <f t="shared" si="0"/>
        <v>44925.75</v>
      </c>
      <c r="Z8" s="211">
        <f t="shared" si="0"/>
        <v>45291</v>
      </c>
      <c r="AA8" s="211">
        <f t="shared" si="0"/>
        <v>45656.25</v>
      </c>
      <c r="AB8" s="211">
        <f t="shared" si="0"/>
        <v>46021.5</v>
      </c>
      <c r="AC8" s="211">
        <f t="shared" si="0"/>
        <v>46386.75</v>
      </c>
      <c r="AD8" s="211">
        <f t="shared" si="0"/>
        <v>46752</v>
      </c>
      <c r="AE8" s="211">
        <f t="shared" si="0"/>
        <v>47117.25</v>
      </c>
      <c r="AF8" s="211">
        <f t="shared" si="0"/>
        <v>47482.5</v>
      </c>
      <c r="AG8" s="211">
        <f t="shared" si="0"/>
        <v>47847.75</v>
      </c>
      <c r="AH8" s="211">
        <f t="shared" si="0"/>
        <v>48213</v>
      </c>
    </row>
    <row r="9" spans="1:60">
      <c r="A9" s="1" t="s">
        <v>140</v>
      </c>
      <c r="B9" s="12"/>
      <c r="C9" s="304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04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141</v>
      </c>
      <c r="B11" s="12"/>
      <c r="C11" s="305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294"/>
      <c r="AJ11" s="294"/>
      <c r="AK11" s="294"/>
      <c r="AL11" s="294"/>
      <c r="AM11" s="294"/>
      <c r="AN11" s="294"/>
      <c r="AO11" s="294"/>
      <c r="AP11" s="294"/>
      <c r="AQ11" s="294"/>
      <c r="AR11" s="294"/>
      <c r="AS11" s="294"/>
      <c r="AT11" s="294"/>
      <c r="AU11" s="294"/>
      <c r="AV11" s="294"/>
      <c r="AW11" s="294"/>
      <c r="AX11" s="294"/>
      <c r="AY11" s="294"/>
      <c r="AZ11" s="294"/>
      <c r="BA11" s="294"/>
      <c r="BB11" s="294"/>
      <c r="BC11" s="294"/>
      <c r="BD11" s="294"/>
      <c r="BE11" s="294"/>
      <c r="BF11" s="294"/>
      <c r="BG11" s="294"/>
      <c r="BH11" s="294"/>
    </row>
    <row r="12" spans="1:60">
      <c r="A12" s="23" t="s">
        <v>142</v>
      </c>
      <c r="B12" s="12"/>
      <c r="C12" s="305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294"/>
      <c r="AJ12" s="294"/>
      <c r="AK12" s="294"/>
      <c r="AL12" s="294"/>
      <c r="AM12" s="294"/>
      <c r="AN12" s="294"/>
      <c r="AO12" s="294"/>
      <c r="AP12" s="294"/>
      <c r="AQ12" s="294"/>
      <c r="AR12" s="294"/>
      <c r="AS12" s="294"/>
      <c r="AT12" s="294"/>
      <c r="AU12" s="294"/>
      <c r="AV12" s="294"/>
      <c r="AW12" s="294"/>
      <c r="AX12" s="294"/>
      <c r="AY12" s="294"/>
      <c r="AZ12" s="294"/>
      <c r="BA12" s="294"/>
      <c r="BB12" s="294"/>
      <c r="BC12" s="294"/>
      <c r="BD12" s="294"/>
      <c r="BE12" s="294"/>
      <c r="BF12" s="294"/>
      <c r="BG12" s="294"/>
      <c r="BH12" s="294"/>
    </row>
    <row r="13" spans="1:60">
      <c r="A13" s="23" t="s">
        <v>143</v>
      </c>
      <c r="B13" s="12"/>
      <c r="C13" s="305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294"/>
      <c r="AJ13" s="294"/>
      <c r="AK13" s="294"/>
      <c r="AL13" s="294"/>
      <c r="AM13" s="294"/>
      <c r="AN13" s="294"/>
      <c r="AO13" s="294"/>
      <c r="AP13" s="294"/>
      <c r="AQ13" s="294"/>
      <c r="AR13" s="294"/>
      <c r="AS13" s="294"/>
      <c r="AT13" s="294"/>
      <c r="AU13" s="294"/>
      <c r="AV13" s="294"/>
      <c r="AW13" s="294"/>
      <c r="AX13" s="294"/>
      <c r="AY13" s="294"/>
      <c r="AZ13" s="294"/>
      <c r="BA13" s="294"/>
      <c r="BB13" s="294"/>
      <c r="BC13" s="294"/>
      <c r="BD13" s="294"/>
      <c r="BE13" s="294"/>
      <c r="BF13" s="294"/>
      <c r="BG13" s="294"/>
      <c r="BH13" s="294"/>
    </row>
    <row r="14" spans="1:60">
      <c r="A14" s="23" t="s">
        <v>144</v>
      </c>
      <c r="B14" s="12"/>
      <c r="C14" s="305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294"/>
      <c r="AJ14" s="294"/>
      <c r="AK14" s="294"/>
      <c r="AL14" s="294"/>
      <c r="AM14" s="294"/>
      <c r="AN14" s="294"/>
      <c r="AO14" s="294"/>
      <c r="AP14" s="294"/>
      <c r="AQ14" s="294"/>
      <c r="AR14" s="294"/>
      <c r="AS14" s="294"/>
      <c r="AT14" s="294"/>
      <c r="AU14" s="294"/>
      <c r="AV14" s="294"/>
      <c r="AW14" s="294"/>
      <c r="AX14" s="294"/>
      <c r="AY14" s="294"/>
      <c r="AZ14" s="294"/>
      <c r="BA14" s="294"/>
      <c r="BB14" s="294"/>
      <c r="BC14" s="294"/>
      <c r="BD14" s="294"/>
      <c r="BE14" s="294"/>
      <c r="BF14" s="294"/>
      <c r="BG14" s="294"/>
      <c r="BH14" s="294"/>
    </row>
    <row r="15" spans="1:60">
      <c r="A15" s="293" t="s">
        <v>145</v>
      </c>
      <c r="B15" s="58"/>
      <c r="C15" s="306">
        <v>0</v>
      </c>
      <c r="D15" s="293">
        <v>0</v>
      </c>
      <c r="E15" s="293">
        <v>0</v>
      </c>
      <c r="F15" s="293">
        <v>0</v>
      </c>
      <c r="G15" s="293">
        <v>0</v>
      </c>
      <c r="H15" s="293">
        <v>0</v>
      </c>
      <c r="I15" s="293">
        <v>0</v>
      </c>
      <c r="J15" s="293">
        <v>0</v>
      </c>
      <c r="K15" s="293">
        <v>0</v>
      </c>
      <c r="L15" s="293">
        <v>0</v>
      </c>
      <c r="M15" s="293">
        <v>0</v>
      </c>
      <c r="N15" s="293">
        <v>0</v>
      </c>
      <c r="O15" s="293">
        <v>0</v>
      </c>
      <c r="P15" s="293">
        <v>0</v>
      </c>
      <c r="Q15" s="293">
        <v>0</v>
      </c>
      <c r="R15" s="293">
        <v>0</v>
      </c>
      <c r="S15" s="293">
        <v>0</v>
      </c>
      <c r="T15" s="293">
        <v>0</v>
      </c>
      <c r="U15" s="293">
        <v>0</v>
      </c>
      <c r="V15" s="293">
        <v>0</v>
      </c>
      <c r="W15" s="293">
        <v>0</v>
      </c>
      <c r="X15" s="293">
        <v>0</v>
      </c>
      <c r="Y15" s="293">
        <v>0</v>
      </c>
      <c r="Z15" s="293">
        <v>0</v>
      </c>
      <c r="AA15" s="293">
        <v>0</v>
      </c>
      <c r="AB15" s="293">
        <v>0</v>
      </c>
      <c r="AC15" s="293">
        <v>0</v>
      </c>
      <c r="AD15" s="293">
        <v>0</v>
      </c>
      <c r="AE15" s="293">
        <v>0</v>
      </c>
      <c r="AF15" s="293">
        <v>0</v>
      </c>
      <c r="AG15" s="293">
        <v>0</v>
      </c>
      <c r="AH15" s="293">
        <v>0</v>
      </c>
      <c r="AI15" s="294"/>
      <c r="AJ15" s="294"/>
      <c r="AK15" s="294"/>
      <c r="AL15" s="294"/>
      <c r="AM15" s="294"/>
      <c r="AN15" s="294"/>
      <c r="AO15" s="294"/>
      <c r="AP15" s="294"/>
      <c r="AQ15" s="294"/>
      <c r="AR15" s="294"/>
      <c r="AS15" s="294"/>
      <c r="AT15" s="294"/>
      <c r="AU15" s="294"/>
      <c r="AV15" s="294"/>
      <c r="AW15" s="294"/>
      <c r="AX15" s="294"/>
      <c r="AY15" s="294"/>
      <c r="AZ15" s="294"/>
      <c r="BA15" s="294"/>
      <c r="BB15" s="294"/>
      <c r="BC15" s="294"/>
      <c r="BD15" s="294"/>
      <c r="BE15" s="294"/>
      <c r="BF15" s="294"/>
      <c r="BG15" s="294"/>
      <c r="BH15" s="294"/>
    </row>
    <row r="16" spans="1:60">
      <c r="A16" s="23" t="s">
        <v>146</v>
      </c>
      <c r="B16" s="12"/>
      <c r="C16" s="305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294"/>
      <c r="AJ16" s="294"/>
      <c r="AK16" s="294"/>
      <c r="AL16" s="294"/>
      <c r="AM16" s="294"/>
      <c r="AN16" s="294"/>
      <c r="AO16" s="294"/>
      <c r="AP16" s="294"/>
      <c r="AQ16" s="294"/>
      <c r="AR16" s="294"/>
      <c r="AS16" s="294"/>
      <c r="AT16" s="294"/>
      <c r="AU16" s="294"/>
      <c r="AV16" s="294"/>
      <c r="AW16" s="294"/>
      <c r="AX16" s="294"/>
      <c r="AY16" s="294"/>
      <c r="AZ16" s="294"/>
      <c r="BA16" s="294"/>
      <c r="BB16" s="294"/>
      <c r="BC16" s="294"/>
      <c r="BD16" s="294"/>
      <c r="BE16" s="294"/>
      <c r="BF16" s="294"/>
      <c r="BG16" s="294"/>
      <c r="BH16" s="294"/>
    </row>
    <row r="17" spans="1:60">
      <c r="A17" s="13"/>
      <c r="B17" s="12"/>
      <c r="C17" s="305"/>
      <c r="D17" s="18"/>
      <c r="E17" s="18"/>
      <c r="F17" s="294"/>
      <c r="G17" s="294"/>
      <c r="H17" s="294"/>
      <c r="I17" s="294"/>
      <c r="J17" s="294"/>
      <c r="K17" s="294"/>
      <c r="L17" s="294"/>
      <c r="M17" s="294"/>
      <c r="N17" s="294"/>
      <c r="O17" s="294"/>
      <c r="P17" s="294"/>
      <c r="Q17" s="294"/>
      <c r="R17" s="294"/>
      <c r="S17" s="294"/>
      <c r="T17" s="294"/>
      <c r="U17" s="294"/>
      <c r="V17" s="294"/>
      <c r="W17" s="294"/>
      <c r="X17" s="294"/>
      <c r="Y17" s="294"/>
      <c r="Z17" s="151"/>
      <c r="AA17" s="151"/>
      <c r="AB17" s="294"/>
      <c r="AC17" s="294"/>
      <c r="AD17" s="294"/>
      <c r="AE17" s="294"/>
      <c r="AF17" s="294"/>
      <c r="AG17" s="294"/>
      <c r="AH17" s="294"/>
      <c r="AI17" s="294"/>
      <c r="AJ17" s="294"/>
      <c r="AK17" s="294"/>
      <c r="AL17" s="294"/>
      <c r="AM17" s="294"/>
      <c r="AN17" s="294"/>
      <c r="AO17" s="294"/>
      <c r="AP17" s="294"/>
      <c r="AQ17" s="294"/>
      <c r="AR17" s="294"/>
      <c r="AS17" s="294"/>
      <c r="AT17" s="294"/>
      <c r="AU17" s="294"/>
      <c r="AV17" s="294"/>
      <c r="AW17" s="294"/>
      <c r="AX17" s="294"/>
      <c r="AY17" s="294"/>
      <c r="AZ17" s="294"/>
      <c r="BA17" s="294"/>
      <c r="BB17" s="294"/>
      <c r="BC17" s="294"/>
      <c r="BD17" s="294"/>
      <c r="BE17" s="294"/>
      <c r="BF17" s="294"/>
      <c r="BG17" s="294"/>
      <c r="BH17" s="294"/>
    </row>
    <row r="18" spans="1:60">
      <c r="A18" s="23" t="s">
        <v>147</v>
      </c>
      <c r="B18" s="12"/>
      <c r="C18" s="305" t="e">
        <f>Assumptions!C58</f>
        <v>#N/A</v>
      </c>
      <c r="D18" s="18" t="e">
        <f>Depreciation!$B$48</f>
        <v>#N/A</v>
      </c>
      <c r="E18" s="18" t="e">
        <f>Depreciation!$B$48</f>
        <v>#N/A</v>
      </c>
      <c r="F18" s="18" t="e">
        <f>Depreciation!$B$48</f>
        <v>#N/A</v>
      </c>
      <c r="G18" s="18" t="e">
        <f>Depreciation!$B$48</f>
        <v>#N/A</v>
      </c>
      <c r="H18" s="18" t="e">
        <f>Depreciation!$B$48</f>
        <v>#N/A</v>
      </c>
      <c r="I18" s="18" t="e">
        <f>Depreciation!$B$48</f>
        <v>#N/A</v>
      </c>
      <c r="J18" s="18" t="e">
        <f>Depreciation!$B$48</f>
        <v>#N/A</v>
      </c>
      <c r="K18" s="18" t="e">
        <f>Depreciation!$B$48</f>
        <v>#N/A</v>
      </c>
      <c r="L18" s="18" t="e">
        <f>Depreciation!$B$48</f>
        <v>#N/A</v>
      </c>
      <c r="M18" s="18" t="e">
        <f>Depreciation!$B$48</f>
        <v>#N/A</v>
      </c>
      <c r="N18" s="18" t="e">
        <f>Depreciation!$B$48</f>
        <v>#N/A</v>
      </c>
      <c r="O18" s="18" t="e">
        <f>Depreciation!$B$48</f>
        <v>#N/A</v>
      </c>
      <c r="P18" s="18" t="e">
        <f>Depreciation!$B$48</f>
        <v>#N/A</v>
      </c>
      <c r="Q18" s="18" t="e">
        <f>Depreciation!$B$48</f>
        <v>#N/A</v>
      </c>
      <c r="R18" s="18" t="e">
        <f>Depreciation!$B$48</f>
        <v>#N/A</v>
      </c>
      <c r="S18" s="18" t="e">
        <f>Depreciation!$B$48</f>
        <v>#N/A</v>
      </c>
      <c r="T18" s="18" t="e">
        <f>Depreciation!$B$48</f>
        <v>#N/A</v>
      </c>
      <c r="U18" s="18" t="e">
        <f>Depreciation!$B$48</f>
        <v>#N/A</v>
      </c>
      <c r="V18" s="18" t="e">
        <f>Depreciation!$B$48</f>
        <v>#N/A</v>
      </c>
      <c r="W18" s="18" t="e">
        <f>Depreciation!$B$48</f>
        <v>#N/A</v>
      </c>
      <c r="X18" s="18" t="e">
        <f>Depreciation!$B$48</f>
        <v>#N/A</v>
      </c>
      <c r="Y18" s="18" t="e">
        <f>Depreciation!$B$48</f>
        <v>#N/A</v>
      </c>
      <c r="Z18" s="18" t="e">
        <f>Depreciation!$B$48</f>
        <v>#N/A</v>
      </c>
      <c r="AA18" s="18" t="e">
        <f>Depreciation!$B$48</f>
        <v>#N/A</v>
      </c>
      <c r="AB18" s="18" t="e">
        <f>Depreciation!$B$48</f>
        <v>#N/A</v>
      </c>
      <c r="AC18" s="18" t="e">
        <f>Depreciation!$B$48</f>
        <v>#N/A</v>
      </c>
      <c r="AD18" s="18" t="e">
        <f>Depreciation!$B$48</f>
        <v>#N/A</v>
      </c>
      <c r="AE18" s="18" t="e">
        <f>Depreciation!$B$48</f>
        <v>#N/A</v>
      </c>
      <c r="AF18" s="18" t="e">
        <f>Depreciation!$B$48</f>
        <v>#N/A</v>
      </c>
      <c r="AG18" s="18" t="e">
        <f>Depreciation!$B$48</f>
        <v>#N/A</v>
      </c>
      <c r="AH18" s="18" t="e">
        <f>Depreciation!$B$48</f>
        <v>#N/A</v>
      </c>
      <c r="AI18" s="294"/>
      <c r="AJ18" s="294"/>
      <c r="AK18" s="294"/>
      <c r="AL18" s="294"/>
      <c r="AM18" s="294"/>
      <c r="AN18" s="294"/>
      <c r="AO18" s="294"/>
      <c r="AP18" s="294"/>
      <c r="AQ18" s="294"/>
      <c r="AR18" s="294"/>
      <c r="AS18" s="294"/>
      <c r="AT18" s="294"/>
      <c r="AU18" s="294"/>
      <c r="AV18" s="294"/>
      <c r="AW18" s="294"/>
      <c r="AX18" s="294"/>
      <c r="AY18" s="294"/>
      <c r="AZ18" s="294"/>
      <c r="BA18" s="294"/>
      <c r="BB18" s="294"/>
      <c r="BC18" s="294"/>
      <c r="BD18" s="294"/>
      <c r="BE18" s="294"/>
      <c r="BF18" s="294"/>
      <c r="BG18" s="294"/>
      <c r="BH18" s="294"/>
    </row>
    <row r="19" spans="1:60">
      <c r="A19" s="23" t="s">
        <v>148</v>
      </c>
      <c r="B19" s="13"/>
      <c r="C19" s="307">
        <v>0</v>
      </c>
      <c r="D19" s="295" t="e">
        <f>SUM(Depreciation!$D$48:D48)</f>
        <v>#N/A</v>
      </c>
      <c r="E19" s="295" t="e">
        <f>SUM(Depreciation!$D$48:E48)</f>
        <v>#N/A</v>
      </c>
      <c r="F19" s="295" t="e">
        <f>SUM(Depreciation!$D$48:F48)</f>
        <v>#N/A</v>
      </c>
      <c r="G19" s="295" t="e">
        <f>SUM(Depreciation!$D$48:G48)</f>
        <v>#N/A</v>
      </c>
      <c r="H19" s="295" t="e">
        <f>SUM(Depreciation!$D$48:H48)</f>
        <v>#N/A</v>
      </c>
      <c r="I19" s="295" t="e">
        <f>SUM(Depreciation!$D$48:I48)</f>
        <v>#N/A</v>
      </c>
      <c r="J19" s="295" t="e">
        <f>SUM(Depreciation!$D$48:J48)</f>
        <v>#N/A</v>
      </c>
      <c r="K19" s="295" t="e">
        <f>SUM(Depreciation!$D$48:K48)</f>
        <v>#N/A</v>
      </c>
      <c r="L19" s="295" t="e">
        <f>SUM(Depreciation!$D$48:L48)</f>
        <v>#N/A</v>
      </c>
      <c r="M19" s="295" t="e">
        <f>SUM(Depreciation!$D$48:M48)</f>
        <v>#N/A</v>
      </c>
      <c r="N19" s="295" t="e">
        <f>SUM(Depreciation!$D$48:N48)</f>
        <v>#N/A</v>
      </c>
      <c r="O19" s="295" t="e">
        <f>SUM(Depreciation!$D$48:O48)</f>
        <v>#N/A</v>
      </c>
      <c r="P19" s="295" t="e">
        <f>SUM(Depreciation!$D$48:P48)</f>
        <v>#N/A</v>
      </c>
      <c r="Q19" s="295" t="e">
        <f>SUM(Depreciation!$D$48:Q48)</f>
        <v>#N/A</v>
      </c>
      <c r="R19" s="295" t="e">
        <f>SUM(Depreciation!$D$48:R48)</f>
        <v>#N/A</v>
      </c>
      <c r="S19" s="295" t="e">
        <f>SUM(Depreciation!$D$48:S48)</f>
        <v>#N/A</v>
      </c>
      <c r="T19" s="295" t="e">
        <f>SUM(Depreciation!$D$48:T48)</f>
        <v>#N/A</v>
      </c>
      <c r="U19" s="295" t="e">
        <f>SUM(Depreciation!$D$48:U48)</f>
        <v>#N/A</v>
      </c>
      <c r="V19" s="295" t="e">
        <f>SUM(Depreciation!$D$48:V48)</f>
        <v>#N/A</v>
      </c>
      <c r="W19" s="295" t="e">
        <f>SUM(Depreciation!$D$48:W48)</f>
        <v>#N/A</v>
      </c>
      <c r="X19" s="295" t="e">
        <f>SUM(Depreciation!$D$48:X48)</f>
        <v>#N/A</v>
      </c>
      <c r="Y19" s="295" t="e">
        <f>SUM(Depreciation!$D$48:Y48)</f>
        <v>#N/A</v>
      </c>
      <c r="Z19" s="295" t="e">
        <f>SUM(Depreciation!$D$48:Z48)</f>
        <v>#N/A</v>
      </c>
      <c r="AA19" s="295" t="e">
        <f>SUM(Depreciation!$D$48:AA48)</f>
        <v>#N/A</v>
      </c>
      <c r="AB19" s="295" t="e">
        <f>SUM(Depreciation!$D$48:AB48)</f>
        <v>#N/A</v>
      </c>
      <c r="AC19" s="295" t="e">
        <f>SUM(Depreciation!$D$48:AC48)</f>
        <v>#N/A</v>
      </c>
      <c r="AD19" s="295" t="e">
        <f>SUM(Depreciation!$D$48:AD48)</f>
        <v>#N/A</v>
      </c>
      <c r="AE19" s="295" t="e">
        <f>SUM(Depreciation!$D$48:AE48)</f>
        <v>#N/A</v>
      </c>
      <c r="AF19" s="295" t="e">
        <f>SUM(Depreciation!$D$48:AF48)</f>
        <v>#N/A</v>
      </c>
      <c r="AG19" s="295" t="e">
        <f>SUM(Depreciation!$D$48:AG48)</f>
        <v>#N/A</v>
      </c>
      <c r="AH19" s="295" t="e">
        <f>SUM(Depreciation!$D$48:AH48)</f>
        <v>#N/A</v>
      </c>
      <c r="AI19" s="294"/>
      <c r="AJ19" s="294"/>
      <c r="AK19" s="294"/>
      <c r="AL19" s="294"/>
      <c r="AM19" s="294"/>
      <c r="AN19" s="294"/>
      <c r="AO19" s="294"/>
      <c r="AP19" s="294"/>
      <c r="AQ19" s="294"/>
      <c r="AR19" s="294"/>
      <c r="AS19" s="294"/>
      <c r="AT19" s="294"/>
      <c r="AU19" s="294"/>
      <c r="AV19" s="294"/>
      <c r="AW19" s="294"/>
      <c r="AX19" s="294"/>
      <c r="AY19" s="294"/>
      <c r="AZ19" s="294"/>
      <c r="BA19" s="294"/>
      <c r="BB19" s="294"/>
      <c r="BC19" s="294"/>
      <c r="BD19" s="294"/>
      <c r="BE19" s="294"/>
      <c r="BF19" s="294"/>
      <c r="BG19" s="294"/>
      <c r="BH19" s="294"/>
    </row>
    <row r="20" spans="1:60">
      <c r="A20" s="23" t="s">
        <v>149</v>
      </c>
      <c r="B20" s="13"/>
      <c r="C20" s="308" t="e">
        <f>C18-C19</f>
        <v>#N/A</v>
      </c>
      <c r="D20" s="23" t="e">
        <f>D18-D19</f>
        <v>#N/A</v>
      </c>
      <c r="E20" s="23" t="e">
        <f t="shared" ref="E20:AH20" si="2">E18-E19</f>
        <v>#N/A</v>
      </c>
      <c r="F20" s="23" t="e">
        <f t="shared" si="2"/>
        <v>#N/A</v>
      </c>
      <c r="G20" s="23" t="e">
        <f t="shared" si="2"/>
        <v>#N/A</v>
      </c>
      <c r="H20" s="23" t="e">
        <f t="shared" si="2"/>
        <v>#N/A</v>
      </c>
      <c r="I20" s="23" t="e">
        <f t="shared" si="2"/>
        <v>#N/A</v>
      </c>
      <c r="J20" s="23" t="e">
        <f t="shared" si="2"/>
        <v>#N/A</v>
      </c>
      <c r="K20" s="23" t="e">
        <f t="shared" si="2"/>
        <v>#N/A</v>
      </c>
      <c r="L20" s="23" t="e">
        <f t="shared" si="2"/>
        <v>#N/A</v>
      </c>
      <c r="M20" s="23" t="e">
        <f t="shared" si="2"/>
        <v>#N/A</v>
      </c>
      <c r="N20" s="23" t="e">
        <f t="shared" si="2"/>
        <v>#N/A</v>
      </c>
      <c r="O20" s="23" t="e">
        <f t="shared" si="2"/>
        <v>#N/A</v>
      </c>
      <c r="P20" s="23" t="e">
        <f t="shared" si="2"/>
        <v>#N/A</v>
      </c>
      <c r="Q20" s="23" t="e">
        <f t="shared" si="2"/>
        <v>#N/A</v>
      </c>
      <c r="R20" s="23" t="e">
        <f t="shared" si="2"/>
        <v>#N/A</v>
      </c>
      <c r="S20" s="23" t="e">
        <f t="shared" si="2"/>
        <v>#N/A</v>
      </c>
      <c r="T20" s="23" t="e">
        <f t="shared" si="2"/>
        <v>#N/A</v>
      </c>
      <c r="U20" s="23" t="e">
        <f t="shared" si="2"/>
        <v>#N/A</v>
      </c>
      <c r="V20" s="23" t="e">
        <f t="shared" si="2"/>
        <v>#N/A</v>
      </c>
      <c r="W20" s="23" t="e">
        <f t="shared" si="2"/>
        <v>#N/A</v>
      </c>
      <c r="X20" s="23" t="e">
        <f t="shared" si="2"/>
        <v>#N/A</v>
      </c>
      <c r="Y20" s="23" t="e">
        <f t="shared" si="2"/>
        <v>#N/A</v>
      </c>
      <c r="Z20" s="23" t="e">
        <f t="shared" si="2"/>
        <v>#N/A</v>
      </c>
      <c r="AA20" s="23" t="e">
        <f t="shared" si="2"/>
        <v>#N/A</v>
      </c>
      <c r="AB20" s="23" t="e">
        <f t="shared" si="2"/>
        <v>#N/A</v>
      </c>
      <c r="AC20" s="23" t="e">
        <f t="shared" si="2"/>
        <v>#N/A</v>
      </c>
      <c r="AD20" s="23" t="e">
        <f t="shared" si="2"/>
        <v>#N/A</v>
      </c>
      <c r="AE20" s="23" t="e">
        <f t="shared" si="2"/>
        <v>#N/A</v>
      </c>
      <c r="AF20" s="23" t="e">
        <f t="shared" si="2"/>
        <v>#N/A</v>
      </c>
      <c r="AG20" s="23" t="e">
        <f t="shared" si="2"/>
        <v>#N/A</v>
      </c>
      <c r="AH20" s="23" t="e">
        <f t="shared" si="2"/>
        <v>#N/A</v>
      </c>
      <c r="AI20" s="294"/>
      <c r="AJ20" s="294"/>
      <c r="AK20" s="294"/>
      <c r="AL20" s="294"/>
      <c r="AM20" s="294"/>
      <c r="AN20" s="294"/>
      <c r="AO20" s="294"/>
      <c r="AP20" s="294"/>
      <c r="AQ20" s="294"/>
      <c r="AR20" s="294"/>
      <c r="AS20" s="294"/>
      <c r="AT20" s="294"/>
      <c r="AU20" s="294"/>
      <c r="AV20" s="294"/>
      <c r="AW20" s="294"/>
      <c r="AX20" s="294"/>
      <c r="AY20" s="294"/>
      <c r="AZ20" s="294"/>
      <c r="BA20" s="294"/>
      <c r="BB20" s="294"/>
      <c r="BC20" s="294"/>
      <c r="BD20" s="294"/>
      <c r="BE20" s="294"/>
      <c r="BF20" s="294"/>
      <c r="BG20" s="294"/>
      <c r="BH20" s="294"/>
    </row>
    <row r="21" spans="1:60">
      <c r="A21" s="23"/>
      <c r="B21" s="13"/>
      <c r="C21" s="308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94"/>
      <c r="AJ21" s="294"/>
      <c r="AK21" s="294"/>
      <c r="AL21" s="294"/>
      <c r="AM21" s="294"/>
      <c r="AN21" s="294"/>
      <c r="AO21" s="294"/>
      <c r="AP21" s="294"/>
      <c r="AQ21" s="294"/>
      <c r="AR21" s="294"/>
      <c r="AS21" s="294"/>
      <c r="AT21" s="294"/>
      <c r="AU21" s="294"/>
      <c r="AV21" s="294"/>
      <c r="AW21" s="294"/>
      <c r="AX21" s="294"/>
      <c r="AY21" s="294"/>
      <c r="AZ21" s="294"/>
      <c r="BA21" s="294"/>
      <c r="BB21" s="294"/>
      <c r="BC21" s="294"/>
      <c r="BD21" s="294"/>
      <c r="BE21" s="294"/>
      <c r="BF21" s="294"/>
      <c r="BG21" s="294"/>
      <c r="BH21" s="294"/>
    </row>
    <row r="22" spans="1:60">
      <c r="A22" s="23" t="s">
        <v>150</v>
      </c>
      <c r="B22" s="13"/>
      <c r="C22" s="305">
        <f>Assumptions!$C$47</f>
        <v>0</v>
      </c>
      <c r="D22" s="18">
        <f>Assumptions!$C$47</f>
        <v>0</v>
      </c>
      <c r="E22" s="18">
        <f>Assumptions!$C$47</f>
        <v>0</v>
      </c>
      <c r="F22" s="18">
        <f>Assumptions!$C$47</f>
        <v>0</v>
      </c>
      <c r="G22" s="18">
        <f>Assumptions!$C$47</f>
        <v>0</v>
      </c>
      <c r="H22" s="18">
        <f>Assumptions!$C$47</f>
        <v>0</v>
      </c>
      <c r="I22" s="18">
        <f>Assumptions!$C$47</f>
        <v>0</v>
      </c>
      <c r="J22" s="18">
        <f>Assumptions!$C$47</f>
        <v>0</v>
      </c>
      <c r="K22" s="18">
        <f>Assumptions!$C$47</f>
        <v>0</v>
      </c>
      <c r="L22" s="18">
        <f>Assumptions!$C$47</f>
        <v>0</v>
      </c>
      <c r="M22" s="18">
        <f>Assumptions!$C$47</f>
        <v>0</v>
      </c>
      <c r="N22" s="18">
        <f>Assumptions!$C$47</f>
        <v>0</v>
      </c>
      <c r="O22" s="18">
        <f>Assumptions!$C$47</f>
        <v>0</v>
      </c>
      <c r="P22" s="18">
        <f>Assumptions!$C$47</f>
        <v>0</v>
      </c>
      <c r="Q22" s="18">
        <f>Assumptions!$C$47</f>
        <v>0</v>
      </c>
      <c r="R22" s="18">
        <f>Assumptions!$C$47</f>
        <v>0</v>
      </c>
      <c r="S22" s="18">
        <f>Assumptions!$C$47</f>
        <v>0</v>
      </c>
      <c r="T22" s="18">
        <f>Assumptions!$C$47</f>
        <v>0</v>
      </c>
      <c r="U22" s="18">
        <f>Assumptions!$C$47</f>
        <v>0</v>
      </c>
      <c r="V22" s="18">
        <f>Assumptions!$C$47</f>
        <v>0</v>
      </c>
      <c r="W22" s="18">
        <f>Assumptions!$C$47</f>
        <v>0</v>
      </c>
      <c r="X22" s="18">
        <f>Assumptions!$C$47</f>
        <v>0</v>
      </c>
      <c r="Y22" s="18">
        <f>Assumptions!$C$47</f>
        <v>0</v>
      </c>
      <c r="Z22" s="18">
        <f>Assumptions!$C$47</f>
        <v>0</v>
      </c>
      <c r="AA22" s="18">
        <f>Assumptions!$C$47</f>
        <v>0</v>
      </c>
      <c r="AB22" s="18">
        <f>Assumptions!$C$47</f>
        <v>0</v>
      </c>
      <c r="AC22" s="18">
        <f>Assumptions!$C$47</f>
        <v>0</v>
      </c>
      <c r="AD22" s="18">
        <f>Assumptions!$C$47</f>
        <v>0</v>
      </c>
      <c r="AE22" s="18">
        <f>Assumptions!$C$47</f>
        <v>0</v>
      </c>
      <c r="AF22" s="18">
        <f>Assumptions!$C$47</f>
        <v>0</v>
      </c>
      <c r="AG22" s="18">
        <f>Assumptions!$C$47</f>
        <v>0</v>
      </c>
      <c r="AH22" s="18">
        <f>Assumptions!$C$47</f>
        <v>0</v>
      </c>
      <c r="AI22" s="294"/>
      <c r="AJ22" s="294"/>
      <c r="AK22" s="294"/>
      <c r="AL22" s="294"/>
      <c r="AM22" s="294"/>
      <c r="AN22" s="294"/>
      <c r="AO22" s="294"/>
      <c r="AP22" s="294"/>
      <c r="AQ22" s="294"/>
      <c r="AR22" s="294"/>
      <c r="AS22" s="294"/>
      <c r="AT22" s="294"/>
      <c r="AU22" s="294"/>
      <c r="AV22" s="294"/>
      <c r="AW22" s="294"/>
      <c r="AX22" s="294"/>
      <c r="AY22" s="294"/>
      <c r="AZ22" s="294"/>
      <c r="BA22" s="294"/>
      <c r="BB22" s="294"/>
      <c r="BC22" s="294"/>
      <c r="BD22" s="294"/>
      <c r="BE22" s="294"/>
      <c r="BF22" s="294"/>
      <c r="BG22" s="294"/>
      <c r="BH22" s="294"/>
    </row>
    <row r="23" spans="1:60">
      <c r="A23" s="23" t="s">
        <v>151</v>
      </c>
      <c r="B23" s="13"/>
      <c r="C23" s="309">
        <v>0</v>
      </c>
      <c r="D23" s="296">
        <v>0</v>
      </c>
      <c r="E23" s="296">
        <v>0</v>
      </c>
      <c r="F23" s="296">
        <v>0</v>
      </c>
      <c r="G23" s="296">
        <v>0</v>
      </c>
      <c r="H23" s="296">
        <v>0</v>
      </c>
      <c r="I23" s="296">
        <v>0</v>
      </c>
      <c r="J23" s="296">
        <v>0</v>
      </c>
      <c r="K23" s="296">
        <v>0</v>
      </c>
      <c r="L23" s="296">
        <v>0</v>
      </c>
      <c r="M23" s="296">
        <v>0</v>
      </c>
      <c r="N23" s="296">
        <v>0</v>
      </c>
      <c r="O23" s="296">
        <v>0</v>
      </c>
      <c r="P23" s="296">
        <v>0</v>
      </c>
      <c r="Q23" s="296">
        <v>0</v>
      </c>
      <c r="R23" s="296">
        <v>0</v>
      </c>
      <c r="S23" s="296">
        <v>0</v>
      </c>
      <c r="T23" s="296">
        <v>0</v>
      </c>
      <c r="U23" s="296">
        <v>0</v>
      </c>
      <c r="V23" s="296">
        <v>0</v>
      </c>
      <c r="W23" s="296">
        <v>0</v>
      </c>
      <c r="X23" s="296">
        <v>0</v>
      </c>
      <c r="Y23" s="296">
        <v>0</v>
      </c>
      <c r="Z23" s="296">
        <v>0</v>
      </c>
      <c r="AA23" s="296">
        <v>0</v>
      </c>
      <c r="AB23" s="296">
        <v>0</v>
      </c>
      <c r="AC23" s="296">
        <v>0</v>
      </c>
      <c r="AD23" s="296">
        <v>0</v>
      </c>
      <c r="AE23" s="296">
        <v>0</v>
      </c>
      <c r="AF23" s="296">
        <v>0</v>
      </c>
      <c r="AG23" s="296">
        <v>0</v>
      </c>
      <c r="AH23" s="296">
        <v>0</v>
      </c>
      <c r="AI23" s="294"/>
      <c r="AJ23" s="294"/>
      <c r="AK23" s="294"/>
      <c r="AL23" s="294"/>
      <c r="AM23" s="294"/>
      <c r="AN23" s="294"/>
      <c r="AO23" s="294"/>
      <c r="AP23" s="294"/>
      <c r="AQ23" s="294"/>
      <c r="AR23" s="294"/>
      <c r="AS23" s="294"/>
      <c r="AT23" s="294"/>
      <c r="AU23" s="294"/>
      <c r="AV23" s="294"/>
      <c r="AW23" s="294"/>
      <c r="AX23" s="294"/>
      <c r="AY23" s="294"/>
      <c r="AZ23" s="294"/>
      <c r="BA23" s="294"/>
      <c r="BB23" s="294"/>
      <c r="BC23" s="294"/>
      <c r="BD23" s="294"/>
      <c r="BE23" s="294"/>
      <c r="BF23" s="294"/>
      <c r="BG23" s="294"/>
      <c r="BH23" s="294"/>
    </row>
    <row r="24" spans="1:60">
      <c r="A24" s="13"/>
      <c r="B24" s="13"/>
      <c r="C24" s="308"/>
      <c r="D24" s="23"/>
      <c r="E24" s="23"/>
      <c r="F24" s="297"/>
      <c r="G24" s="294"/>
      <c r="H24" s="294"/>
      <c r="I24" s="294"/>
      <c r="J24" s="294"/>
      <c r="K24" s="294"/>
      <c r="L24" s="294"/>
      <c r="M24" s="294"/>
      <c r="N24" s="294"/>
      <c r="O24" s="294"/>
      <c r="P24" s="294"/>
      <c r="Q24" s="294"/>
      <c r="R24" s="294"/>
      <c r="S24" s="294"/>
      <c r="T24" s="294"/>
      <c r="U24" s="294"/>
      <c r="V24" s="294"/>
      <c r="W24" s="294"/>
      <c r="X24" s="294"/>
      <c r="Y24" s="294"/>
      <c r="Z24" s="151"/>
      <c r="AA24" s="151"/>
      <c r="AB24" s="294"/>
      <c r="AC24" s="294"/>
      <c r="AD24" s="294"/>
      <c r="AE24" s="294"/>
      <c r="AF24" s="294"/>
      <c r="AG24" s="294"/>
      <c r="AH24" s="294"/>
      <c r="AI24" s="294"/>
      <c r="AJ24" s="294"/>
      <c r="AK24" s="294"/>
      <c r="AL24" s="294"/>
      <c r="AM24" s="294"/>
      <c r="AN24" s="294"/>
      <c r="AO24" s="294"/>
      <c r="AP24" s="294"/>
      <c r="AQ24" s="294"/>
      <c r="AR24" s="294"/>
      <c r="AS24" s="294"/>
      <c r="AT24" s="294"/>
      <c r="AU24" s="294"/>
      <c r="AV24" s="294"/>
      <c r="AW24" s="294"/>
      <c r="AX24" s="294"/>
      <c r="AY24" s="294"/>
      <c r="AZ24" s="294"/>
      <c r="BA24" s="294"/>
      <c r="BB24" s="294"/>
      <c r="BC24" s="294"/>
      <c r="BD24" s="294"/>
      <c r="BE24" s="294"/>
      <c r="BF24" s="294"/>
      <c r="BG24" s="294"/>
      <c r="BH24" s="294"/>
    </row>
    <row r="25" spans="1:60">
      <c r="A25" s="134" t="s">
        <v>152</v>
      </c>
      <c r="B25" s="13"/>
      <c r="C25" s="308" t="e">
        <f>SUM(C16,C20,C22,C23)</f>
        <v>#N/A</v>
      </c>
      <c r="D25" s="23" t="e">
        <f>SUM(D16,D20,D22,D23)</f>
        <v>#N/A</v>
      </c>
      <c r="E25" s="23" t="e">
        <f t="shared" ref="E25:AH25" si="3">SUM(E16,E20,E22,E23)</f>
        <v>#N/A</v>
      </c>
      <c r="F25" s="23" t="e">
        <f t="shared" si="3"/>
        <v>#N/A</v>
      </c>
      <c r="G25" s="23" t="e">
        <f t="shared" si="3"/>
        <v>#N/A</v>
      </c>
      <c r="H25" s="23" t="e">
        <f t="shared" si="3"/>
        <v>#N/A</v>
      </c>
      <c r="I25" s="23" t="e">
        <f t="shared" si="3"/>
        <v>#N/A</v>
      </c>
      <c r="J25" s="23" t="e">
        <f t="shared" si="3"/>
        <v>#N/A</v>
      </c>
      <c r="K25" s="23" t="e">
        <f t="shared" si="3"/>
        <v>#N/A</v>
      </c>
      <c r="L25" s="23" t="e">
        <f t="shared" si="3"/>
        <v>#N/A</v>
      </c>
      <c r="M25" s="23" t="e">
        <f t="shared" si="3"/>
        <v>#N/A</v>
      </c>
      <c r="N25" s="23" t="e">
        <f t="shared" si="3"/>
        <v>#N/A</v>
      </c>
      <c r="O25" s="23" t="e">
        <f t="shared" si="3"/>
        <v>#N/A</v>
      </c>
      <c r="P25" s="23" t="e">
        <f t="shared" si="3"/>
        <v>#N/A</v>
      </c>
      <c r="Q25" s="23" t="e">
        <f t="shared" si="3"/>
        <v>#N/A</v>
      </c>
      <c r="R25" s="23" t="e">
        <f t="shared" si="3"/>
        <v>#N/A</v>
      </c>
      <c r="S25" s="23" t="e">
        <f t="shared" si="3"/>
        <v>#N/A</v>
      </c>
      <c r="T25" s="23" t="e">
        <f t="shared" si="3"/>
        <v>#N/A</v>
      </c>
      <c r="U25" s="23" t="e">
        <f t="shared" si="3"/>
        <v>#N/A</v>
      </c>
      <c r="V25" s="23" t="e">
        <f t="shared" si="3"/>
        <v>#N/A</v>
      </c>
      <c r="W25" s="23" t="e">
        <f t="shared" si="3"/>
        <v>#N/A</v>
      </c>
      <c r="X25" s="23" t="e">
        <f t="shared" si="3"/>
        <v>#N/A</v>
      </c>
      <c r="Y25" s="23" t="e">
        <f t="shared" si="3"/>
        <v>#N/A</v>
      </c>
      <c r="Z25" s="23" t="e">
        <f t="shared" si="3"/>
        <v>#N/A</v>
      </c>
      <c r="AA25" s="23" t="e">
        <f t="shared" si="3"/>
        <v>#N/A</v>
      </c>
      <c r="AB25" s="23" t="e">
        <f t="shared" si="3"/>
        <v>#N/A</v>
      </c>
      <c r="AC25" s="23" t="e">
        <f t="shared" si="3"/>
        <v>#N/A</v>
      </c>
      <c r="AD25" s="23" t="e">
        <f t="shared" si="3"/>
        <v>#N/A</v>
      </c>
      <c r="AE25" s="23" t="e">
        <f t="shared" si="3"/>
        <v>#N/A</v>
      </c>
      <c r="AF25" s="23" t="e">
        <f t="shared" si="3"/>
        <v>#N/A</v>
      </c>
      <c r="AG25" s="23" t="e">
        <f t="shared" si="3"/>
        <v>#N/A</v>
      </c>
      <c r="AH25" s="23" t="e">
        <f t="shared" si="3"/>
        <v>#N/A</v>
      </c>
      <c r="AI25" s="294"/>
      <c r="AJ25" s="294"/>
      <c r="AK25" s="294"/>
      <c r="AL25" s="294"/>
      <c r="AM25" s="294"/>
      <c r="AN25" s="294"/>
      <c r="AO25" s="294"/>
      <c r="AP25" s="294"/>
      <c r="AQ25" s="294"/>
      <c r="AR25" s="294"/>
      <c r="AS25" s="294"/>
      <c r="AT25" s="294"/>
      <c r="AU25" s="294"/>
      <c r="AV25" s="294"/>
      <c r="AW25" s="294"/>
      <c r="AX25" s="294"/>
      <c r="AY25" s="294"/>
      <c r="AZ25" s="294"/>
      <c r="BA25" s="294"/>
      <c r="BB25" s="294"/>
      <c r="BC25" s="294"/>
      <c r="BD25" s="294"/>
      <c r="BE25" s="294"/>
      <c r="BF25" s="294"/>
      <c r="BG25" s="294"/>
      <c r="BH25" s="294"/>
    </row>
    <row r="26" spans="1:60">
      <c r="A26" s="13"/>
      <c r="B26" s="13"/>
      <c r="C26" s="308"/>
      <c r="D26" s="23"/>
      <c r="E26" s="23"/>
      <c r="F26" s="297"/>
      <c r="G26" s="294"/>
      <c r="H26" s="294"/>
      <c r="I26" s="294"/>
      <c r="J26" s="294"/>
      <c r="K26" s="294"/>
      <c r="L26" s="294"/>
      <c r="M26" s="294"/>
      <c r="N26" s="294"/>
      <c r="O26" s="294"/>
      <c r="P26" s="294"/>
      <c r="Q26" s="294"/>
      <c r="R26" s="294"/>
      <c r="S26" s="294"/>
      <c r="T26" s="294"/>
      <c r="U26" s="294"/>
      <c r="V26" s="294"/>
      <c r="W26" s="294"/>
      <c r="X26" s="294"/>
      <c r="Y26" s="294"/>
      <c r="Z26" s="151"/>
      <c r="AA26" s="151"/>
      <c r="AB26" s="294"/>
      <c r="AC26" s="294"/>
      <c r="AD26" s="294"/>
      <c r="AE26" s="294"/>
      <c r="AF26" s="294"/>
      <c r="AG26" s="294"/>
      <c r="AH26" s="294"/>
      <c r="AI26" s="294"/>
      <c r="AJ26" s="294"/>
      <c r="AK26" s="294"/>
      <c r="AL26" s="294"/>
      <c r="AM26" s="294"/>
      <c r="AN26" s="294"/>
      <c r="AO26" s="294"/>
      <c r="AP26" s="294"/>
      <c r="AQ26" s="294"/>
      <c r="AR26" s="294"/>
      <c r="AS26" s="294"/>
      <c r="AT26" s="294"/>
      <c r="AU26" s="294"/>
      <c r="AV26" s="294"/>
      <c r="AW26" s="294"/>
      <c r="AX26" s="294"/>
      <c r="AY26" s="294"/>
      <c r="AZ26" s="294"/>
      <c r="BA26" s="294"/>
      <c r="BB26" s="294"/>
      <c r="BC26" s="294"/>
      <c r="BD26" s="294"/>
      <c r="BE26" s="294"/>
      <c r="BF26" s="294"/>
      <c r="BG26" s="294"/>
      <c r="BH26" s="294"/>
    </row>
    <row r="27" spans="1:60">
      <c r="A27" s="13"/>
      <c r="B27" s="13"/>
      <c r="C27" s="308"/>
      <c r="D27" s="23"/>
      <c r="E27" s="23"/>
      <c r="F27" s="297"/>
      <c r="G27" s="294"/>
      <c r="H27" s="294"/>
      <c r="I27" s="294"/>
      <c r="J27" s="294"/>
      <c r="K27" s="294"/>
      <c r="L27" s="294"/>
      <c r="M27" s="294"/>
      <c r="N27" s="294"/>
      <c r="O27" s="294"/>
      <c r="P27" s="294"/>
      <c r="Q27" s="294"/>
      <c r="R27" s="294"/>
      <c r="S27" s="294"/>
      <c r="T27" s="294"/>
      <c r="U27" s="294"/>
      <c r="V27" s="294"/>
      <c r="W27" s="294"/>
      <c r="X27" s="294"/>
      <c r="Y27" s="294"/>
      <c r="Z27" s="151"/>
      <c r="AA27" s="151"/>
      <c r="AB27" s="294"/>
      <c r="AC27" s="294"/>
      <c r="AD27" s="294"/>
      <c r="AE27" s="294"/>
      <c r="AF27" s="294"/>
      <c r="AG27" s="294"/>
      <c r="AH27" s="294"/>
      <c r="AI27" s="294"/>
      <c r="AJ27" s="294"/>
      <c r="AK27" s="294"/>
      <c r="AL27" s="294"/>
      <c r="AM27" s="294"/>
      <c r="AN27" s="294"/>
      <c r="AO27" s="294"/>
      <c r="AP27" s="294"/>
      <c r="AQ27" s="294"/>
      <c r="AR27" s="294"/>
      <c r="AS27" s="294"/>
      <c r="AT27" s="294"/>
      <c r="AU27" s="294"/>
      <c r="AV27" s="294"/>
      <c r="AW27" s="294"/>
      <c r="AX27" s="294"/>
      <c r="AY27" s="294"/>
      <c r="AZ27" s="294"/>
      <c r="BA27" s="294"/>
      <c r="BB27" s="294"/>
      <c r="BC27" s="294"/>
      <c r="BD27" s="294"/>
      <c r="BE27" s="294"/>
      <c r="BF27" s="294"/>
      <c r="BG27" s="294"/>
      <c r="BH27" s="294"/>
    </row>
    <row r="28" spans="1:60">
      <c r="A28" s="134" t="s">
        <v>153</v>
      </c>
      <c r="B28" s="13"/>
      <c r="C28" s="308"/>
      <c r="D28" s="23"/>
      <c r="E28" s="23"/>
      <c r="F28" s="297"/>
      <c r="G28" s="294"/>
      <c r="H28" s="294"/>
      <c r="I28" s="294"/>
      <c r="J28" s="294"/>
      <c r="K28" s="294"/>
      <c r="L28" s="294"/>
      <c r="M28" s="294"/>
      <c r="N28" s="294"/>
      <c r="O28" s="294"/>
      <c r="P28" s="294"/>
      <c r="Q28" s="294"/>
      <c r="R28" s="294"/>
      <c r="S28" s="294"/>
      <c r="T28" s="294"/>
      <c r="U28" s="294"/>
      <c r="V28" s="294"/>
      <c r="W28" s="294"/>
      <c r="X28" s="294"/>
      <c r="Y28" s="294"/>
      <c r="Z28" s="151"/>
      <c r="AA28" s="151"/>
      <c r="AB28" s="294"/>
      <c r="AC28" s="294"/>
      <c r="AD28" s="294"/>
      <c r="AE28" s="294"/>
      <c r="AF28" s="294"/>
      <c r="AG28" s="294"/>
      <c r="AH28" s="294"/>
      <c r="AI28" s="294"/>
      <c r="AJ28" s="294"/>
      <c r="AK28" s="294"/>
      <c r="AL28" s="294"/>
      <c r="AM28" s="294"/>
      <c r="AN28" s="294"/>
      <c r="AO28" s="294"/>
      <c r="AP28" s="294"/>
      <c r="AQ28" s="294"/>
      <c r="AR28" s="294"/>
      <c r="AS28" s="294"/>
      <c r="AT28" s="294"/>
      <c r="AU28" s="294"/>
      <c r="AV28" s="294"/>
      <c r="AW28" s="294"/>
      <c r="AX28" s="294"/>
      <c r="AY28" s="294"/>
      <c r="AZ28" s="294"/>
      <c r="BA28" s="294"/>
      <c r="BB28" s="294"/>
      <c r="BC28" s="294"/>
      <c r="BD28" s="294"/>
      <c r="BE28" s="294"/>
      <c r="BF28" s="294"/>
      <c r="BG28" s="294"/>
      <c r="BH28" s="294"/>
    </row>
    <row r="29" spans="1:60">
      <c r="A29" s="134"/>
      <c r="B29" s="13"/>
      <c r="C29" s="308"/>
      <c r="D29" s="23"/>
      <c r="E29" s="23"/>
      <c r="F29" s="297"/>
      <c r="G29" s="294"/>
      <c r="H29" s="294"/>
      <c r="I29" s="294"/>
      <c r="J29" s="294"/>
      <c r="K29" s="294"/>
      <c r="L29" s="294"/>
      <c r="M29" s="294"/>
      <c r="N29" s="294"/>
      <c r="O29" s="294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151"/>
      <c r="AA29" s="151"/>
      <c r="AB29" s="294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94"/>
      <c r="AO29" s="294"/>
      <c r="AP29" s="294"/>
      <c r="AQ29" s="294"/>
      <c r="AR29" s="294"/>
      <c r="AS29" s="294"/>
      <c r="AT29" s="294"/>
      <c r="AU29" s="294"/>
      <c r="AV29" s="294"/>
      <c r="AW29" s="294"/>
      <c r="AX29" s="294"/>
      <c r="AY29" s="294"/>
      <c r="AZ29" s="294"/>
      <c r="BA29" s="294"/>
      <c r="BB29" s="294"/>
      <c r="BC29" s="294"/>
      <c r="BD29" s="294"/>
      <c r="BE29" s="294"/>
      <c r="BF29" s="294"/>
      <c r="BG29" s="294"/>
      <c r="BH29" s="294"/>
    </row>
    <row r="30" spans="1:60">
      <c r="A30" s="23" t="s">
        <v>154</v>
      </c>
      <c r="C30" s="305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294"/>
      <c r="AJ30" s="294"/>
      <c r="AK30" s="294"/>
      <c r="AL30" s="294"/>
      <c r="AM30" s="294"/>
      <c r="AN30" s="294"/>
      <c r="AO30" s="294"/>
      <c r="AP30" s="294"/>
      <c r="AQ30" s="294"/>
      <c r="AR30" s="294"/>
      <c r="AS30" s="294"/>
      <c r="AT30" s="294"/>
      <c r="AU30" s="294"/>
      <c r="AV30" s="294"/>
      <c r="AW30" s="294"/>
      <c r="AX30" s="294"/>
      <c r="AY30" s="294"/>
      <c r="AZ30" s="294"/>
      <c r="BA30" s="294"/>
      <c r="BB30" s="294"/>
      <c r="BC30" s="294"/>
      <c r="BD30" s="294"/>
      <c r="BE30" s="294"/>
      <c r="BF30" s="294"/>
      <c r="BG30" s="294"/>
      <c r="BH30" s="294"/>
    </row>
    <row r="31" spans="1:60">
      <c r="A31" s="23" t="s">
        <v>155</v>
      </c>
      <c r="C31" s="305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294"/>
      <c r="AJ31" s="294"/>
      <c r="AK31" s="294"/>
      <c r="AL31" s="294"/>
      <c r="AM31" s="294"/>
      <c r="AN31" s="294"/>
      <c r="AO31" s="294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94"/>
      <c r="BB31" s="294"/>
      <c r="BC31" s="294"/>
      <c r="BD31" s="294"/>
      <c r="BE31" s="294"/>
      <c r="BF31" s="294"/>
      <c r="BG31" s="294"/>
      <c r="BH31" s="294"/>
    </row>
    <row r="32" spans="1:60">
      <c r="A32" s="23" t="s">
        <v>156</v>
      </c>
      <c r="C32" s="308">
        <v>0</v>
      </c>
      <c r="D32" s="23" t="e">
        <f ca="1">C32+'Returns Analysis'!C15+(IS!C42+IS!C43)</f>
        <v>#N/A</v>
      </c>
      <c r="E32" s="23" t="e">
        <f ca="1">D32+'Returns Analysis'!D15+(IS!D42+IS!D43)</f>
        <v>#N/A</v>
      </c>
      <c r="F32" s="23" t="e">
        <f ca="1">E32+'Returns Analysis'!E15+(IS!E42+IS!E43)</f>
        <v>#N/A</v>
      </c>
      <c r="G32" s="23" t="e">
        <f ca="1">F32+'Returns Analysis'!F15+(IS!F42+IS!F43)</f>
        <v>#N/A</v>
      </c>
      <c r="H32" s="23" t="e">
        <f ca="1">G32+'Returns Analysis'!G15+(IS!G42+IS!G43)</f>
        <v>#N/A</v>
      </c>
      <c r="I32" s="23" t="e">
        <f ca="1">H32+'Returns Analysis'!H15+(IS!H42+IS!H43)</f>
        <v>#N/A</v>
      </c>
      <c r="J32" s="23" t="e">
        <f ca="1">I32+'Returns Analysis'!I15+(IS!I42+IS!I43)</f>
        <v>#N/A</v>
      </c>
      <c r="K32" s="23" t="e">
        <f ca="1">J32+'Returns Analysis'!J15+(IS!J42+IS!J43)</f>
        <v>#N/A</v>
      </c>
      <c r="L32" s="23" t="e">
        <f ca="1">K32+'Returns Analysis'!K15+(IS!K42+IS!K43)</f>
        <v>#N/A</v>
      </c>
      <c r="M32" s="23" t="e">
        <f ca="1">L32+'Returns Analysis'!L15+(IS!L42+IS!L43)</f>
        <v>#N/A</v>
      </c>
      <c r="N32" s="23" t="e">
        <f ca="1">M32+'Returns Analysis'!M15+(IS!M42+IS!M43)</f>
        <v>#N/A</v>
      </c>
      <c r="O32" s="23" t="e">
        <f ca="1">N32+'Returns Analysis'!N15+(IS!N42+IS!N43)</f>
        <v>#N/A</v>
      </c>
      <c r="P32" s="23" t="e">
        <f ca="1">O32+'Returns Analysis'!O15+(IS!O42+IS!O43)</f>
        <v>#N/A</v>
      </c>
      <c r="Q32" s="23" t="e">
        <f ca="1">P32+'Returns Analysis'!P15+(IS!P42+IS!P43)</f>
        <v>#N/A</v>
      </c>
      <c r="R32" s="23" t="e">
        <f ca="1">Q32+'Returns Analysis'!Q15+(IS!Q42+IS!Q43)</f>
        <v>#N/A</v>
      </c>
      <c r="S32" s="23" t="e">
        <f ca="1">R32+'Returns Analysis'!R15+(IS!R42+IS!R43)</f>
        <v>#N/A</v>
      </c>
      <c r="T32" s="23" t="e">
        <f ca="1">S32+'Returns Analysis'!S15+(IS!S42+IS!S43)</f>
        <v>#N/A</v>
      </c>
      <c r="U32" s="23" t="e">
        <f ca="1">T32+'Returns Analysis'!T15+(IS!T42+IS!T43)</f>
        <v>#N/A</v>
      </c>
      <c r="V32" s="23" t="e">
        <f ca="1">U32+'Returns Analysis'!U15+(IS!U42+IS!U43)</f>
        <v>#N/A</v>
      </c>
      <c r="W32" s="23" t="e">
        <f ca="1">V32+'Returns Analysis'!V15+(IS!V42+IS!V43)</f>
        <v>#N/A</v>
      </c>
      <c r="X32" s="23" t="e">
        <f ca="1">W32+'Returns Analysis'!W15+(IS!W42+IS!W43)</f>
        <v>#N/A</v>
      </c>
      <c r="Y32" s="23" t="e">
        <f ca="1">X32+'Returns Analysis'!X15+(IS!X42+IS!X43)</f>
        <v>#N/A</v>
      </c>
      <c r="Z32" s="23" t="e">
        <f ca="1">Y32+'Returns Analysis'!Y15+(IS!Y42+IS!Y43)</f>
        <v>#N/A</v>
      </c>
      <c r="AA32" s="23" t="e">
        <f ca="1">Z32+'Returns Analysis'!Z15+(IS!Z42+IS!Z43)</f>
        <v>#N/A</v>
      </c>
      <c r="AB32" s="23" t="e">
        <f ca="1">AA32+'Returns Analysis'!AA15+(IS!AA42+IS!AA43)</f>
        <v>#N/A</v>
      </c>
      <c r="AC32" s="23" t="e">
        <f ca="1">AB32+'Returns Analysis'!AB15+(IS!AB42+IS!AB43)</f>
        <v>#N/A</v>
      </c>
      <c r="AD32" s="23" t="e">
        <f ca="1">AC32+'Returns Analysis'!AC15+(IS!AC42+IS!AC43)</f>
        <v>#N/A</v>
      </c>
      <c r="AE32" s="23" t="e">
        <f ca="1">AD32+'Returns Analysis'!AD15+(IS!AD42+IS!AD43)</f>
        <v>#N/A</v>
      </c>
      <c r="AF32" s="23" t="e">
        <f ca="1">AE32+'Returns Analysis'!AE15+(IS!AE42+IS!AE43)</f>
        <v>#N/A</v>
      </c>
      <c r="AG32" s="23" t="e">
        <f ca="1">AF32+'Returns Analysis'!AF15+(IS!AF42+IS!AF43)</f>
        <v>#N/A</v>
      </c>
      <c r="AH32" s="23" t="e">
        <f ca="1">AG32+'Returns Analysis'!AG15+(IS!AG42+IS!AG43)</f>
        <v>#N/A</v>
      </c>
      <c r="AI32" s="294"/>
      <c r="AJ32" s="294"/>
      <c r="AK32" s="294"/>
      <c r="AL32" s="294"/>
      <c r="AM32" s="294"/>
      <c r="AN32" s="294"/>
      <c r="AO32" s="294"/>
      <c r="AP32" s="294"/>
      <c r="AQ32" s="294"/>
      <c r="AR32" s="294"/>
      <c r="AS32" s="294"/>
      <c r="AT32" s="294"/>
      <c r="AU32" s="294"/>
      <c r="AV32" s="294"/>
      <c r="AW32" s="294"/>
      <c r="AX32" s="294"/>
      <c r="AY32" s="294"/>
      <c r="AZ32" s="294"/>
      <c r="BA32" s="294"/>
      <c r="BB32" s="294"/>
      <c r="BC32" s="294"/>
      <c r="BD32" s="294"/>
      <c r="BE32" s="294"/>
      <c r="BF32" s="294"/>
      <c r="BG32" s="294"/>
      <c r="BH32" s="294"/>
    </row>
    <row r="33" spans="1:60">
      <c r="A33" s="23" t="s">
        <v>157</v>
      </c>
      <c r="C33" s="305">
        <v>0</v>
      </c>
      <c r="D33" s="18">
        <f>Assumptions!$C$47</f>
        <v>0</v>
      </c>
      <c r="E33" s="18">
        <f>Assumptions!$C$47</f>
        <v>0</v>
      </c>
      <c r="F33" s="18">
        <f>Assumptions!$C$47</f>
        <v>0</v>
      </c>
      <c r="G33" s="18">
        <f>Assumptions!$C$47</f>
        <v>0</v>
      </c>
      <c r="H33" s="18">
        <f>Assumptions!$C$47</f>
        <v>0</v>
      </c>
      <c r="I33" s="18">
        <f>Assumptions!$C$47</f>
        <v>0</v>
      </c>
      <c r="J33" s="18">
        <f>Assumptions!$C$47</f>
        <v>0</v>
      </c>
      <c r="K33" s="18">
        <f>Assumptions!$C$47</f>
        <v>0</v>
      </c>
      <c r="L33" s="18">
        <f>Assumptions!$C$47</f>
        <v>0</v>
      </c>
      <c r="M33" s="18">
        <f>Assumptions!$C$47</f>
        <v>0</v>
      </c>
      <c r="N33" s="18">
        <f>Assumptions!$C$47</f>
        <v>0</v>
      </c>
      <c r="O33" s="18">
        <f>Assumptions!$C$47</f>
        <v>0</v>
      </c>
      <c r="P33" s="18">
        <f>Assumptions!$C$47</f>
        <v>0</v>
      </c>
      <c r="Q33" s="18">
        <f>Assumptions!$C$47</f>
        <v>0</v>
      </c>
      <c r="R33" s="18">
        <f>Assumptions!$C$47</f>
        <v>0</v>
      </c>
      <c r="S33" s="18">
        <f>Assumptions!$C$47</f>
        <v>0</v>
      </c>
      <c r="T33" s="18">
        <f>Assumptions!$C$47</f>
        <v>0</v>
      </c>
      <c r="U33" s="18">
        <f>Assumptions!$C$47</f>
        <v>0</v>
      </c>
      <c r="V33" s="18">
        <f>Assumptions!$C$47</f>
        <v>0</v>
      </c>
      <c r="W33" s="18">
        <f>Assumptions!$C$47</f>
        <v>0</v>
      </c>
      <c r="X33" s="18">
        <f>Assumptions!$C$47</f>
        <v>0</v>
      </c>
      <c r="Y33" s="18">
        <f>Assumptions!$C$47</f>
        <v>0</v>
      </c>
      <c r="Z33" s="18">
        <f>Assumptions!$C$47</f>
        <v>0</v>
      </c>
      <c r="AA33" s="18">
        <f>Assumptions!$C$47</f>
        <v>0</v>
      </c>
      <c r="AB33" s="18">
        <f>Assumptions!$C$47</f>
        <v>0</v>
      </c>
      <c r="AC33" s="18">
        <f>Assumptions!$C$47</f>
        <v>0</v>
      </c>
      <c r="AD33" s="18">
        <f>Assumptions!$C$47</f>
        <v>0</v>
      </c>
      <c r="AE33" s="18">
        <f>Assumptions!$C$47</f>
        <v>0</v>
      </c>
      <c r="AF33" s="18">
        <f>Assumptions!$C$47</f>
        <v>0</v>
      </c>
      <c r="AG33" s="18">
        <f>Assumptions!$C$47</f>
        <v>0</v>
      </c>
      <c r="AH33" s="18">
        <f>Assumptions!$C$47</f>
        <v>0</v>
      </c>
      <c r="AI33" s="294"/>
      <c r="AJ33" s="294"/>
      <c r="AK33" s="294"/>
      <c r="AL33" s="294"/>
      <c r="AM33" s="294"/>
      <c r="AN33" s="294"/>
      <c r="AO33" s="294"/>
      <c r="AP33" s="294"/>
      <c r="AQ33" s="294"/>
      <c r="AR33" s="294"/>
      <c r="AS33" s="294"/>
      <c r="AT33" s="294"/>
      <c r="AU33" s="294"/>
      <c r="AV33" s="294"/>
      <c r="AW33" s="294"/>
      <c r="AX33" s="294"/>
      <c r="AY33" s="294"/>
      <c r="AZ33" s="294"/>
      <c r="BA33" s="294"/>
      <c r="BB33" s="294"/>
      <c r="BC33" s="294"/>
      <c r="BD33" s="294"/>
      <c r="BE33" s="294"/>
      <c r="BF33" s="294"/>
      <c r="BG33" s="294"/>
      <c r="BH33" s="294"/>
    </row>
    <row r="34" spans="1:60">
      <c r="A34" s="23" t="s">
        <v>158</v>
      </c>
      <c r="C34" s="308">
        <f>Assumptions!C12</f>
        <v>59653.800966475392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294"/>
      <c r="AJ34" s="294"/>
      <c r="AK34" s="294"/>
      <c r="AL34" s="294"/>
      <c r="AM34" s="294"/>
      <c r="AN34" s="294"/>
      <c r="AO34" s="294"/>
      <c r="AP34" s="294"/>
      <c r="AQ34" s="294"/>
      <c r="AR34" s="294"/>
      <c r="AS34" s="294"/>
      <c r="AT34" s="294"/>
      <c r="AU34" s="294"/>
      <c r="AV34" s="294"/>
      <c r="AW34" s="294"/>
      <c r="AX34" s="294"/>
      <c r="AY34" s="294"/>
      <c r="AZ34" s="294"/>
      <c r="BA34" s="294"/>
      <c r="BB34" s="294"/>
      <c r="BC34" s="294"/>
      <c r="BD34" s="294"/>
      <c r="BE34" s="294"/>
      <c r="BF34" s="294"/>
      <c r="BG34" s="294"/>
      <c r="BH34" s="294"/>
    </row>
    <row r="35" spans="1:60">
      <c r="A35" s="23" t="s">
        <v>159</v>
      </c>
      <c r="C35" s="307">
        <v>0</v>
      </c>
      <c r="D35" s="295">
        <v>0</v>
      </c>
      <c r="E35" s="295">
        <v>0</v>
      </c>
      <c r="F35" s="298">
        <v>0</v>
      </c>
      <c r="G35" s="299">
        <v>0</v>
      </c>
      <c r="H35" s="299">
        <v>0</v>
      </c>
      <c r="I35" s="299">
        <v>0</v>
      </c>
      <c r="J35" s="299">
        <v>0</v>
      </c>
      <c r="K35" s="299">
        <v>0</v>
      </c>
      <c r="L35" s="299">
        <v>0</v>
      </c>
      <c r="M35" s="299">
        <v>0</v>
      </c>
      <c r="N35" s="299">
        <v>0</v>
      </c>
      <c r="O35" s="299">
        <v>0</v>
      </c>
      <c r="P35" s="299">
        <v>0</v>
      </c>
      <c r="Q35" s="299">
        <v>0</v>
      </c>
      <c r="R35" s="299">
        <v>0</v>
      </c>
      <c r="S35" s="299">
        <v>0</v>
      </c>
      <c r="T35" s="299">
        <v>0</v>
      </c>
      <c r="U35" s="299">
        <v>0</v>
      </c>
      <c r="V35" s="299">
        <v>0</v>
      </c>
      <c r="W35" s="299">
        <v>0</v>
      </c>
      <c r="X35" s="299">
        <v>0</v>
      </c>
      <c r="Y35" s="299">
        <v>0</v>
      </c>
      <c r="Z35" s="300">
        <v>0</v>
      </c>
      <c r="AA35" s="300">
        <v>0</v>
      </c>
      <c r="AB35" s="299">
        <v>0</v>
      </c>
      <c r="AC35" s="299">
        <v>0</v>
      </c>
      <c r="AD35" s="299">
        <v>0</v>
      </c>
      <c r="AE35" s="299">
        <v>0</v>
      </c>
      <c r="AF35" s="299">
        <v>0</v>
      </c>
      <c r="AG35" s="299">
        <v>0</v>
      </c>
      <c r="AH35" s="299">
        <v>0</v>
      </c>
      <c r="AI35" s="294"/>
      <c r="AJ35" s="294"/>
      <c r="AK35" s="294"/>
      <c r="AL35" s="294"/>
      <c r="AM35" s="294"/>
      <c r="AN35" s="294"/>
      <c r="AO35" s="294"/>
      <c r="AP35" s="294"/>
      <c r="AQ35" s="294"/>
      <c r="AR35" s="294"/>
      <c r="AS35" s="294"/>
      <c r="AT35" s="294"/>
      <c r="AU35" s="294"/>
      <c r="AV35" s="294"/>
      <c r="AW35" s="294"/>
      <c r="AX35" s="294"/>
      <c r="AY35" s="294"/>
      <c r="AZ35" s="294"/>
      <c r="BA35" s="294"/>
      <c r="BB35" s="294"/>
      <c r="BC35" s="294"/>
      <c r="BD35" s="294"/>
      <c r="BE35" s="294"/>
      <c r="BF35" s="294"/>
      <c r="BG35" s="294"/>
      <c r="BH35" s="294"/>
    </row>
    <row r="36" spans="1:60">
      <c r="A36" s="23"/>
      <c r="C36" s="308"/>
      <c r="D36" s="23"/>
      <c r="E36" s="23"/>
      <c r="F36" s="297"/>
      <c r="G36" s="294"/>
      <c r="H36" s="294"/>
      <c r="I36" s="294"/>
      <c r="J36" s="294"/>
      <c r="K36" s="294"/>
      <c r="L36" s="294"/>
      <c r="M36" s="294"/>
      <c r="N36" s="294"/>
      <c r="O36" s="294"/>
      <c r="P36" s="294"/>
      <c r="Q36" s="294"/>
      <c r="R36" s="294"/>
      <c r="S36" s="294"/>
      <c r="T36" s="294"/>
      <c r="U36" s="294"/>
      <c r="V36" s="294"/>
      <c r="W36" s="294"/>
      <c r="X36" s="294"/>
      <c r="Y36" s="294"/>
      <c r="Z36" s="151"/>
      <c r="AA36" s="151"/>
      <c r="AB36" s="294"/>
      <c r="AC36" s="294"/>
      <c r="AD36" s="294"/>
      <c r="AE36" s="294"/>
      <c r="AF36" s="294"/>
      <c r="AG36" s="294"/>
      <c r="AH36" s="294"/>
      <c r="AI36" s="294"/>
      <c r="AJ36" s="294"/>
      <c r="AK36" s="294"/>
      <c r="AL36" s="294"/>
      <c r="AM36" s="294"/>
      <c r="AN36" s="294"/>
      <c r="AO36" s="294"/>
      <c r="AP36" s="294"/>
      <c r="AQ36" s="294"/>
      <c r="AR36" s="294"/>
      <c r="AS36" s="294"/>
      <c r="AT36" s="294"/>
      <c r="AU36" s="294"/>
      <c r="AV36" s="294"/>
      <c r="AW36" s="294"/>
      <c r="AX36" s="294"/>
      <c r="AY36" s="294"/>
      <c r="AZ36" s="294"/>
      <c r="BA36" s="294"/>
      <c r="BB36" s="294"/>
      <c r="BC36" s="294"/>
      <c r="BD36" s="294"/>
      <c r="BE36" s="294"/>
      <c r="BF36" s="294"/>
      <c r="BG36" s="294"/>
      <c r="BH36" s="294"/>
    </row>
    <row r="37" spans="1:60">
      <c r="A37" s="134" t="s">
        <v>160</v>
      </c>
      <c r="B37" s="13"/>
      <c r="C37" s="308">
        <f>SUM(C30:C35)</f>
        <v>59653.800966475392</v>
      </c>
      <c r="D37" s="23" t="e">
        <f ca="1">SUM(D30:D35)</f>
        <v>#N/A</v>
      </c>
      <c r="E37" s="23" t="e">
        <f t="shared" ref="E37:AH37" ca="1" si="4">SUM(E30:E35)</f>
        <v>#N/A</v>
      </c>
      <c r="F37" s="23" t="e">
        <f t="shared" ca="1" si="4"/>
        <v>#N/A</v>
      </c>
      <c r="G37" s="23" t="e">
        <f t="shared" ca="1" si="4"/>
        <v>#N/A</v>
      </c>
      <c r="H37" s="23" t="e">
        <f t="shared" ca="1" si="4"/>
        <v>#N/A</v>
      </c>
      <c r="I37" s="23" t="e">
        <f t="shared" ca="1" si="4"/>
        <v>#N/A</v>
      </c>
      <c r="J37" s="23" t="e">
        <f t="shared" ca="1" si="4"/>
        <v>#N/A</v>
      </c>
      <c r="K37" s="23" t="e">
        <f t="shared" ca="1" si="4"/>
        <v>#N/A</v>
      </c>
      <c r="L37" s="23" t="e">
        <f t="shared" ca="1" si="4"/>
        <v>#N/A</v>
      </c>
      <c r="M37" s="23" t="e">
        <f t="shared" ca="1" si="4"/>
        <v>#N/A</v>
      </c>
      <c r="N37" s="23" t="e">
        <f t="shared" ca="1" si="4"/>
        <v>#N/A</v>
      </c>
      <c r="O37" s="23" t="e">
        <f t="shared" ca="1" si="4"/>
        <v>#N/A</v>
      </c>
      <c r="P37" s="23" t="e">
        <f t="shared" ca="1" si="4"/>
        <v>#N/A</v>
      </c>
      <c r="Q37" s="23" t="e">
        <f t="shared" ca="1" si="4"/>
        <v>#N/A</v>
      </c>
      <c r="R37" s="23" t="e">
        <f t="shared" ca="1" si="4"/>
        <v>#N/A</v>
      </c>
      <c r="S37" s="23" t="e">
        <f t="shared" ca="1" si="4"/>
        <v>#N/A</v>
      </c>
      <c r="T37" s="23" t="e">
        <f t="shared" ca="1" si="4"/>
        <v>#N/A</v>
      </c>
      <c r="U37" s="23" t="e">
        <f t="shared" ca="1" si="4"/>
        <v>#N/A</v>
      </c>
      <c r="V37" s="23" t="e">
        <f t="shared" ca="1" si="4"/>
        <v>#N/A</v>
      </c>
      <c r="W37" s="23" t="e">
        <f t="shared" ca="1" si="4"/>
        <v>#N/A</v>
      </c>
      <c r="X37" s="23" t="e">
        <f t="shared" ca="1" si="4"/>
        <v>#N/A</v>
      </c>
      <c r="Y37" s="23" t="e">
        <f t="shared" ca="1" si="4"/>
        <v>#N/A</v>
      </c>
      <c r="Z37" s="23" t="e">
        <f t="shared" ca="1" si="4"/>
        <v>#N/A</v>
      </c>
      <c r="AA37" s="23" t="e">
        <f t="shared" ca="1" si="4"/>
        <v>#N/A</v>
      </c>
      <c r="AB37" s="23" t="e">
        <f t="shared" ca="1" si="4"/>
        <v>#N/A</v>
      </c>
      <c r="AC37" s="23" t="e">
        <f t="shared" ca="1" si="4"/>
        <v>#N/A</v>
      </c>
      <c r="AD37" s="23" t="e">
        <f t="shared" ca="1" si="4"/>
        <v>#N/A</v>
      </c>
      <c r="AE37" s="23" t="e">
        <f t="shared" ca="1" si="4"/>
        <v>#N/A</v>
      </c>
      <c r="AF37" s="23" t="e">
        <f t="shared" ca="1" si="4"/>
        <v>#N/A</v>
      </c>
      <c r="AG37" s="23" t="e">
        <f t="shared" ca="1" si="4"/>
        <v>#N/A</v>
      </c>
      <c r="AH37" s="23" t="e">
        <f t="shared" ca="1" si="4"/>
        <v>#N/A</v>
      </c>
      <c r="AI37" s="294"/>
      <c r="AJ37" s="294"/>
      <c r="AK37" s="294"/>
      <c r="AL37" s="294"/>
      <c r="AM37" s="294"/>
      <c r="AN37" s="294"/>
      <c r="AO37" s="294"/>
      <c r="AP37" s="294"/>
      <c r="AQ37" s="294"/>
      <c r="AR37" s="294"/>
      <c r="AS37" s="294"/>
      <c r="AT37" s="294"/>
      <c r="AU37" s="294"/>
      <c r="AV37" s="294"/>
      <c r="AW37" s="294"/>
      <c r="AX37" s="294"/>
      <c r="AY37" s="294"/>
      <c r="AZ37" s="294"/>
      <c r="BA37" s="294"/>
      <c r="BB37" s="294"/>
      <c r="BC37" s="294"/>
      <c r="BD37" s="294"/>
      <c r="BE37" s="294"/>
      <c r="BF37" s="294"/>
      <c r="BG37" s="294"/>
      <c r="BH37" s="294"/>
    </row>
    <row r="38" spans="1:60">
      <c r="A38" s="23"/>
      <c r="B38" s="13"/>
      <c r="C38" s="308"/>
      <c r="D38" s="23"/>
      <c r="E38" s="23"/>
      <c r="F38" s="297"/>
      <c r="G38" s="294"/>
      <c r="H38" s="294"/>
      <c r="I38" s="294"/>
      <c r="J38" s="294"/>
      <c r="K38" s="294"/>
      <c r="L38" s="294"/>
      <c r="M38" s="294"/>
      <c r="N38" s="294"/>
      <c r="O38" s="294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151"/>
      <c r="AA38" s="151"/>
      <c r="AB38" s="294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94"/>
      <c r="AO38" s="294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A38" s="294"/>
      <c r="BB38" s="294"/>
      <c r="BC38" s="294"/>
      <c r="BD38" s="294"/>
      <c r="BE38" s="294"/>
      <c r="BF38" s="294"/>
      <c r="BG38" s="294"/>
      <c r="BH38" s="294"/>
    </row>
    <row r="39" spans="1:60">
      <c r="A39" s="134" t="s">
        <v>161</v>
      </c>
      <c r="B39" s="13"/>
      <c r="C39" s="308"/>
      <c r="D39" s="23"/>
      <c r="E39" s="23"/>
      <c r="F39" s="297"/>
      <c r="G39" s="294"/>
      <c r="H39" s="294"/>
      <c r="I39" s="294"/>
      <c r="J39" s="294"/>
      <c r="K39" s="294"/>
      <c r="L39" s="294"/>
      <c r="M39" s="294"/>
      <c r="N39" s="294"/>
      <c r="O39" s="294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151"/>
      <c r="AA39" s="151"/>
      <c r="AB39" s="294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4"/>
      <c r="AN39" s="294"/>
      <c r="AO39" s="294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A39" s="294"/>
      <c r="BB39" s="294"/>
      <c r="BC39" s="294"/>
      <c r="BD39" s="294"/>
      <c r="BE39" s="294"/>
      <c r="BF39" s="294"/>
      <c r="BG39" s="294"/>
      <c r="BH39" s="294"/>
    </row>
    <row r="40" spans="1:60">
      <c r="A40" s="134"/>
      <c r="B40" s="13"/>
      <c r="C40" s="308"/>
      <c r="D40" s="23"/>
      <c r="E40" s="23"/>
      <c r="F40" s="297"/>
      <c r="G40" s="294"/>
      <c r="H40" s="294"/>
      <c r="I40" s="294"/>
      <c r="J40" s="294"/>
      <c r="K40" s="294"/>
      <c r="L40" s="294"/>
      <c r="M40" s="294"/>
      <c r="N40" s="294"/>
      <c r="O40" s="294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151"/>
      <c r="AA40" s="151"/>
      <c r="AB40" s="294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94"/>
      <c r="AO40" s="294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A40" s="294"/>
      <c r="BB40" s="294"/>
      <c r="BC40" s="294"/>
      <c r="BD40" s="294"/>
      <c r="BE40" s="294"/>
      <c r="BF40" s="294"/>
      <c r="BG40" s="294"/>
      <c r="BH40" s="294"/>
    </row>
    <row r="41" spans="1:60">
      <c r="A41" s="23" t="s">
        <v>162</v>
      </c>
      <c r="C41" s="308" t="e">
        <f>Assumptions!$C$11</f>
        <v>#N/A</v>
      </c>
      <c r="D41" s="23" t="e">
        <f>Assumptions!$C$11</f>
        <v>#N/A</v>
      </c>
      <c r="E41" s="23" t="e">
        <f>Assumptions!$C$11</f>
        <v>#N/A</v>
      </c>
      <c r="F41" s="23" t="e">
        <f>Assumptions!$C$11</f>
        <v>#N/A</v>
      </c>
      <c r="G41" s="23" t="e">
        <f>Assumptions!$C$11</f>
        <v>#N/A</v>
      </c>
      <c r="H41" s="23" t="e">
        <f>Assumptions!$C$11</f>
        <v>#N/A</v>
      </c>
      <c r="I41" s="23" t="e">
        <f>Assumptions!$C$11</f>
        <v>#N/A</v>
      </c>
      <c r="J41" s="23" t="e">
        <f>Assumptions!$C$11</f>
        <v>#N/A</v>
      </c>
      <c r="K41" s="23" t="e">
        <f>Assumptions!$C$11</f>
        <v>#N/A</v>
      </c>
      <c r="L41" s="23" t="e">
        <f>Assumptions!$C$11</f>
        <v>#N/A</v>
      </c>
      <c r="M41" s="23" t="e">
        <f>Assumptions!$C$11</f>
        <v>#N/A</v>
      </c>
      <c r="N41" s="23" t="e">
        <f>Assumptions!$C$11</f>
        <v>#N/A</v>
      </c>
      <c r="O41" s="23" t="e">
        <f>Assumptions!$C$11</f>
        <v>#N/A</v>
      </c>
      <c r="P41" s="23" t="e">
        <f>Assumptions!$C$11</f>
        <v>#N/A</v>
      </c>
      <c r="Q41" s="23" t="e">
        <f>Assumptions!$C$11</f>
        <v>#N/A</v>
      </c>
      <c r="R41" s="23" t="e">
        <f>Assumptions!$C$11</f>
        <v>#N/A</v>
      </c>
      <c r="S41" s="23" t="e">
        <f>Assumptions!$C$11</f>
        <v>#N/A</v>
      </c>
      <c r="T41" s="23" t="e">
        <f>Assumptions!$C$11</f>
        <v>#N/A</v>
      </c>
      <c r="U41" s="23" t="e">
        <f>Assumptions!$C$11</f>
        <v>#N/A</v>
      </c>
      <c r="V41" s="23" t="e">
        <f>Assumptions!$C$11</f>
        <v>#N/A</v>
      </c>
      <c r="W41" s="23" t="e">
        <f>Assumptions!$C$11</f>
        <v>#N/A</v>
      </c>
      <c r="X41" s="23" t="e">
        <f>Assumptions!$C$11</f>
        <v>#N/A</v>
      </c>
      <c r="Y41" s="23" t="e">
        <f>Assumptions!$C$11</f>
        <v>#N/A</v>
      </c>
      <c r="Z41" s="23" t="e">
        <f>Assumptions!$C$11</f>
        <v>#N/A</v>
      </c>
      <c r="AA41" s="23" t="e">
        <f>Assumptions!$C$11</f>
        <v>#N/A</v>
      </c>
      <c r="AB41" s="23" t="e">
        <f>Assumptions!$C$11</f>
        <v>#N/A</v>
      </c>
      <c r="AC41" s="23" t="e">
        <f>Assumptions!$C$11</f>
        <v>#N/A</v>
      </c>
      <c r="AD41" s="23" t="e">
        <f>Assumptions!$C$11</f>
        <v>#N/A</v>
      </c>
      <c r="AE41" s="23" t="e">
        <f>Assumptions!$C$11</f>
        <v>#N/A</v>
      </c>
      <c r="AF41" s="23" t="e">
        <f>Assumptions!$C$11</f>
        <v>#N/A</v>
      </c>
      <c r="AG41" s="23" t="e">
        <f>Assumptions!$C$11</f>
        <v>#N/A</v>
      </c>
      <c r="AH41" s="23" t="e">
        <f>Assumptions!$C$11</f>
        <v>#N/A</v>
      </c>
      <c r="AI41" s="294"/>
      <c r="AJ41" s="294"/>
      <c r="AK41" s="294"/>
      <c r="AL41" s="294"/>
      <c r="AM41" s="294"/>
      <c r="AN41" s="294"/>
      <c r="AO41" s="294"/>
      <c r="AP41" s="294"/>
      <c r="AQ41" s="294"/>
      <c r="AR41" s="294"/>
      <c r="AS41" s="294"/>
      <c r="AT41" s="294"/>
      <c r="AU41" s="294"/>
      <c r="AV41" s="294"/>
      <c r="AW41" s="294"/>
      <c r="AX41" s="294"/>
      <c r="AY41" s="294"/>
      <c r="AZ41" s="294"/>
      <c r="BA41" s="294"/>
      <c r="BB41" s="294"/>
      <c r="BC41" s="294"/>
      <c r="BD41" s="294"/>
      <c r="BE41" s="294"/>
      <c r="BF41" s="294"/>
      <c r="BG41" s="294"/>
      <c r="BH41" s="294"/>
    </row>
    <row r="42" spans="1:60">
      <c r="A42" s="23" t="s">
        <v>163</v>
      </c>
      <c r="C42" s="307" t="e">
        <f>IS!B45-'Returns Analysis'!#REF!</f>
        <v>#REF!</v>
      </c>
      <c r="D42" s="295" t="e">
        <f ca="1">IS!C45-'Returns Analysis'!#REF!</f>
        <v>#N/A</v>
      </c>
      <c r="E42" s="295" t="e">
        <f ca="1">IS!D45-'Returns Analysis'!#REF!</f>
        <v>#N/A</v>
      </c>
      <c r="F42" s="295" t="e">
        <f ca="1">IS!E45-'Returns Analysis'!#REF!</f>
        <v>#N/A</v>
      </c>
      <c r="G42" s="295" t="e">
        <f ca="1">IS!F45-'Returns Analysis'!#REF!</f>
        <v>#N/A</v>
      </c>
      <c r="H42" s="295" t="e">
        <f ca="1">IS!G45-'Returns Analysis'!#REF!</f>
        <v>#N/A</v>
      </c>
      <c r="I42" s="295" t="e">
        <f ca="1">IS!H45-'Returns Analysis'!#REF!</f>
        <v>#N/A</v>
      </c>
      <c r="J42" s="295" t="e">
        <f ca="1">IS!I45-'Returns Analysis'!#REF!</f>
        <v>#N/A</v>
      </c>
      <c r="K42" s="295" t="e">
        <f ca="1">IS!J45-'Returns Analysis'!#REF!</f>
        <v>#N/A</v>
      </c>
      <c r="L42" s="295" t="e">
        <f ca="1">IS!K45-'Returns Analysis'!#REF!</f>
        <v>#N/A</v>
      </c>
      <c r="M42" s="295" t="e">
        <f ca="1">IS!L45-'Returns Analysis'!#REF!</f>
        <v>#N/A</v>
      </c>
      <c r="N42" s="295" t="e">
        <f ca="1">IS!M45-'Returns Analysis'!#REF!</f>
        <v>#N/A</v>
      </c>
      <c r="O42" s="295" t="e">
        <f ca="1">IS!N45-'Returns Analysis'!#REF!</f>
        <v>#N/A</v>
      </c>
      <c r="P42" s="295" t="e">
        <f ca="1">IS!O45-'Returns Analysis'!#REF!</f>
        <v>#N/A</v>
      </c>
      <c r="Q42" s="295" t="e">
        <f ca="1">IS!P45-'Returns Analysis'!#REF!</f>
        <v>#N/A</v>
      </c>
      <c r="R42" s="295" t="e">
        <f ca="1">IS!Q45-'Returns Analysis'!#REF!</f>
        <v>#N/A</v>
      </c>
      <c r="S42" s="295" t="e">
        <f ca="1">IS!R45-'Returns Analysis'!#REF!</f>
        <v>#N/A</v>
      </c>
      <c r="T42" s="295" t="e">
        <f ca="1">IS!S45-'Returns Analysis'!#REF!</f>
        <v>#N/A</v>
      </c>
      <c r="U42" s="295" t="e">
        <f ca="1">IS!T45-'Returns Analysis'!#REF!</f>
        <v>#N/A</v>
      </c>
      <c r="V42" s="295" t="e">
        <f ca="1">IS!U45-'Returns Analysis'!#REF!</f>
        <v>#N/A</v>
      </c>
      <c r="W42" s="295" t="e">
        <f ca="1">IS!V45-'Returns Analysis'!#REF!</f>
        <v>#N/A</v>
      </c>
      <c r="X42" s="295" t="e">
        <f ca="1">IS!W45-'Returns Analysis'!#REF!</f>
        <v>#N/A</v>
      </c>
      <c r="Y42" s="295" t="e">
        <f ca="1">IS!X45-'Returns Analysis'!#REF!</f>
        <v>#N/A</v>
      </c>
      <c r="Z42" s="295" t="e">
        <f ca="1">IS!Y45-'Returns Analysis'!#REF!</f>
        <v>#N/A</v>
      </c>
      <c r="AA42" s="295" t="e">
        <f ca="1">IS!Z45-'Returns Analysis'!#REF!</f>
        <v>#N/A</v>
      </c>
      <c r="AB42" s="295" t="e">
        <f ca="1">IS!AA45-'Returns Analysis'!#REF!</f>
        <v>#N/A</v>
      </c>
      <c r="AC42" s="295" t="e">
        <f ca="1">IS!AB45-'Returns Analysis'!#REF!</f>
        <v>#N/A</v>
      </c>
      <c r="AD42" s="295" t="e">
        <f ca="1">IS!AC45-'Returns Analysis'!#REF!</f>
        <v>#N/A</v>
      </c>
      <c r="AE42" s="295" t="e">
        <f ca="1">IS!AD45-'Returns Analysis'!#REF!</f>
        <v>#N/A</v>
      </c>
      <c r="AF42" s="295" t="e">
        <f ca="1">IS!AE45-'Returns Analysis'!#REF!</f>
        <v>#N/A</v>
      </c>
      <c r="AG42" s="295" t="e">
        <f ca="1">IS!AF45-'Returns Analysis'!#REF!</f>
        <v>#N/A</v>
      </c>
      <c r="AH42" s="295" t="e">
        <f ca="1">IS!AG45-'Returns Analysis'!#REF!</f>
        <v>#N/A</v>
      </c>
      <c r="AI42" s="294"/>
      <c r="AJ42" s="294"/>
      <c r="AK42" s="294"/>
      <c r="AL42" s="294"/>
      <c r="AM42" s="294"/>
      <c r="AN42" s="294"/>
      <c r="AO42" s="294"/>
      <c r="AP42" s="294"/>
      <c r="AQ42" s="294"/>
      <c r="AR42" s="294"/>
      <c r="AS42" s="294"/>
      <c r="AT42" s="294"/>
      <c r="AU42" s="294"/>
      <c r="AV42" s="294"/>
      <c r="AW42" s="294"/>
      <c r="AX42" s="294"/>
      <c r="AY42" s="294"/>
      <c r="AZ42" s="294"/>
      <c r="BA42" s="294"/>
      <c r="BB42" s="294"/>
      <c r="BC42" s="294"/>
      <c r="BD42" s="294"/>
      <c r="BE42" s="294"/>
      <c r="BF42" s="294"/>
      <c r="BG42" s="294"/>
      <c r="BH42" s="294"/>
    </row>
    <row r="43" spans="1:60">
      <c r="A43" s="23" t="s">
        <v>164</v>
      </c>
      <c r="C43" s="308" t="e">
        <f>SUM(C41:C42)</f>
        <v>#N/A</v>
      </c>
      <c r="D43" s="23" t="e">
        <f>SUM(D41:D42)</f>
        <v>#N/A</v>
      </c>
      <c r="E43" s="23" t="e">
        <f t="shared" ref="E43:AH43" si="5">SUM(E41:E42)</f>
        <v>#N/A</v>
      </c>
      <c r="F43" s="23" t="e">
        <f t="shared" si="5"/>
        <v>#N/A</v>
      </c>
      <c r="G43" s="23" t="e">
        <f t="shared" si="5"/>
        <v>#N/A</v>
      </c>
      <c r="H43" s="23" t="e">
        <f t="shared" si="5"/>
        <v>#N/A</v>
      </c>
      <c r="I43" s="23" t="e">
        <f t="shared" si="5"/>
        <v>#N/A</v>
      </c>
      <c r="J43" s="23" t="e">
        <f t="shared" si="5"/>
        <v>#N/A</v>
      </c>
      <c r="K43" s="23" t="e">
        <f t="shared" si="5"/>
        <v>#N/A</v>
      </c>
      <c r="L43" s="23" t="e">
        <f t="shared" si="5"/>
        <v>#N/A</v>
      </c>
      <c r="M43" s="23" t="e">
        <f t="shared" si="5"/>
        <v>#N/A</v>
      </c>
      <c r="N43" s="23" t="e">
        <f t="shared" si="5"/>
        <v>#N/A</v>
      </c>
      <c r="O43" s="23" t="e">
        <f t="shared" si="5"/>
        <v>#N/A</v>
      </c>
      <c r="P43" s="23" t="e">
        <f t="shared" si="5"/>
        <v>#N/A</v>
      </c>
      <c r="Q43" s="23" t="e">
        <f t="shared" si="5"/>
        <v>#N/A</v>
      </c>
      <c r="R43" s="23" t="e">
        <f t="shared" si="5"/>
        <v>#N/A</v>
      </c>
      <c r="S43" s="23" t="e">
        <f t="shared" si="5"/>
        <v>#N/A</v>
      </c>
      <c r="T43" s="23" t="e">
        <f t="shared" si="5"/>
        <v>#N/A</v>
      </c>
      <c r="U43" s="23" t="e">
        <f t="shared" si="5"/>
        <v>#N/A</v>
      </c>
      <c r="V43" s="23" t="e">
        <f t="shared" si="5"/>
        <v>#N/A</v>
      </c>
      <c r="W43" s="23" t="e">
        <f t="shared" si="5"/>
        <v>#N/A</v>
      </c>
      <c r="X43" s="23" t="e">
        <f t="shared" si="5"/>
        <v>#N/A</v>
      </c>
      <c r="Y43" s="23" t="e">
        <f t="shared" si="5"/>
        <v>#N/A</v>
      </c>
      <c r="Z43" s="23" t="e">
        <f t="shared" si="5"/>
        <v>#N/A</v>
      </c>
      <c r="AA43" s="23" t="e">
        <f t="shared" si="5"/>
        <v>#N/A</v>
      </c>
      <c r="AB43" s="23" t="e">
        <f t="shared" si="5"/>
        <v>#N/A</v>
      </c>
      <c r="AC43" s="23" t="e">
        <f t="shared" si="5"/>
        <v>#N/A</v>
      </c>
      <c r="AD43" s="23" t="e">
        <f t="shared" si="5"/>
        <v>#N/A</v>
      </c>
      <c r="AE43" s="23" t="e">
        <f t="shared" si="5"/>
        <v>#N/A</v>
      </c>
      <c r="AF43" s="23" t="e">
        <f t="shared" si="5"/>
        <v>#N/A</v>
      </c>
      <c r="AG43" s="23" t="e">
        <f t="shared" si="5"/>
        <v>#N/A</v>
      </c>
      <c r="AH43" s="23" t="e">
        <f t="shared" si="5"/>
        <v>#N/A</v>
      </c>
      <c r="AI43" s="294"/>
      <c r="AJ43" s="294"/>
      <c r="AK43" s="294"/>
      <c r="AL43" s="294"/>
      <c r="AM43" s="294"/>
      <c r="AN43" s="294"/>
      <c r="AO43" s="294"/>
      <c r="AP43" s="294"/>
      <c r="AQ43" s="294"/>
      <c r="AR43" s="294"/>
      <c r="AS43" s="294"/>
      <c r="AT43" s="294"/>
      <c r="AU43" s="294"/>
      <c r="AV43" s="294"/>
      <c r="AW43" s="294"/>
      <c r="AX43" s="294"/>
      <c r="AY43" s="294"/>
      <c r="AZ43" s="294"/>
      <c r="BA43" s="294"/>
      <c r="BB43" s="294"/>
      <c r="BC43" s="294"/>
      <c r="BD43" s="294"/>
      <c r="BE43" s="294"/>
      <c r="BF43" s="294"/>
      <c r="BG43" s="294"/>
      <c r="BH43" s="294"/>
    </row>
    <row r="44" spans="1:60">
      <c r="A44" s="13"/>
      <c r="B44" s="13"/>
      <c r="C44" s="308"/>
      <c r="D44" s="23"/>
      <c r="E44" s="23"/>
      <c r="F44" s="297"/>
      <c r="G44" s="294"/>
      <c r="H44" s="294"/>
      <c r="I44" s="294"/>
      <c r="J44" s="294"/>
      <c r="K44" s="294"/>
      <c r="L44" s="294"/>
      <c r="M44" s="294"/>
      <c r="N44" s="294"/>
      <c r="O44" s="294"/>
      <c r="P44" s="294"/>
      <c r="Q44" s="294"/>
      <c r="R44" s="294"/>
      <c r="S44" s="294"/>
      <c r="T44" s="294"/>
      <c r="U44" s="294"/>
      <c r="V44" s="294"/>
      <c r="W44" s="294"/>
      <c r="X44" s="294"/>
      <c r="Y44" s="294"/>
      <c r="Z44" s="151"/>
      <c r="AA44" s="151"/>
      <c r="AB44" s="294"/>
      <c r="AC44" s="294"/>
      <c r="AD44" s="294"/>
      <c r="AE44" s="294"/>
      <c r="AF44" s="294"/>
      <c r="AG44" s="294"/>
      <c r="AH44" s="294"/>
      <c r="AI44" s="294"/>
      <c r="AJ44" s="294"/>
      <c r="AK44" s="294"/>
      <c r="AL44" s="294"/>
      <c r="AM44" s="294"/>
      <c r="AN44" s="294"/>
      <c r="AO44" s="294"/>
      <c r="AP44" s="294"/>
      <c r="AQ44" s="294"/>
      <c r="AR44" s="294"/>
      <c r="AS44" s="294"/>
      <c r="AT44" s="294"/>
      <c r="AU44" s="294"/>
      <c r="AV44" s="294"/>
      <c r="AW44" s="294"/>
      <c r="AX44" s="294"/>
      <c r="AY44" s="294"/>
      <c r="AZ44" s="294"/>
      <c r="BA44" s="294"/>
      <c r="BB44" s="294"/>
      <c r="BC44" s="294"/>
      <c r="BD44" s="294"/>
      <c r="BE44" s="294"/>
      <c r="BF44" s="294"/>
      <c r="BG44" s="294"/>
      <c r="BH44" s="294"/>
    </row>
    <row r="45" spans="1:60">
      <c r="A45" s="134" t="s">
        <v>165</v>
      </c>
      <c r="B45" s="13"/>
      <c r="C45" s="308" t="e">
        <f>C43+C37</f>
        <v>#N/A</v>
      </c>
      <c r="D45" s="23" t="e">
        <f ca="1">D43+D37</f>
        <v>#N/A</v>
      </c>
      <c r="E45" s="23" t="e">
        <f t="shared" ref="E45:AH45" ca="1" si="6">E43+E37</f>
        <v>#N/A</v>
      </c>
      <c r="F45" s="23" t="e">
        <f t="shared" ca="1" si="6"/>
        <v>#N/A</v>
      </c>
      <c r="G45" s="23" t="e">
        <f t="shared" ca="1" si="6"/>
        <v>#N/A</v>
      </c>
      <c r="H45" s="23" t="e">
        <f t="shared" ca="1" si="6"/>
        <v>#N/A</v>
      </c>
      <c r="I45" s="23" t="e">
        <f t="shared" ca="1" si="6"/>
        <v>#N/A</v>
      </c>
      <c r="J45" s="23" t="e">
        <f t="shared" ca="1" si="6"/>
        <v>#N/A</v>
      </c>
      <c r="K45" s="23" t="e">
        <f t="shared" ca="1" si="6"/>
        <v>#N/A</v>
      </c>
      <c r="L45" s="23" t="e">
        <f t="shared" ca="1" si="6"/>
        <v>#N/A</v>
      </c>
      <c r="M45" s="23" t="e">
        <f t="shared" ca="1" si="6"/>
        <v>#N/A</v>
      </c>
      <c r="N45" s="23" t="e">
        <f t="shared" ca="1" si="6"/>
        <v>#N/A</v>
      </c>
      <c r="O45" s="23" t="e">
        <f t="shared" ca="1" si="6"/>
        <v>#N/A</v>
      </c>
      <c r="P45" s="23" t="e">
        <f t="shared" ca="1" si="6"/>
        <v>#N/A</v>
      </c>
      <c r="Q45" s="23" t="e">
        <f t="shared" ca="1" si="6"/>
        <v>#N/A</v>
      </c>
      <c r="R45" s="23" t="e">
        <f t="shared" ca="1" si="6"/>
        <v>#N/A</v>
      </c>
      <c r="S45" s="23" t="e">
        <f t="shared" ca="1" si="6"/>
        <v>#N/A</v>
      </c>
      <c r="T45" s="23" t="e">
        <f t="shared" ca="1" si="6"/>
        <v>#N/A</v>
      </c>
      <c r="U45" s="23" t="e">
        <f t="shared" ca="1" si="6"/>
        <v>#N/A</v>
      </c>
      <c r="V45" s="23" t="e">
        <f t="shared" ca="1" si="6"/>
        <v>#N/A</v>
      </c>
      <c r="W45" s="23" t="e">
        <f t="shared" ca="1" si="6"/>
        <v>#N/A</v>
      </c>
      <c r="X45" s="23" t="e">
        <f t="shared" ca="1" si="6"/>
        <v>#N/A</v>
      </c>
      <c r="Y45" s="23" t="e">
        <f t="shared" ca="1" si="6"/>
        <v>#N/A</v>
      </c>
      <c r="Z45" s="23" t="e">
        <f t="shared" ca="1" si="6"/>
        <v>#N/A</v>
      </c>
      <c r="AA45" s="23" t="e">
        <f t="shared" ca="1" si="6"/>
        <v>#N/A</v>
      </c>
      <c r="AB45" s="23" t="e">
        <f t="shared" ca="1" si="6"/>
        <v>#N/A</v>
      </c>
      <c r="AC45" s="23" t="e">
        <f t="shared" ca="1" si="6"/>
        <v>#N/A</v>
      </c>
      <c r="AD45" s="23" t="e">
        <f t="shared" ca="1" si="6"/>
        <v>#N/A</v>
      </c>
      <c r="AE45" s="23" t="e">
        <f t="shared" ca="1" si="6"/>
        <v>#N/A</v>
      </c>
      <c r="AF45" s="23" t="e">
        <f t="shared" ca="1" si="6"/>
        <v>#N/A</v>
      </c>
      <c r="AG45" s="23" t="e">
        <f t="shared" ca="1" si="6"/>
        <v>#N/A</v>
      </c>
      <c r="AH45" s="23" t="e">
        <f t="shared" ca="1" si="6"/>
        <v>#N/A</v>
      </c>
      <c r="AI45" s="294"/>
      <c r="AJ45" s="294"/>
      <c r="AK45" s="294"/>
      <c r="AL45" s="294"/>
      <c r="AM45" s="294"/>
      <c r="AN45" s="294"/>
      <c r="AO45" s="294"/>
      <c r="AP45" s="294"/>
      <c r="AQ45" s="294"/>
      <c r="AR45" s="294"/>
      <c r="AS45" s="294"/>
      <c r="AT45" s="294"/>
      <c r="AU45" s="294"/>
      <c r="AV45" s="294"/>
      <c r="AW45" s="294"/>
      <c r="AX45" s="294"/>
      <c r="AY45" s="294"/>
      <c r="AZ45" s="294"/>
      <c r="BA45" s="294"/>
      <c r="BB45" s="294"/>
      <c r="BC45" s="294"/>
      <c r="BD45" s="294"/>
      <c r="BE45" s="294"/>
      <c r="BF45" s="294"/>
      <c r="BG45" s="294"/>
      <c r="BH45" s="294"/>
    </row>
    <row r="46" spans="1:60">
      <c r="A46" s="23"/>
      <c r="B46" s="13"/>
      <c r="C46" s="308"/>
      <c r="D46" s="23"/>
      <c r="E46" s="23"/>
      <c r="F46" s="297"/>
      <c r="G46" s="294"/>
      <c r="H46" s="294"/>
      <c r="I46" s="294"/>
      <c r="J46" s="294"/>
      <c r="K46" s="294"/>
      <c r="L46" s="294"/>
      <c r="M46" s="294"/>
      <c r="N46" s="294"/>
      <c r="O46" s="294"/>
      <c r="P46" s="294"/>
      <c r="Q46" s="294"/>
      <c r="R46" s="294"/>
      <c r="S46" s="294"/>
      <c r="T46" s="294"/>
      <c r="U46" s="294"/>
      <c r="V46" s="294"/>
      <c r="W46" s="294"/>
      <c r="X46" s="294"/>
      <c r="Y46" s="294"/>
      <c r="Z46" s="151"/>
      <c r="AA46" s="151"/>
      <c r="AB46" s="294"/>
      <c r="AC46" s="294"/>
      <c r="AD46" s="294"/>
      <c r="AE46" s="294"/>
      <c r="AF46" s="294"/>
      <c r="AG46" s="294"/>
      <c r="AH46" s="294"/>
      <c r="AI46" s="294"/>
      <c r="AJ46" s="294"/>
      <c r="AK46" s="294"/>
      <c r="AL46" s="294"/>
      <c r="AM46" s="294"/>
      <c r="AN46" s="294"/>
      <c r="AO46" s="294"/>
      <c r="AP46" s="294"/>
      <c r="AQ46" s="294"/>
      <c r="AR46" s="294"/>
      <c r="AS46" s="294"/>
      <c r="AT46" s="294"/>
      <c r="AU46" s="294"/>
      <c r="AV46" s="294"/>
      <c r="AW46" s="294"/>
      <c r="AX46" s="294"/>
      <c r="AY46" s="294"/>
      <c r="AZ46" s="294"/>
      <c r="BA46" s="294"/>
      <c r="BB46" s="294"/>
      <c r="BC46" s="294"/>
      <c r="BD46" s="294"/>
      <c r="BE46" s="294"/>
      <c r="BF46" s="294"/>
      <c r="BG46" s="294"/>
      <c r="BH46" s="294"/>
    </row>
    <row r="47" spans="1:60">
      <c r="A47" s="134" t="s">
        <v>166</v>
      </c>
      <c r="B47" s="13"/>
      <c r="C47" s="308" t="e">
        <f>C25-C45</f>
        <v>#N/A</v>
      </c>
      <c r="D47" s="23" t="e">
        <f ca="1">D25-D45</f>
        <v>#N/A</v>
      </c>
      <c r="E47" s="23" t="e">
        <f t="shared" ref="E47:AH47" ca="1" si="7">E25-E45</f>
        <v>#N/A</v>
      </c>
      <c r="F47" s="23" t="e">
        <f t="shared" ca="1" si="7"/>
        <v>#N/A</v>
      </c>
      <c r="G47" s="23" t="e">
        <f t="shared" ca="1" si="7"/>
        <v>#N/A</v>
      </c>
      <c r="H47" s="23" t="e">
        <f t="shared" ca="1" si="7"/>
        <v>#N/A</v>
      </c>
      <c r="I47" s="23" t="e">
        <f t="shared" ca="1" si="7"/>
        <v>#N/A</v>
      </c>
      <c r="J47" s="23" t="e">
        <f t="shared" ca="1" si="7"/>
        <v>#N/A</v>
      </c>
      <c r="K47" s="23" t="e">
        <f t="shared" ca="1" si="7"/>
        <v>#N/A</v>
      </c>
      <c r="L47" s="23" t="e">
        <f t="shared" ca="1" si="7"/>
        <v>#N/A</v>
      </c>
      <c r="M47" s="23" t="e">
        <f t="shared" ca="1" si="7"/>
        <v>#N/A</v>
      </c>
      <c r="N47" s="23" t="e">
        <f t="shared" ca="1" si="7"/>
        <v>#N/A</v>
      </c>
      <c r="O47" s="23" t="e">
        <f t="shared" ca="1" si="7"/>
        <v>#N/A</v>
      </c>
      <c r="P47" s="23" t="e">
        <f t="shared" ca="1" si="7"/>
        <v>#N/A</v>
      </c>
      <c r="Q47" s="23" t="e">
        <f t="shared" ca="1" si="7"/>
        <v>#N/A</v>
      </c>
      <c r="R47" s="23" t="e">
        <f t="shared" ca="1" si="7"/>
        <v>#N/A</v>
      </c>
      <c r="S47" s="23" t="e">
        <f t="shared" ca="1" si="7"/>
        <v>#N/A</v>
      </c>
      <c r="T47" s="23" t="e">
        <f t="shared" ca="1" si="7"/>
        <v>#N/A</v>
      </c>
      <c r="U47" s="23" t="e">
        <f t="shared" ca="1" si="7"/>
        <v>#N/A</v>
      </c>
      <c r="V47" s="23" t="e">
        <f t="shared" ca="1" si="7"/>
        <v>#N/A</v>
      </c>
      <c r="W47" s="23" t="e">
        <f t="shared" ca="1" si="7"/>
        <v>#N/A</v>
      </c>
      <c r="X47" s="23" t="e">
        <f t="shared" ca="1" si="7"/>
        <v>#N/A</v>
      </c>
      <c r="Y47" s="23" t="e">
        <f t="shared" ca="1" si="7"/>
        <v>#N/A</v>
      </c>
      <c r="Z47" s="23" t="e">
        <f t="shared" ca="1" si="7"/>
        <v>#N/A</v>
      </c>
      <c r="AA47" s="23" t="e">
        <f t="shared" ca="1" si="7"/>
        <v>#N/A</v>
      </c>
      <c r="AB47" s="23" t="e">
        <f t="shared" ca="1" si="7"/>
        <v>#N/A</v>
      </c>
      <c r="AC47" s="23" t="e">
        <f t="shared" ca="1" si="7"/>
        <v>#N/A</v>
      </c>
      <c r="AD47" s="23" t="e">
        <f t="shared" ca="1" si="7"/>
        <v>#N/A</v>
      </c>
      <c r="AE47" s="23" t="e">
        <f t="shared" ca="1" si="7"/>
        <v>#N/A</v>
      </c>
      <c r="AF47" s="23" t="e">
        <f t="shared" ca="1" si="7"/>
        <v>#N/A</v>
      </c>
      <c r="AG47" s="23" t="e">
        <f t="shared" ca="1" si="7"/>
        <v>#N/A</v>
      </c>
      <c r="AH47" s="23" t="e">
        <f t="shared" ca="1" si="7"/>
        <v>#N/A</v>
      </c>
      <c r="AI47" s="294"/>
      <c r="AJ47" s="294"/>
      <c r="AK47" s="294"/>
      <c r="AL47" s="294"/>
      <c r="AM47" s="294"/>
      <c r="AN47" s="294"/>
      <c r="AO47" s="294"/>
      <c r="AP47" s="294"/>
      <c r="AQ47" s="294"/>
      <c r="AR47" s="294"/>
      <c r="AS47" s="294"/>
      <c r="AT47" s="294"/>
      <c r="AU47" s="294"/>
      <c r="AV47" s="294"/>
      <c r="AW47" s="294"/>
      <c r="AX47" s="294"/>
      <c r="AY47" s="294"/>
      <c r="AZ47" s="294"/>
      <c r="BA47" s="294"/>
      <c r="BB47" s="294"/>
      <c r="BC47" s="294"/>
      <c r="BD47" s="294"/>
      <c r="BE47" s="294"/>
      <c r="BF47" s="294"/>
      <c r="BG47" s="294"/>
      <c r="BH47" s="294"/>
    </row>
    <row r="48" spans="1:60">
      <c r="A48" s="13"/>
      <c r="B48" s="13"/>
      <c r="C48" s="23"/>
      <c r="D48" s="23"/>
      <c r="E48" s="23"/>
      <c r="F48" s="297"/>
      <c r="G48" s="294"/>
      <c r="H48" s="294"/>
      <c r="I48" s="294"/>
      <c r="J48" s="294"/>
      <c r="K48" s="294"/>
      <c r="L48" s="294"/>
      <c r="M48" s="294"/>
      <c r="N48" s="294"/>
      <c r="O48" s="294"/>
      <c r="P48" s="294"/>
      <c r="Q48" s="294"/>
      <c r="R48" s="294"/>
      <c r="S48" s="294"/>
      <c r="T48" s="294"/>
      <c r="U48" s="294"/>
      <c r="V48" s="294"/>
      <c r="W48" s="294"/>
      <c r="X48" s="294"/>
      <c r="Y48" s="294"/>
      <c r="Z48" s="151"/>
      <c r="AA48" s="151"/>
      <c r="AB48" s="294"/>
      <c r="AC48" s="294"/>
      <c r="AD48" s="294"/>
      <c r="AE48" s="294"/>
      <c r="AF48" s="294"/>
      <c r="AG48" s="294"/>
      <c r="AH48" s="294"/>
      <c r="AI48" s="294"/>
      <c r="AJ48" s="294"/>
      <c r="AK48" s="294"/>
      <c r="AL48" s="294"/>
      <c r="AM48" s="294"/>
      <c r="AN48" s="294"/>
      <c r="AO48" s="294"/>
      <c r="AP48" s="294"/>
      <c r="AQ48" s="294"/>
      <c r="AR48" s="294"/>
      <c r="AS48" s="294"/>
      <c r="AT48" s="294"/>
      <c r="AU48" s="294"/>
      <c r="AV48" s="294"/>
      <c r="AW48" s="294"/>
      <c r="AX48" s="294"/>
      <c r="AY48" s="294"/>
      <c r="AZ48" s="294"/>
      <c r="BA48" s="294"/>
      <c r="BB48" s="294"/>
      <c r="BC48" s="294"/>
      <c r="BD48" s="294"/>
      <c r="BE48" s="294"/>
      <c r="BF48" s="294"/>
      <c r="BG48" s="294"/>
      <c r="BH48" s="294"/>
    </row>
    <row r="49" spans="1:60">
      <c r="A49" s="13"/>
      <c r="B49" s="13"/>
      <c r="C49" s="23"/>
      <c r="D49" s="23"/>
      <c r="E49" s="23"/>
      <c r="F49" s="297"/>
      <c r="G49" s="294"/>
      <c r="H49" s="294"/>
      <c r="I49" s="294"/>
      <c r="J49" s="294"/>
      <c r="K49" s="294"/>
      <c r="L49" s="294"/>
      <c r="M49" s="294"/>
      <c r="N49" s="294"/>
      <c r="O49" s="294"/>
      <c r="P49" s="294"/>
      <c r="Q49" s="294"/>
      <c r="R49" s="294"/>
      <c r="S49" s="294"/>
      <c r="T49" s="294"/>
      <c r="U49" s="294"/>
      <c r="V49" s="294"/>
      <c r="W49" s="294"/>
      <c r="X49" s="294"/>
      <c r="Y49" s="294"/>
      <c r="Z49" s="151"/>
      <c r="AA49" s="151"/>
      <c r="AB49" s="294"/>
      <c r="AC49" s="294"/>
      <c r="AD49" s="294"/>
      <c r="AE49" s="294"/>
      <c r="AF49" s="294"/>
      <c r="AG49" s="294"/>
      <c r="AH49" s="294"/>
      <c r="AI49" s="294"/>
      <c r="AJ49" s="294"/>
      <c r="AK49" s="294"/>
      <c r="AL49" s="294"/>
      <c r="AM49" s="294"/>
      <c r="AN49" s="294"/>
      <c r="AO49" s="294"/>
      <c r="AP49" s="294"/>
      <c r="AQ49" s="294"/>
      <c r="AR49" s="294"/>
      <c r="AS49" s="294"/>
      <c r="AT49" s="294"/>
      <c r="AU49" s="294"/>
      <c r="AV49" s="294"/>
      <c r="AW49" s="294"/>
      <c r="AX49" s="294"/>
      <c r="AY49" s="294"/>
      <c r="AZ49" s="294"/>
      <c r="BA49" s="294"/>
      <c r="BB49" s="294"/>
      <c r="BC49" s="294"/>
      <c r="BD49" s="294"/>
      <c r="BE49" s="294"/>
      <c r="BF49" s="294"/>
      <c r="BG49" s="294"/>
      <c r="BH49" s="294"/>
    </row>
    <row r="50" spans="1:60">
      <c r="A50" s="13"/>
      <c r="B50" s="13"/>
      <c r="C50" s="23"/>
      <c r="D50" s="23"/>
      <c r="E50" s="23"/>
      <c r="F50" s="297"/>
      <c r="G50" s="294"/>
      <c r="H50" s="294"/>
      <c r="I50" s="294"/>
      <c r="J50" s="294"/>
      <c r="K50" s="294"/>
      <c r="L50" s="294"/>
      <c r="M50" s="294"/>
      <c r="N50" s="294"/>
      <c r="O50" s="294"/>
      <c r="P50" s="294"/>
      <c r="Q50" s="294"/>
      <c r="R50" s="294"/>
      <c r="S50" s="294"/>
      <c r="T50" s="294"/>
      <c r="U50" s="294"/>
      <c r="V50" s="294"/>
      <c r="W50" s="294"/>
      <c r="X50" s="294"/>
      <c r="Y50" s="294"/>
      <c r="Z50" s="151"/>
      <c r="AA50" s="151"/>
      <c r="AB50" s="294"/>
      <c r="AC50" s="294"/>
      <c r="AD50" s="294"/>
      <c r="AE50" s="294"/>
      <c r="AF50" s="294"/>
      <c r="AG50" s="294"/>
      <c r="AH50" s="294"/>
      <c r="AI50" s="294"/>
      <c r="AJ50" s="294"/>
      <c r="AK50" s="294"/>
      <c r="AL50" s="294"/>
      <c r="AM50" s="294"/>
      <c r="AN50" s="294"/>
      <c r="AO50" s="294"/>
      <c r="AP50" s="294"/>
      <c r="AQ50" s="294"/>
      <c r="AR50" s="294"/>
      <c r="AS50" s="294"/>
      <c r="AT50" s="294"/>
      <c r="AU50" s="294"/>
      <c r="AV50" s="294"/>
      <c r="AW50" s="294"/>
      <c r="AX50" s="294"/>
      <c r="AY50" s="294"/>
      <c r="AZ50" s="294"/>
      <c r="BA50" s="294"/>
      <c r="BB50" s="294"/>
      <c r="BC50" s="294"/>
      <c r="BD50" s="294"/>
      <c r="BE50" s="294"/>
      <c r="BF50" s="294"/>
      <c r="BG50" s="294"/>
      <c r="BH50" s="294"/>
    </row>
    <row r="51" spans="1:60">
      <c r="A51" s="13"/>
      <c r="B51" s="13"/>
      <c r="C51" s="23"/>
      <c r="D51" s="23"/>
      <c r="E51" s="23"/>
      <c r="F51" s="297"/>
      <c r="G51" s="294"/>
      <c r="H51" s="294"/>
      <c r="I51" s="294"/>
      <c r="J51" s="294"/>
      <c r="K51" s="294"/>
      <c r="L51" s="294"/>
      <c r="M51" s="294"/>
      <c r="N51" s="294"/>
      <c r="O51" s="294"/>
      <c r="P51" s="294"/>
      <c r="Q51" s="294"/>
      <c r="R51" s="294"/>
      <c r="S51" s="294"/>
      <c r="T51" s="294"/>
      <c r="U51" s="294"/>
      <c r="V51" s="294"/>
      <c r="W51" s="294"/>
      <c r="X51" s="294"/>
      <c r="Y51" s="294"/>
      <c r="Z51" s="151"/>
      <c r="AA51" s="151"/>
      <c r="AB51" s="294"/>
      <c r="AC51" s="294"/>
      <c r="AD51" s="294"/>
      <c r="AE51" s="294"/>
      <c r="AF51" s="294"/>
      <c r="AG51" s="294"/>
      <c r="AH51" s="294"/>
      <c r="AI51" s="294"/>
      <c r="AJ51" s="294"/>
      <c r="AK51" s="294"/>
      <c r="AL51" s="294"/>
      <c r="AM51" s="294"/>
      <c r="AN51" s="294"/>
      <c r="AO51" s="294"/>
      <c r="AP51" s="294"/>
      <c r="AQ51" s="294"/>
      <c r="AR51" s="294"/>
      <c r="AS51" s="294"/>
      <c r="AT51" s="294"/>
      <c r="AU51" s="294"/>
      <c r="AV51" s="294"/>
      <c r="AW51" s="294"/>
      <c r="AX51" s="294"/>
      <c r="AY51" s="294"/>
      <c r="AZ51" s="294"/>
      <c r="BA51" s="294"/>
      <c r="BB51" s="294"/>
      <c r="BC51" s="294"/>
      <c r="BD51" s="294"/>
      <c r="BE51" s="294"/>
      <c r="BF51" s="294"/>
      <c r="BG51" s="294"/>
      <c r="BH51" s="294"/>
    </row>
    <row r="52" spans="1:60">
      <c r="A52" s="13"/>
      <c r="B52" s="13"/>
      <c r="C52" s="23"/>
      <c r="D52" s="23"/>
      <c r="E52" s="23"/>
      <c r="F52" s="297"/>
      <c r="G52" s="294"/>
      <c r="H52" s="294"/>
      <c r="I52" s="294"/>
      <c r="J52" s="294"/>
      <c r="K52" s="294"/>
      <c r="L52" s="294"/>
      <c r="M52" s="294"/>
      <c r="N52" s="294"/>
      <c r="O52" s="294"/>
      <c r="P52" s="294"/>
      <c r="Q52" s="294"/>
      <c r="R52" s="294"/>
      <c r="S52" s="294"/>
      <c r="T52" s="294"/>
      <c r="U52" s="294"/>
      <c r="V52" s="294"/>
      <c r="W52" s="294"/>
      <c r="X52" s="294"/>
      <c r="Y52" s="294"/>
      <c r="Z52" s="151"/>
      <c r="AA52" s="151"/>
      <c r="AB52" s="294"/>
      <c r="AC52" s="294"/>
      <c r="AD52" s="294"/>
      <c r="AE52" s="294"/>
      <c r="AF52" s="294"/>
      <c r="AG52" s="294"/>
      <c r="AH52" s="294"/>
      <c r="AI52" s="294"/>
      <c r="AJ52" s="294"/>
      <c r="AK52" s="294"/>
      <c r="AL52" s="294"/>
      <c r="AM52" s="294"/>
      <c r="AN52" s="294"/>
      <c r="AO52" s="294"/>
      <c r="AP52" s="294"/>
      <c r="AQ52" s="294"/>
      <c r="AR52" s="294"/>
      <c r="AS52" s="294"/>
      <c r="AT52" s="294"/>
      <c r="AU52" s="294"/>
      <c r="AV52" s="294"/>
      <c r="AW52" s="294"/>
      <c r="AX52" s="294"/>
      <c r="AY52" s="294"/>
      <c r="AZ52" s="294"/>
      <c r="BA52" s="294"/>
      <c r="BB52" s="294"/>
      <c r="BC52" s="294"/>
      <c r="BD52" s="294"/>
      <c r="BE52" s="294"/>
      <c r="BF52" s="294"/>
      <c r="BG52" s="294"/>
      <c r="BH52" s="294"/>
    </row>
    <row r="53" spans="1:60">
      <c r="A53" s="13"/>
      <c r="B53" s="13"/>
      <c r="C53" s="23"/>
      <c r="D53" s="23"/>
      <c r="E53" s="23"/>
      <c r="F53" s="297"/>
      <c r="G53" s="294"/>
      <c r="H53" s="294"/>
      <c r="I53" s="294"/>
      <c r="J53" s="294"/>
      <c r="K53" s="294"/>
      <c r="L53" s="294"/>
      <c r="M53" s="294"/>
      <c r="N53" s="294"/>
      <c r="O53" s="294"/>
      <c r="P53" s="294"/>
      <c r="Q53" s="294"/>
      <c r="R53" s="294"/>
      <c r="S53" s="294"/>
      <c r="T53" s="294"/>
      <c r="U53" s="294"/>
      <c r="V53" s="294"/>
      <c r="W53" s="294"/>
      <c r="X53" s="294"/>
      <c r="Y53" s="294"/>
      <c r="Z53" s="151"/>
      <c r="AA53" s="151"/>
      <c r="AB53" s="294"/>
      <c r="AC53" s="294"/>
      <c r="AD53" s="294"/>
      <c r="AE53" s="294"/>
      <c r="AF53" s="294"/>
      <c r="AG53" s="294"/>
      <c r="AH53" s="294"/>
      <c r="AI53" s="294"/>
      <c r="AJ53" s="294"/>
      <c r="AK53" s="294"/>
      <c r="AL53" s="294"/>
      <c r="AM53" s="294"/>
      <c r="AN53" s="294"/>
      <c r="AO53" s="294"/>
      <c r="AP53" s="294"/>
      <c r="AQ53" s="294"/>
      <c r="AR53" s="294"/>
      <c r="AS53" s="294"/>
      <c r="AT53" s="294"/>
      <c r="AU53" s="294"/>
      <c r="AV53" s="294"/>
      <c r="AW53" s="294"/>
      <c r="AX53" s="294"/>
      <c r="AY53" s="294"/>
      <c r="AZ53" s="294"/>
      <c r="BA53" s="294"/>
      <c r="BB53" s="294"/>
      <c r="BC53" s="294"/>
      <c r="BD53" s="294"/>
      <c r="BE53" s="294"/>
      <c r="BF53" s="294"/>
      <c r="BG53" s="294"/>
      <c r="BH53" s="294"/>
    </row>
    <row r="54" spans="1:60">
      <c r="A54" s="13"/>
      <c r="B54" s="13"/>
      <c r="C54" s="23"/>
      <c r="D54" s="23"/>
      <c r="E54" s="23"/>
      <c r="F54" s="297"/>
      <c r="G54" s="294"/>
      <c r="H54" s="294"/>
      <c r="I54" s="294"/>
      <c r="J54" s="294"/>
      <c r="K54" s="294"/>
      <c r="L54" s="294"/>
      <c r="M54" s="294"/>
      <c r="N54" s="294"/>
      <c r="O54" s="294"/>
      <c r="P54" s="294"/>
      <c r="Q54" s="294"/>
      <c r="R54" s="294"/>
      <c r="S54" s="294"/>
      <c r="T54" s="294"/>
      <c r="U54" s="294"/>
      <c r="V54" s="294"/>
      <c r="W54" s="294"/>
      <c r="X54" s="294"/>
      <c r="Y54" s="294"/>
      <c r="Z54" s="151"/>
      <c r="AA54" s="151"/>
      <c r="AB54" s="294"/>
      <c r="AC54" s="294"/>
      <c r="AD54" s="294"/>
      <c r="AE54" s="294"/>
      <c r="AF54" s="294"/>
      <c r="AG54" s="294"/>
      <c r="AH54" s="294"/>
      <c r="AI54" s="294"/>
      <c r="AJ54" s="294"/>
      <c r="AK54" s="294"/>
      <c r="AL54" s="294"/>
      <c r="AM54" s="294"/>
      <c r="AN54" s="294"/>
      <c r="AO54" s="294"/>
      <c r="AP54" s="294"/>
      <c r="AQ54" s="294"/>
      <c r="AR54" s="294"/>
      <c r="AS54" s="294"/>
      <c r="AT54" s="294"/>
      <c r="AU54" s="294"/>
      <c r="AV54" s="294"/>
      <c r="AW54" s="294"/>
      <c r="AX54" s="294"/>
      <c r="AY54" s="294"/>
      <c r="AZ54" s="294"/>
      <c r="BA54" s="294"/>
      <c r="BB54" s="294"/>
      <c r="BC54" s="294"/>
      <c r="BD54" s="294"/>
      <c r="BE54" s="294"/>
      <c r="BF54" s="294"/>
      <c r="BG54" s="294"/>
      <c r="BH54" s="294"/>
    </row>
    <row r="55" spans="1:60">
      <c r="A55" s="13"/>
      <c r="B55" s="180"/>
      <c r="C55" s="297"/>
      <c r="D55" s="297"/>
      <c r="E55" s="297"/>
      <c r="F55" s="297"/>
      <c r="G55" s="294"/>
      <c r="H55" s="294"/>
      <c r="I55" s="294"/>
      <c r="J55" s="294"/>
      <c r="K55" s="294"/>
      <c r="L55" s="294"/>
      <c r="M55" s="294"/>
      <c r="N55" s="294"/>
      <c r="O55" s="294"/>
      <c r="P55" s="294"/>
      <c r="Q55" s="294"/>
      <c r="R55" s="294"/>
      <c r="S55" s="294"/>
      <c r="T55" s="294"/>
      <c r="U55" s="294"/>
      <c r="V55" s="294"/>
      <c r="W55" s="294"/>
      <c r="X55" s="294"/>
      <c r="Y55" s="294"/>
      <c r="Z55" s="151"/>
      <c r="AA55" s="151"/>
      <c r="AB55" s="294"/>
      <c r="AC55" s="294"/>
      <c r="AD55" s="294"/>
      <c r="AE55" s="294"/>
      <c r="AF55" s="294"/>
      <c r="AG55" s="294"/>
      <c r="AH55" s="294"/>
      <c r="AI55" s="294"/>
      <c r="AJ55" s="294"/>
      <c r="AK55" s="294"/>
      <c r="AL55" s="294"/>
      <c r="AM55" s="294"/>
      <c r="AN55" s="294"/>
      <c r="AO55" s="294"/>
      <c r="AP55" s="294"/>
      <c r="AQ55" s="294"/>
      <c r="AR55" s="294"/>
      <c r="AS55" s="294"/>
      <c r="AT55" s="294"/>
      <c r="AU55" s="294"/>
      <c r="AV55" s="294"/>
      <c r="AW55" s="294"/>
      <c r="AX55" s="294"/>
      <c r="AY55" s="294"/>
      <c r="AZ55" s="294"/>
      <c r="BA55" s="294"/>
      <c r="BB55" s="294"/>
      <c r="BC55" s="294"/>
      <c r="BD55" s="294"/>
      <c r="BE55" s="294"/>
      <c r="BF55" s="294"/>
      <c r="BG55" s="294"/>
      <c r="BH55" s="294"/>
    </row>
    <row r="56" spans="1:60">
      <c r="A56" s="13"/>
      <c r="B56" s="180"/>
      <c r="C56" s="297"/>
      <c r="D56" s="297"/>
      <c r="E56" s="297"/>
      <c r="F56" s="297"/>
      <c r="G56" s="294"/>
      <c r="H56" s="294"/>
      <c r="I56" s="294"/>
      <c r="J56" s="294"/>
      <c r="K56" s="294"/>
      <c r="L56" s="294"/>
      <c r="M56" s="294"/>
      <c r="N56" s="294"/>
      <c r="O56" s="294"/>
      <c r="P56" s="294"/>
      <c r="Q56" s="294"/>
      <c r="R56" s="294"/>
      <c r="S56" s="294"/>
      <c r="T56" s="294"/>
      <c r="U56" s="294"/>
      <c r="V56" s="294"/>
      <c r="W56" s="294"/>
      <c r="X56" s="294"/>
      <c r="Y56" s="294"/>
      <c r="Z56" s="151"/>
      <c r="AA56" s="151"/>
      <c r="AB56" s="294"/>
      <c r="AC56" s="294"/>
      <c r="AD56" s="294"/>
      <c r="AE56" s="294"/>
      <c r="AF56" s="294"/>
      <c r="AG56" s="294"/>
      <c r="AH56" s="294"/>
      <c r="AI56" s="294"/>
      <c r="AJ56" s="294"/>
      <c r="AK56" s="294"/>
      <c r="AL56" s="294"/>
      <c r="AM56" s="294"/>
      <c r="AN56" s="294"/>
      <c r="AO56" s="294"/>
      <c r="AP56" s="294"/>
      <c r="AQ56" s="294"/>
      <c r="AR56" s="294"/>
      <c r="AS56" s="294"/>
      <c r="AT56" s="294"/>
      <c r="AU56" s="294"/>
      <c r="AV56" s="294"/>
      <c r="AW56" s="294"/>
      <c r="AX56" s="294"/>
      <c r="AY56" s="294"/>
      <c r="AZ56" s="294"/>
      <c r="BA56" s="294"/>
      <c r="BB56" s="294"/>
      <c r="BC56" s="294"/>
      <c r="BD56" s="294"/>
      <c r="BE56" s="294"/>
      <c r="BF56" s="294"/>
      <c r="BG56" s="294"/>
      <c r="BH56" s="294"/>
    </row>
    <row r="57" spans="1:60">
      <c r="A57" s="13"/>
      <c r="B57" s="180"/>
      <c r="C57" s="297"/>
      <c r="D57" s="297"/>
      <c r="E57" s="297"/>
      <c r="F57" s="297"/>
      <c r="G57" s="294"/>
      <c r="H57" s="294"/>
      <c r="I57" s="294"/>
      <c r="J57" s="294"/>
      <c r="K57" s="294"/>
      <c r="L57" s="294"/>
      <c r="M57" s="294"/>
      <c r="N57" s="294"/>
      <c r="O57" s="294"/>
      <c r="P57" s="294"/>
      <c r="Q57" s="294"/>
      <c r="R57" s="294"/>
      <c r="S57" s="294"/>
      <c r="T57" s="294"/>
      <c r="U57" s="294"/>
      <c r="V57" s="294"/>
      <c r="W57" s="294"/>
      <c r="X57" s="294"/>
      <c r="Y57" s="294"/>
      <c r="Z57" s="151"/>
      <c r="AA57" s="151"/>
      <c r="AB57" s="294"/>
      <c r="AC57" s="294"/>
      <c r="AD57" s="294"/>
      <c r="AE57" s="294"/>
      <c r="AF57" s="294"/>
      <c r="AG57" s="294"/>
      <c r="AH57" s="294"/>
      <c r="AI57" s="294"/>
      <c r="AJ57" s="294"/>
      <c r="AK57" s="294"/>
      <c r="AL57" s="294"/>
      <c r="AM57" s="294"/>
      <c r="AN57" s="294"/>
      <c r="AO57" s="294"/>
      <c r="AP57" s="294"/>
      <c r="AQ57" s="294"/>
      <c r="AR57" s="294"/>
      <c r="AS57" s="294"/>
      <c r="AT57" s="294"/>
      <c r="AU57" s="294"/>
      <c r="AV57" s="294"/>
      <c r="AW57" s="294"/>
      <c r="AX57" s="294"/>
      <c r="AY57" s="294"/>
      <c r="AZ57" s="294"/>
      <c r="BA57" s="294"/>
      <c r="BB57" s="294"/>
      <c r="BC57" s="294"/>
      <c r="BD57" s="294"/>
      <c r="BE57" s="294"/>
      <c r="BF57" s="294"/>
      <c r="BG57" s="294"/>
      <c r="BH57" s="294"/>
    </row>
    <row r="58" spans="1:60">
      <c r="A58" s="13"/>
      <c r="B58" s="180"/>
      <c r="C58" s="297"/>
      <c r="D58" s="297"/>
      <c r="E58" s="297"/>
      <c r="F58" s="297"/>
      <c r="G58" s="294"/>
      <c r="H58" s="294"/>
      <c r="I58" s="294"/>
      <c r="J58" s="294"/>
      <c r="K58" s="294"/>
      <c r="L58" s="294"/>
      <c r="M58" s="294"/>
      <c r="N58" s="294"/>
      <c r="O58" s="294"/>
      <c r="P58" s="294"/>
      <c r="Q58" s="294"/>
      <c r="R58" s="294"/>
      <c r="S58" s="294"/>
      <c r="T58" s="294"/>
      <c r="U58" s="294"/>
      <c r="V58" s="294"/>
      <c r="W58" s="294"/>
      <c r="X58" s="294"/>
      <c r="Y58" s="294"/>
      <c r="Z58" s="151"/>
      <c r="AA58" s="151"/>
      <c r="AB58" s="294"/>
      <c r="AC58" s="294"/>
      <c r="AD58" s="294"/>
      <c r="AE58" s="294"/>
      <c r="AF58" s="294"/>
      <c r="AG58" s="294"/>
      <c r="AH58" s="294"/>
      <c r="AI58" s="294"/>
      <c r="AJ58" s="294"/>
      <c r="AK58" s="294"/>
      <c r="AL58" s="294"/>
      <c r="AM58" s="294"/>
      <c r="AN58" s="294"/>
      <c r="AO58" s="294"/>
      <c r="AP58" s="294"/>
      <c r="AQ58" s="294"/>
      <c r="AR58" s="294"/>
      <c r="AS58" s="294"/>
      <c r="AT58" s="294"/>
      <c r="AU58" s="294"/>
      <c r="AV58" s="294"/>
      <c r="AW58" s="294"/>
      <c r="AX58" s="294"/>
      <c r="AY58" s="294"/>
      <c r="AZ58" s="294"/>
      <c r="BA58" s="294"/>
      <c r="BB58" s="294"/>
      <c r="BC58" s="294"/>
      <c r="BD58" s="294"/>
      <c r="BE58" s="294"/>
      <c r="BF58" s="294"/>
      <c r="BG58" s="294"/>
      <c r="BH58" s="294"/>
    </row>
    <row r="59" spans="1:60">
      <c r="A59" s="13"/>
      <c r="B59" s="180"/>
      <c r="C59" s="297"/>
      <c r="D59" s="297"/>
      <c r="E59" s="297"/>
      <c r="F59" s="297"/>
      <c r="G59" s="294"/>
      <c r="H59" s="294"/>
      <c r="I59" s="294"/>
      <c r="J59" s="294"/>
      <c r="K59" s="294"/>
      <c r="L59" s="294"/>
      <c r="M59" s="294"/>
      <c r="N59" s="294"/>
      <c r="O59" s="294"/>
      <c r="P59" s="294"/>
      <c r="Q59" s="294"/>
      <c r="R59" s="294"/>
      <c r="S59" s="294"/>
      <c r="T59" s="294"/>
      <c r="U59" s="294"/>
      <c r="V59" s="294"/>
      <c r="W59" s="294"/>
      <c r="X59" s="294"/>
      <c r="Y59" s="294"/>
      <c r="Z59" s="151"/>
      <c r="AA59" s="151"/>
      <c r="AB59" s="294"/>
      <c r="AC59" s="294"/>
      <c r="AD59" s="294"/>
      <c r="AE59" s="294"/>
      <c r="AF59" s="294"/>
      <c r="AG59" s="294"/>
      <c r="AH59" s="294"/>
      <c r="AI59" s="294"/>
      <c r="AJ59" s="294"/>
      <c r="AK59" s="294"/>
      <c r="AL59" s="294"/>
      <c r="AM59" s="294"/>
      <c r="AN59" s="294"/>
      <c r="AO59" s="294"/>
      <c r="AP59" s="294"/>
      <c r="AQ59" s="294"/>
      <c r="AR59" s="294"/>
      <c r="AS59" s="294"/>
      <c r="AT59" s="294"/>
      <c r="AU59" s="294"/>
      <c r="AV59" s="294"/>
      <c r="AW59" s="294"/>
      <c r="AX59" s="294"/>
      <c r="AY59" s="294"/>
      <c r="AZ59" s="294"/>
      <c r="BA59" s="294"/>
      <c r="BB59" s="294"/>
      <c r="BC59" s="294"/>
      <c r="BD59" s="294"/>
      <c r="BE59" s="294"/>
      <c r="BF59" s="294"/>
      <c r="BG59" s="294"/>
      <c r="BH59" s="294"/>
    </row>
    <row r="60" spans="1:60">
      <c r="A60" s="13"/>
      <c r="B60" s="180"/>
      <c r="C60" s="297"/>
      <c r="D60" s="297"/>
      <c r="E60" s="297"/>
      <c r="F60" s="297"/>
      <c r="G60" s="294"/>
      <c r="H60" s="294"/>
      <c r="I60" s="294"/>
      <c r="J60" s="294"/>
      <c r="K60" s="294"/>
      <c r="L60" s="294"/>
      <c r="M60" s="294"/>
      <c r="N60" s="294"/>
      <c r="O60" s="294"/>
      <c r="P60" s="294"/>
      <c r="Q60" s="294"/>
      <c r="R60" s="294"/>
      <c r="S60" s="294"/>
      <c r="T60" s="294"/>
      <c r="U60" s="294"/>
      <c r="V60" s="294"/>
      <c r="W60" s="294"/>
      <c r="X60" s="294"/>
      <c r="Y60" s="294"/>
      <c r="Z60" s="151"/>
      <c r="AA60" s="151"/>
      <c r="AB60" s="294"/>
      <c r="AC60" s="294"/>
      <c r="AD60" s="294"/>
      <c r="AE60" s="294"/>
      <c r="AF60" s="294"/>
      <c r="AG60" s="294"/>
      <c r="AH60" s="294"/>
      <c r="AI60" s="294"/>
      <c r="AJ60" s="294"/>
      <c r="AK60" s="294"/>
      <c r="AL60" s="294"/>
      <c r="AM60" s="294"/>
      <c r="AN60" s="294"/>
      <c r="AO60" s="294"/>
      <c r="AP60" s="294"/>
      <c r="AQ60" s="294"/>
      <c r="AR60" s="294"/>
      <c r="AS60" s="294"/>
      <c r="AT60" s="294"/>
      <c r="AU60" s="294"/>
      <c r="AV60" s="294"/>
      <c r="AW60" s="294"/>
      <c r="AX60" s="294"/>
      <c r="AY60" s="294"/>
    </row>
    <row r="61" spans="1:60">
      <c r="A61" s="180"/>
      <c r="B61" s="180"/>
      <c r="C61" s="297"/>
      <c r="D61" s="297"/>
      <c r="E61" s="297"/>
      <c r="F61" s="297"/>
      <c r="G61" s="294"/>
      <c r="H61" s="294"/>
      <c r="I61" s="294"/>
      <c r="J61" s="294"/>
      <c r="K61" s="294"/>
      <c r="L61" s="294"/>
      <c r="M61" s="294"/>
      <c r="N61" s="294"/>
      <c r="O61" s="294"/>
      <c r="P61" s="294"/>
      <c r="Q61" s="294"/>
      <c r="R61" s="294"/>
      <c r="S61" s="294"/>
      <c r="T61" s="294"/>
      <c r="U61" s="294"/>
      <c r="V61" s="294"/>
      <c r="W61" s="294"/>
      <c r="X61" s="294"/>
      <c r="Y61" s="294"/>
      <c r="Z61" s="151"/>
      <c r="AA61" s="151"/>
      <c r="AB61" s="294"/>
      <c r="AC61" s="294"/>
      <c r="AD61" s="294"/>
      <c r="AE61" s="294"/>
      <c r="AF61" s="294"/>
      <c r="AG61" s="294"/>
      <c r="AH61" s="294"/>
      <c r="AI61" s="294"/>
      <c r="AJ61" s="294"/>
      <c r="AK61" s="294"/>
      <c r="AL61" s="294"/>
      <c r="AM61" s="294"/>
      <c r="AN61" s="294"/>
      <c r="AO61" s="294"/>
      <c r="AP61" s="294"/>
      <c r="AQ61" s="294"/>
      <c r="AR61" s="294"/>
      <c r="AS61" s="294"/>
      <c r="AT61" s="294"/>
      <c r="AU61" s="294"/>
      <c r="AV61" s="294"/>
      <c r="AW61" s="294"/>
      <c r="AX61" s="294"/>
      <c r="AY61" s="294"/>
    </row>
    <row r="62" spans="1:60">
      <c r="C62" s="294"/>
      <c r="D62" s="294"/>
      <c r="E62" s="294"/>
      <c r="F62" s="294"/>
      <c r="G62" s="294"/>
      <c r="H62" s="294"/>
      <c r="I62" s="294"/>
      <c r="J62" s="294"/>
      <c r="K62" s="294"/>
      <c r="L62" s="294"/>
      <c r="M62" s="294"/>
      <c r="N62" s="294"/>
      <c r="O62" s="294"/>
      <c r="P62" s="294"/>
      <c r="Q62" s="294"/>
      <c r="R62" s="294"/>
      <c r="S62" s="294"/>
      <c r="T62" s="294"/>
      <c r="U62" s="294"/>
      <c r="V62" s="294"/>
      <c r="W62" s="294"/>
      <c r="X62" s="294"/>
      <c r="Y62" s="294"/>
      <c r="Z62" s="151"/>
      <c r="AA62" s="151"/>
      <c r="AB62" s="294"/>
      <c r="AC62" s="294"/>
      <c r="AD62" s="294"/>
      <c r="AE62" s="294"/>
      <c r="AF62" s="294"/>
      <c r="AG62" s="294"/>
      <c r="AH62" s="294"/>
      <c r="AI62" s="294"/>
      <c r="AJ62" s="294"/>
      <c r="AK62" s="294"/>
      <c r="AL62" s="294"/>
      <c r="AM62" s="294"/>
      <c r="AN62" s="294"/>
      <c r="AO62" s="294"/>
      <c r="AP62" s="294"/>
      <c r="AQ62" s="294"/>
      <c r="AR62" s="294"/>
      <c r="AS62" s="294"/>
      <c r="AT62" s="294"/>
      <c r="AU62" s="294"/>
      <c r="AV62" s="294"/>
      <c r="AW62" s="294"/>
      <c r="AX62" s="294"/>
      <c r="AY62" s="294"/>
    </row>
    <row r="63" spans="1:60">
      <c r="C63" s="294"/>
      <c r="D63" s="294"/>
      <c r="E63" s="294"/>
      <c r="F63" s="294"/>
      <c r="G63" s="294"/>
      <c r="H63" s="294"/>
      <c r="I63" s="294"/>
      <c r="J63" s="294"/>
      <c r="K63" s="294"/>
      <c r="L63" s="294"/>
      <c r="M63" s="294"/>
      <c r="N63" s="294"/>
      <c r="O63" s="294"/>
      <c r="P63" s="294"/>
      <c r="Q63" s="294"/>
      <c r="R63" s="294"/>
      <c r="S63" s="294"/>
      <c r="T63" s="294"/>
      <c r="U63" s="294"/>
      <c r="V63" s="294"/>
      <c r="W63" s="294"/>
      <c r="X63" s="294"/>
      <c r="Y63" s="294"/>
      <c r="Z63" s="151"/>
      <c r="AA63" s="151"/>
      <c r="AB63" s="294"/>
      <c r="AC63" s="294"/>
      <c r="AD63" s="294"/>
      <c r="AE63" s="294"/>
      <c r="AF63" s="294"/>
      <c r="AG63" s="294"/>
      <c r="AH63" s="294"/>
      <c r="AI63" s="294"/>
      <c r="AJ63" s="294"/>
      <c r="AK63" s="294"/>
      <c r="AL63" s="294"/>
      <c r="AM63" s="294"/>
      <c r="AN63" s="294"/>
      <c r="AO63" s="294"/>
      <c r="AP63" s="294"/>
      <c r="AQ63" s="294"/>
      <c r="AR63" s="294"/>
      <c r="AS63" s="294"/>
      <c r="AT63" s="294"/>
      <c r="AU63" s="294"/>
      <c r="AV63" s="294"/>
      <c r="AW63" s="294"/>
      <c r="AX63" s="294"/>
      <c r="AY63" s="294"/>
    </row>
    <row r="64" spans="1:60">
      <c r="C64" s="294"/>
      <c r="D64" s="294"/>
      <c r="E64" s="294"/>
      <c r="F64" s="294"/>
      <c r="G64" s="294"/>
      <c r="H64" s="294"/>
      <c r="I64" s="294"/>
      <c r="J64" s="294"/>
      <c r="K64" s="294"/>
      <c r="L64" s="294"/>
      <c r="M64" s="294"/>
      <c r="N64" s="294"/>
      <c r="O64" s="294"/>
      <c r="P64" s="294"/>
      <c r="Q64" s="294"/>
      <c r="R64" s="294"/>
      <c r="S64" s="294"/>
      <c r="T64" s="294"/>
      <c r="U64" s="294"/>
      <c r="V64" s="294"/>
      <c r="W64" s="294"/>
      <c r="X64" s="294"/>
      <c r="Y64" s="294"/>
      <c r="Z64" s="151"/>
      <c r="AA64" s="151"/>
      <c r="AB64" s="294"/>
      <c r="AC64" s="294"/>
      <c r="AD64" s="294"/>
      <c r="AE64" s="294"/>
      <c r="AF64" s="294"/>
      <c r="AG64" s="294"/>
      <c r="AH64" s="294"/>
      <c r="AI64" s="294"/>
      <c r="AJ64" s="294"/>
      <c r="AK64" s="294"/>
      <c r="AL64" s="294"/>
      <c r="AM64" s="294"/>
      <c r="AN64" s="294"/>
      <c r="AO64" s="294"/>
      <c r="AP64" s="294"/>
      <c r="AQ64" s="294"/>
      <c r="AR64" s="294"/>
      <c r="AS64" s="294"/>
      <c r="AT64" s="294"/>
      <c r="AU64" s="294"/>
      <c r="AV64" s="294"/>
      <c r="AW64" s="294"/>
      <c r="AX64" s="294"/>
      <c r="AY64" s="294"/>
    </row>
    <row r="65" spans="3:51">
      <c r="C65" s="294"/>
      <c r="D65" s="294"/>
      <c r="E65" s="294"/>
      <c r="F65" s="294"/>
      <c r="G65" s="294"/>
      <c r="H65" s="294"/>
      <c r="I65" s="294"/>
      <c r="J65" s="294"/>
      <c r="K65" s="294"/>
      <c r="L65" s="294"/>
      <c r="M65" s="294"/>
      <c r="N65" s="294"/>
      <c r="O65" s="294"/>
      <c r="P65" s="294"/>
      <c r="Q65" s="294"/>
      <c r="R65" s="294"/>
      <c r="S65" s="294"/>
      <c r="T65" s="294"/>
      <c r="U65" s="294"/>
      <c r="V65" s="294"/>
      <c r="W65" s="294"/>
      <c r="X65" s="294"/>
      <c r="Y65" s="294"/>
      <c r="Z65" s="151"/>
      <c r="AA65" s="151"/>
      <c r="AB65" s="294"/>
      <c r="AC65" s="294"/>
      <c r="AD65" s="294"/>
      <c r="AE65" s="294"/>
      <c r="AF65" s="294"/>
      <c r="AG65" s="294"/>
      <c r="AH65" s="294"/>
      <c r="AI65" s="294"/>
      <c r="AJ65" s="294"/>
      <c r="AK65" s="294"/>
      <c r="AL65" s="294"/>
      <c r="AM65" s="294"/>
      <c r="AN65" s="294"/>
      <c r="AO65" s="294"/>
      <c r="AP65" s="294"/>
      <c r="AQ65" s="294"/>
      <c r="AR65" s="294"/>
      <c r="AS65" s="294"/>
      <c r="AT65" s="294"/>
      <c r="AU65" s="294"/>
      <c r="AV65" s="294"/>
      <c r="AW65" s="294"/>
      <c r="AX65" s="294"/>
      <c r="AY65" s="294"/>
    </row>
    <row r="66" spans="3:51">
      <c r="C66" s="294"/>
      <c r="D66" s="294"/>
      <c r="E66" s="294"/>
      <c r="F66" s="294"/>
      <c r="G66" s="294"/>
      <c r="H66" s="294"/>
      <c r="I66" s="294"/>
      <c r="J66" s="294"/>
      <c r="K66" s="294"/>
      <c r="L66" s="294"/>
      <c r="M66" s="294"/>
      <c r="N66" s="294"/>
      <c r="O66" s="294"/>
      <c r="P66" s="294"/>
      <c r="Q66" s="294"/>
      <c r="R66" s="294"/>
      <c r="S66" s="294"/>
      <c r="T66" s="294"/>
      <c r="U66" s="294"/>
      <c r="V66" s="294"/>
      <c r="W66" s="294"/>
      <c r="X66" s="294"/>
      <c r="Y66" s="294"/>
      <c r="Z66" s="151"/>
      <c r="AA66" s="151"/>
      <c r="AB66" s="294"/>
      <c r="AC66" s="294"/>
      <c r="AD66" s="294"/>
      <c r="AE66" s="294"/>
      <c r="AF66" s="294"/>
      <c r="AG66" s="294"/>
      <c r="AH66" s="294"/>
      <c r="AI66" s="294"/>
      <c r="AJ66" s="294"/>
      <c r="AK66" s="294"/>
      <c r="AL66" s="294"/>
      <c r="AM66" s="294"/>
      <c r="AN66" s="294"/>
      <c r="AO66" s="294"/>
      <c r="AP66" s="294"/>
      <c r="AQ66" s="294"/>
      <c r="AR66" s="294"/>
      <c r="AS66" s="294"/>
      <c r="AT66" s="294"/>
      <c r="AU66" s="294"/>
      <c r="AV66" s="294"/>
      <c r="AW66" s="294"/>
      <c r="AX66" s="294"/>
      <c r="AY66" s="294"/>
    </row>
    <row r="67" spans="3:51">
      <c r="C67" s="294"/>
      <c r="D67" s="294"/>
      <c r="E67" s="294"/>
      <c r="F67" s="294"/>
      <c r="G67" s="294"/>
      <c r="H67" s="294"/>
      <c r="I67" s="294"/>
      <c r="J67" s="294"/>
      <c r="K67" s="294"/>
      <c r="L67" s="294"/>
      <c r="M67" s="294"/>
      <c r="N67" s="294"/>
      <c r="O67" s="294"/>
      <c r="P67" s="294"/>
      <c r="Q67" s="294"/>
      <c r="R67" s="294"/>
      <c r="S67" s="294"/>
      <c r="T67" s="294"/>
      <c r="U67" s="294"/>
      <c r="V67" s="294"/>
      <c r="W67" s="294"/>
      <c r="X67" s="294"/>
      <c r="Y67" s="294"/>
      <c r="Z67" s="151"/>
      <c r="AA67" s="151"/>
      <c r="AB67" s="294"/>
      <c r="AC67" s="294"/>
      <c r="AD67" s="294"/>
      <c r="AE67" s="294"/>
      <c r="AF67" s="294"/>
      <c r="AG67" s="294"/>
      <c r="AH67" s="294"/>
      <c r="AI67" s="294"/>
      <c r="AJ67" s="294"/>
      <c r="AK67" s="294"/>
      <c r="AL67" s="294"/>
      <c r="AM67" s="294"/>
      <c r="AN67" s="294"/>
      <c r="AO67" s="294"/>
      <c r="AP67" s="294"/>
      <c r="AQ67" s="294"/>
      <c r="AR67" s="294"/>
      <c r="AS67" s="294"/>
      <c r="AT67" s="294"/>
      <c r="AU67" s="294"/>
      <c r="AV67" s="294"/>
      <c r="AW67" s="294"/>
      <c r="AX67" s="294"/>
      <c r="AY67" s="294"/>
    </row>
    <row r="68" spans="3:51">
      <c r="C68" s="294"/>
      <c r="D68" s="294"/>
      <c r="E68" s="294"/>
      <c r="F68" s="294"/>
      <c r="G68" s="294"/>
      <c r="H68" s="294"/>
      <c r="I68" s="294"/>
      <c r="J68" s="294"/>
      <c r="K68" s="294"/>
      <c r="L68" s="294"/>
      <c r="M68" s="294"/>
      <c r="N68" s="294"/>
      <c r="O68" s="294"/>
      <c r="P68" s="294"/>
      <c r="Q68" s="294"/>
      <c r="R68" s="294"/>
      <c r="S68" s="294"/>
      <c r="T68" s="294"/>
      <c r="U68" s="294"/>
      <c r="V68" s="294"/>
      <c r="W68" s="294"/>
      <c r="X68" s="294"/>
      <c r="Y68" s="294"/>
      <c r="Z68" s="151"/>
      <c r="AA68" s="151"/>
      <c r="AB68" s="294"/>
      <c r="AC68" s="294"/>
      <c r="AD68" s="294"/>
      <c r="AE68" s="294"/>
      <c r="AF68" s="294"/>
      <c r="AG68" s="294"/>
      <c r="AH68" s="294"/>
      <c r="AI68" s="294"/>
      <c r="AJ68" s="294"/>
      <c r="AK68" s="294"/>
      <c r="AL68" s="294"/>
      <c r="AM68" s="294"/>
      <c r="AN68" s="294"/>
      <c r="AO68" s="294"/>
      <c r="AP68" s="294"/>
      <c r="AQ68" s="294"/>
      <c r="AR68" s="294"/>
      <c r="AS68" s="294"/>
      <c r="AT68" s="294"/>
      <c r="AU68" s="294"/>
      <c r="AV68" s="294"/>
      <c r="AW68" s="294"/>
      <c r="AX68" s="294"/>
      <c r="AY68" s="294"/>
    </row>
    <row r="69" spans="3:51">
      <c r="C69" s="294"/>
      <c r="D69" s="294"/>
      <c r="E69" s="294"/>
      <c r="F69" s="294"/>
      <c r="G69" s="294"/>
      <c r="H69" s="294"/>
      <c r="I69" s="294"/>
      <c r="J69" s="294"/>
      <c r="K69" s="294"/>
      <c r="L69" s="294"/>
      <c r="M69" s="294"/>
      <c r="N69" s="294"/>
      <c r="O69" s="294"/>
      <c r="P69" s="294"/>
      <c r="Q69" s="294"/>
      <c r="R69" s="294"/>
      <c r="S69" s="294"/>
      <c r="T69" s="294"/>
      <c r="U69" s="294"/>
      <c r="V69" s="294"/>
      <c r="W69" s="294"/>
      <c r="X69" s="294"/>
      <c r="Y69" s="294"/>
      <c r="Z69" s="151"/>
      <c r="AA69" s="151"/>
      <c r="AB69" s="294"/>
      <c r="AC69" s="294"/>
      <c r="AD69" s="294"/>
      <c r="AE69" s="294"/>
      <c r="AF69" s="294"/>
      <c r="AG69" s="294"/>
      <c r="AH69" s="294"/>
      <c r="AI69" s="294"/>
      <c r="AJ69" s="294"/>
      <c r="AK69" s="294"/>
      <c r="AL69" s="294"/>
      <c r="AM69" s="294"/>
      <c r="AN69" s="294"/>
      <c r="AO69" s="294"/>
      <c r="AP69" s="294"/>
      <c r="AQ69" s="294"/>
      <c r="AR69" s="294"/>
      <c r="AS69" s="294"/>
      <c r="AT69" s="294"/>
      <c r="AU69" s="294"/>
      <c r="AV69" s="294"/>
      <c r="AW69" s="294"/>
      <c r="AX69" s="294"/>
      <c r="AY69" s="294"/>
    </row>
    <row r="70" spans="3:51"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4"/>
      <c r="N70" s="294"/>
      <c r="O70" s="294"/>
      <c r="P70" s="294"/>
      <c r="Q70" s="294"/>
      <c r="R70" s="294"/>
      <c r="S70" s="294"/>
      <c r="T70" s="294"/>
      <c r="U70" s="294"/>
      <c r="V70" s="294"/>
      <c r="W70" s="294"/>
      <c r="X70" s="294"/>
      <c r="Y70" s="294"/>
      <c r="Z70" s="151"/>
      <c r="AA70" s="151"/>
      <c r="AB70" s="294"/>
      <c r="AC70" s="294"/>
      <c r="AD70" s="294"/>
      <c r="AE70" s="294"/>
      <c r="AF70" s="294"/>
      <c r="AG70" s="294"/>
      <c r="AH70" s="294"/>
      <c r="AI70" s="294"/>
      <c r="AJ70" s="294"/>
      <c r="AK70" s="294"/>
      <c r="AL70" s="294"/>
      <c r="AM70" s="294"/>
      <c r="AN70" s="294"/>
      <c r="AO70" s="294"/>
      <c r="AP70" s="294"/>
      <c r="AQ70" s="294"/>
      <c r="AR70" s="294"/>
      <c r="AS70" s="294"/>
      <c r="AT70" s="294"/>
      <c r="AU70" s="294"/>
      <c r="AV70" s="294"/>
      <c r="AW70" s="294"/>
      <c r="AX70" s="294"/>
      <c r="AY70" s="294"/>
    </row>
    <row r="71" spans="3:51">
      <c r="C71" s="294"/>
      <c r="D71" s="294"/>
      <c r="E71" s="294"/>
      <c r="F71" s="294"/>
      <c r="G71" s="294"/>
      <c r="H71" s="294"/>
      <c r="I71" s="294"/>
      <c r="J71" s="294"/>
      <c r="K71" s="294"/>
      <c r="L71" s="294"/>
      <c r="M71" s="294"/>
      <c r="N71" s="294"/>
      <c r="O71" s="294"/>
      <c r="P71" s="294"/>
      <c r="Q71" s="294"/>
      <c r="R71" s="294"/>
      <c r="S71" s="294"/>
      <c r="T71" s="294"/>
      <c r="U71" s="294"/>
      <c r="V71" s="294"/>
      <c r="W71" s="294"/>
      <c r="X71" s="294"/>
      <c r="Y71" s="294"/>
      <c r="Z71" s="151"/>
      <c r="AA71" s="151"/>
      <c r="AB71" s="294"/>
      <c r="AC71" s="294"/>
      <c r="AD71" s="294"/>
      <c r="AE71" s="294"/>
      <c r="AF71" s="294"/>
      <c r="AG71" s="294"/>
      <c r="AH71" s="294"/>
      <c r="AI71" s="294"/>
      <c r="AJ71" s="294"/>
      <c r="AK71" s="294"/>
      <c r="AL71" s="294"/>
      <c r="AM71" s="294"/>
      <c r="AN71" s="294"/>
      <c r="AO71" s="294"/>
      <c r="AP71" s="294"/>
      <c r="AQ71" s="294"/>
      <c r="AR71" s="294"/>
      <c r="AS71" s="294"/>
      <c r="AT71" s="294"/>
      <c r="AU71" s="294"/>
      <c r="AV71" s="294"/>
      <c r="AW71" s="294"/>
      <c r="AX71" s="294"/>
      <c r="AY71" s="294"/>
    </row>
    <row r="72" spans="3:51">
      <c r="C72" s="294"/>
      <c r="D72" s="294"/>
      <c r="E72" s="294"/>
      <c r="F72" s="294"/>
      <c r="G72" s="294"/>
      <c r="H72" s="294"/>
      <c r="I72" s="294"/>
      <c r="J72" s="294"/>
      <c r="K72" s="294"/>
      <c r="L72" s="294"/>
      <c r="M72" s="294"/>
      <c r="N72" s="294"/>
      <c r="O72" s="294"/>
      <c r="P72" s="294"/>
      <c r="Q72" s="294"/>
      <c r="R72" s="294"/>
      <c r="S72" s="294"/>
      <c r="T72" s="294"/>
      <c r="U72" s="294"/>
      <c r="V72" s="294"/>
      <c r="W72" s="294"/>
      <c r="X72" s="294"/>
      <c r="Y72" s="294"/>
      <c r="Z72" s="151"/>
      <c r="AA72" s="151"/>
      <c r="AB72" s="294"/>
      <c r="AC72" s="294"/>
      <c r="AD72" s="294"/>
      <c r="AE72" s="294"/>
      <c r="AF72" s="294"/>
      <c r="AG72" s="294"/>
      <c r="AH72" s="294"/>
      <c r="AI72" s="294"/>
      <c r="AJ72" s="294"/>
      <c r="AK72" s="294"/>
      <c r="AL72" s="294"/>
      <c r="AM72" s="294"/>
      <c r="AN72" s="294"/>
      <c r="AO72" s="294"/>
      <c r="AP72" s="294"/>
      <c r="AQ72" s="294"/>
      <c r="AR72" s="294"/>
      <c r="AS72" s="294"/>
      <c r="AT72" s="294"/>
      <c r="AU72" s="294"/>
      <c r="AV72" s="294"/>
      <c r="AW72" s="294"/>
      <c r="AX72" s="294"/>
      <c r="AY72" s="294"/>
    </row>
    <row r="73" spans="3:51"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  <c r="N73" s="294"/>
      <c r="O73" s="294"/>
      <c r="P73" s="294"/>
      <c r="Q73" s="294"/>
      <c r="R73" s="294"/>
      <c r="S73" s="294"/>
      <c r="T73" s="294"/>
      <c r="U73" s="294"/>
      <c r="V73" s="294"/>
      <c r="W73" s="294"/>
      <c r="X73" s="294"/>
      <c r="Y73" s="294"/>
      <c r="Z73" s="151"/>
      <c r="AA73" s="151"/>
      <c r="AB73" s="294"/>
      <c r="AC73" s="294"/>
      <c r="AD73" s="294"/>
      <c r="AE73" s="294"/>
      <c r="AF73" s="294"/>
      <c r="AG73" s="294"/>
      <c r="AH73" s="294"/>
      <c r="AI73" s="294"/>
      <c r="AJ73" s="294"/>
      <c r="AK73" s="294"/>
      <c r="AL73" s="294"/>
      <c r="AM73" s="294"/>
      <c r="AN73" s="294"/>
      <c r="AO73" s="294"/>
      <c r="AP73" s="294"/>
      <c r="AQ73" s="294"/>
      <c r="AR73" s="294"/>
      <c r="AS73" s="294"/>
      <c r="AT73" s="294"/>
      <c r="AU73" s="294"/>
      <c r="AV73" s="294"/>
      <c r="AW73" s="294"/>
      <c r="AX73" s="294"/>
      <c r="AY73" s="294"/>
    </row>
    <row r="74" spans="3:51"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  <c r="N74" s="294"/>
      <c r="O74" s="294"/>
      <c r="P74" s="294"/>
      <c r="Q74" s="294"/>
      <c r="R74" s="294"/>
      <c r="S74" s="294"/>
      <c r="T74" s="294"/>
      <c r="U74" s="294"/>
      <c r="V74" s="294"/>
      <c r="W74" s="294"/>
      <c r="X74" s="294"/>
      <c r="Y74" s="294"/>
      <c r="Z74" s="151"/>
      <c r="AA74" s="151"/>
      <c r="AB74" s="294"/>
      <c r="AC74" s="294"/>
      <c r="AD74" s="294"/>
      <c r="AE74" s="294"/>
      <c r="AF74" s="294"/>
      <c r="AG74" s="294"/>
      <c r="AH74" s="294"/>
      <c r="AI74" s="294"/>
      <c r="AJ74" s="294"/>
      <c r="AK74" s="294"/>
      <c r="AL74" s="294"/>
      <c r="AM74" s="294"/>
      <c r="AN74" s="294"/>
      <c r="AO74" s="294"/>
      <c r="AP74" s="294"/>
      <c r="AQ74" s="294"/>
      <c r="AR74" s="294"/>
      <c r="AS74" s="294"/>
      <c r="AT74" s="294"/>
      <c r="AU74" s="294"/>
      <c r="AV74" s="294"/>
      <c r="AW74" s="294"/>
      <c r="AX74" s="294"/>
      <c r="AY74" s="294"/>
    </row>
    <row r="75" spans="3:51"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  <c r="N75" s="294"/>
      <c r="O75" s="294"/>
      <c r="P75" s="294"/>
      <c r="Q75" s="294"/>
      <c r="R75" s="294"/>
      <c r="S75" s="294"/>
      <c r="T75" s="294"/>
      <c r="U75" s="294"/>
      <c r="V75" s="294"/>
      <c r="W75" s="294"/>
      <c r="X75" s="294"/>
      <c r="Y75" s="294"/>
      <c r="Z75" s="151"/>
      <c r="AA75" s="151"/>
      <c r="AB75" s="294"/>
      <c r="AC75" s="294"/>
      <c r="AD75" s="294"/>
      <c r="AE75" s="294"/>
      <c r="AF75" s="294"/>
      <c r="AG75" s="294"/>
      <c r="AH75" s="294"/>
      <c r="AI75" s="294"/>
      <c r="AJ75" s="294"/>
      <c r="AK75" s="294"/>
      <c r="AL75" s="294"/>
      <c r="AM75" s="294"/>
      <c r="AN75" s="294"/>
      <c r="AO75" s="294"/>
      <c r="AP75" s="294"/>
      <c r="AQ75" s="294"/>
      <c r="AR75" s="294"/>
      <c r="AS75" s="294"/>
      <c r="AT75" s="294"/>
      <c r="AU75" s="294"/>
      <c r="AV75" s="294"/>
      <c r="AW75" s="294"/>
      <c r="AX75" s="294"/>
      <c r="AY75" s="294"/>
    </row>
    <row r="76" spans="3:51"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  <c r="N76" s="294"/>
      <c r="O76" s="294"/>
      <c r="P76" s="294"/>
      <c r="Q76" s="294"/>
      <c r="R76" s="294"/>
      <c r="S76" s="294"/>
      <c r="T76" s="294"/>
      <c r="U76" s="294"/>
      <c r="V76" s="294"/>
      <c r="W76" s="294"/>
      <c r="X76" s="294"/>
      <c r="Y76" s="294"/>
      <c r="Z76" s="151"/>
      <c r="AA76" s="151"/>
      <c r="AB76" s="294"/>
      <c r="AC76" s="294"/>
      <c r="AD76" s="294"/>
      <c r="AE76" s="294"/>
      <c r="AF76" s="294"/>
      <c r="AG76" s="294"/>
      <c r="AH76" s="294"/>
      <c r="AI76" s="294"/>
      <c r="AJ76" s="294"/>
      <c r="AK76" s="294"/>
      <c r="AL76" s="294"/>
      <c r="AM76" s="294"/>
      <c r="AN76" s="294"/>
      <c r="AO76" s="294"/>
      <c r="AP76" s="294"/>
      <c r="AQ76" s="294"/>
      <c r="AR76" s="294"/>
      <c r="AS76" s="294"/>
      <c r="AT76" s="294"/>
      <c r="AU76" s="294"/>
      <c r="AV76" s="294"/>
      <c r="AW76" s="294"/>
      <c r="AX76" s="294"/>
      <c r="AY76" s="294"/>
    </row>
    <row r="77" spans="3:51"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  <c r="N77" s="294"/>
      <c r="O77" s="294"/>
      <c r="P77" s="294"/>
      <c r="Q77" s="294"/>
      <c r="R77" s="294"/>
      <c r="S77" s="294"/>
      <c r="T77" s="294"/>
      <c r="U77" s="294"/>
      <c r="V77" s="294"/>
      <c r="W77" s="294"/>
      <c r="X77" s="294"/>
      <c r="Y77" s="294"/>
      <c r="Z77" s="151"/>
      <c r="AA77" s="151"/>
      <c r="AB77" s="294"/>
      <c r="AC77" s="294"/>
      <c r="AD77" s="294"/>
      <c r="AE77" s="294"/>
      <c r="AF77" s="294"/>
      <c r="AG77" s="294"/>
      <c r="AH77" s="294"/>
      <c r="AI77" s="294"/>
      <c r="AJ77" s="294"/>
      <c r="AK77" s="294"/>
      <c r="AL77" s="294"/>
      <c r="AM77" s="294"/>
      <c r="AN77" s="294"/>
      <c r="AO77" s="294"/>
      <c r="AP77" s="294"/>
      <c r="AQ77" s="294"/>
      <c r="AR77" s="294"/>
      <c r="AS77" s="294"/>
      <c r="AT77" s="294"/>
      <c r="AU77" s="294"/>
      <c r="AV77" s="294"/>
      <c r="AW77" s="294"/>
      <c r="AX77" s="294"/>
      <c r="AY77" s="294"/>
    </row>
    <row r="78" spans="3:51"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  <c r="N78" s="294"/>
      <c r="O78" s="294"/>
      <c r="P78" s="294"/>
      <c r="Q78" s="294"/>
      <c r="R78" s="294"/>
      <c r="S78" s="294"/>
      <c r="T78" s="294"/>
      <c r="U78" s="294"/>
      <c r="V78" s="294"/>
      <c r="W78" s="294"/>
      <c r="X78" s="294"/>
      <c r="Y78" s="294"/>
      <c r="Z78" s="151"/>
      <c r="AA78" s="151"/>
      <c r="AB78" s="294"/>
      <c r="AC78" s="294"/>
      <c r="AD78" s="294"/>
      <c r="AE78" s="294"/>
      <c r="AF78" s="294"/>
      <c r="AG78" s="294"/>
      <c r="AH78" s="294"/>
      <c r="AI78" s="294"/>
      <c r="AJ78" s="294"/>
      <c r="AK78" s="294"/>
      <c r="AL78" s="294"/>
      <c r="AM78" s="294"/>
      <c r="AN78" s="294"/>
      <c r="AO78" s="294"/>
      <c r="AP78" s="294"/>
      <c r="AQ78" s="294"/>
      <c r="AR78" s="294"/>
      <c r="AS78" s="294"/>
      <c r="AT78" s="294"/>
      <c r="AU78" s="294"/>
      <c r="AV78" s="294"/>
      <c r="AW78" s="294"/>
      <c r="AX78" s="294"/>
      <c r="AY78" s="294"/>
    </row>
    <row r="79" spans="3:51"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  <c r="N79" s="294"/>
      <c r="O79" s="294"/>
      <c r="P79" s="294"/>
      <c r="Q79" s="294"/>
      <c r="R79" s="294"/>
      <c r="S79" s="294"/>
      <c r="T79" s="294"/>
      <c r="U79" s="294"/>
      <c r="V79" s="294"/>
      <c r="W79" s="294"/>
      <c r="X79" s="294"/>
      <c r="Y79" s="294"/>
      <c r="Z79" s="151"/>
      <c r="AA79" s="151"/>
      <c r="AB79" s="294"/>
      <c r="AC79" s="294"/>
      <c r="AD79" s="294"/>
      <c r="AE79" s="294"/>
      <c r="AF79" s="294"/>
      <c r="AG79" s="294"/>
      <c r="AH79" s="294"/>
      <c r="AI79" s="294"/>
      <c r="AJ79" s="294"/>
      <c r="AK79" s="294"/>
      <c r="AL79" s="294"/>
      <c r="AM79" s="294"/>
      <c r="AN79" s="294"/>
      <c r="AO79" s="294"/>
      <c r="AP79" s="294"/>
      <c r="AQ79" s="294"/>
      <c r="AR79" s="294"/>
      <c r="AS79" s="294"/>
      <c r="AT79" s="294"/>
      <c r="AU79" s="294"/>
      <c r="AV79" s="294"/>
      <c r="AW79" s="294"/>
      <c r="AX79" s="294"/>
      <c r="AY79" s="294"/>
    </row>
    <row r="80" spans="3:51"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  <c r="N80" s="294"/>
      <c r="O80" s="294"/>
      <c r="P80" s="294"/>
      <c r="Q80" s="294"/>
      <c r="R80" s="294"/>
      <c r="S80" s="294"/>
      <c r="T80" s="294"/>
      <c r="U80" s="294"/>
      <c r="V80" s="294"/>
      <c r="W80" s="294"/>
      <c r="X80" s="294"/>
      <c r="Y80" s="294"/>
      <c r="Z80" s="151"/>
      <c r="AA80" s="151"/>
      <c r="AB80" s="294"/>
      <c r="AC80" s="294"/>
      <c r="AD80" s="294"/>
      <c r="AE80" s="294"/>
      <c r="AF80" s="294"/>
      <c r="AG80" s="294"/>
      <c r="AH80" s="294"/>
      <c r="AI80" s="294"/>
      <c r="AJ80" s="294"/>
      <c r="AK80" s="294"/>
      <c r="AL80" s="294"/>
      <c r="AM80" s="294"/>
      <c r="AN80" s="294"/>
      <c r="AO80" s="294"/>
      <c r="AP80" s="294"/>
      <c r="AQ80" s="294"/>
      <c r="AR80" s="294"/>
      <c r="AS80" s="294"/>
      <c r="AT80" s="294"/>
      <c r="AU80" s="294"/>
      <c r="AV80" s="294"/>
      <c r="AW80" s="294"/>
      <c r="AX80" s="294"/>
      <c r="AY80" s="294"/>
    </row>
    <row r="81" spans="3:51"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  <c r="N81" s="294"/>
      <c r="O81" s="294"/>
      <c r="P81" s="294"/>
      <c r="Q81" s="294"/>
      <c r="R81" s="294"/>
      <c r="S81" s="294"/>
      <c r="T81" s="294"/>
      <c r="U81" s="294"/>
      <c r="V81" s="294"/>
      <c r="W81" s="294"/>
      <c r="X81" s="294"/>
      <c r="Y81" s="294"/>
      <c r="Z81" s="151"/>
      <c r="AA81" s="151"/>
      <c r="AB81" s="294"/>
      <c r="AC81" s="294"/>
      <c r="AD81" s="294"/>
      <c r="AE81" s="294"/>
      <c r="AF81" s="294"/>
      <c r="AG81" s="294"/>
      <c r="AH81" s="294"/>
      <c r="AI81" s="294"/>
      <c r="AJ81" s="294"/>
      <c r="AK81" s="294"/>
      <c r="AL81" s="294"/>
      <c r="AM81" s="294"/>
      <c r="AN81" s="294"/>
      <c r="AO81" s="294"/>
      <c r="AP81" s="294"/>
      <c r="AQ81" s="294"/>
      <c r="AR81" s="294"/>
      <c r="AS81" s="294"/>
      <c r="AT81" s="294"/>
      <c r="AU81" s="294"/>
      <c r="AV81" s="294"/>
      <c r="AW81" s="294"/>
      <c r="AX81" s="294"/>
      <c r="AY81" s="294"/>
    </row>
    <row r="82" spans="3:51"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  <c r="N82" s="294"/>
      <c r="O82" s="294"/>
      <c r="P82" s="294"/>
      <c r="Q82" s="294"/>
      <c r="R82" s="294"/>
      <c r="S82" s="294"/>
      <c r="T82" s="294"/>
      <c r="U82" s="294"/>
      <c r="V82" s="294"/>
      <c r="W82" s="294"/>
      <c r="X82" s="294"/>
      <c r="Y82" s="294"/>
      <c r="Z82" s="151"/>
      <c r="AA82" s="151"/>
      <c r="AB82" s="294"/>
      <c r="AC82" s="294"/>
      <c r="AD82" s="294"/>
      <c r="AE82" s="294"/>
      <c r="AF82" s="294"/>
      <c r="AG82" s="294"/>
      <c r="AH82" s="294"/>
      <c r="AI82" s="294"/>
      <c r="AJ82" s="294"/>
      <c r="AK82" s="294"/>
      <c r="AL82" s="294"/>
      <c r="AM82" s="294"/>
      <c r="AN82" s="294"/>
      <c r="AO82" s="294"/>
      <c r="AP82" s="294"/>
      <c r="AQ82" s="294"/>
      <c r="AR82" s="294"/>
      <c r="AS82" s="294"/>
      <c r="AT82" s="294"/>
      <c r="AU82" s="294"/>
      <c r="AV82" s="294"/>
      <c r="AW82" s="294"/>
      <c r="AX82" s="294"/>
      <c r="AY82" s="294"/>
    </row>
    <row r="83" spans="3:51"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  <c r="N83" s="294"/>
      <c r="O83" s="294"/>
      <c r="P83" s="294"/>
      <c r="Q83" s="294"/>
      <c r="R83" s="294"/>
      <c r="S83" s="294"/>
      <c r="T83" s="294"/>
      <c r="U83" s="294"/>
      <c r="V83" s="294"/>
      <c r="W83" s="294"/>
      <c r="X83" s="294"/>
      <c r="Y83" s="294"/>
      <c r="Z83" s="151"/>
      <c r="AA83" s="151"/>
      <c r="AB83" s="294"/>
      <c r="AC83" s="294"/>
      <c r="AD83" s="294"/>
      <c r="AE83" s="294"/>
      <c r="AF83" s="294"/>
      <c r="AG83" s="294"/>
      <c r="AH83" s="294"/>
      <c r="AI83" s="294"/>
      <c r="AJ83" s="294"/>
      <c r="AK83" s="294"/>
      <c r="AL83" s="294"/>
      <c r="AM83" s="294"/>
      <c r="AN83" s="294"/>
      <c r="AO83" s="294"/>
      <c r="AP83" s="294"/>
      <c r="AQ83" s="294"/>
      <c r="AR83" s="294"/>
      <c r="AS83" s="294"/>
      <c r="AT83" s="294"/>
      <c r="AU83" s="294"/>
      <c r="AV83" s="294"/>
      <c r="AW83" s="294"/>
      <c r="AX83" s="294"/>
      <c r="AY83" s="294"/>
    </row>
    <row r="84" spans="3:51"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  <c r="N84" s="294"/>
      <c r="O84" s="294"/>
      <c r="P84" s="294"/>
      <c r="Q84" s="294"/>
      <c r="R84" s="294"/>
      <c r="S84" s="294"/>
      <c r="T84" s="294"/>
      <c r="U84" s="294"/>
      <c r="V84" s="294"/>
      <c r="W84" s="294"/>
      <c r="X84" s="294"/>
      <c r="Y84" s="294"/>
      <c r="Z84" s="151"/>
      <c r="AA84" s="151"/>
      <c r="AB84" s="294"/>
      <c r="AC84" s="294"/>
      <c r="AD84" s="294"/>
      <c r="AE84" s="294"/>
      <c r="AF84" s="294"/>
      <c r="AG84" s="294"/>
      <c r="AH84" s="294"/>
      <c r="AI84" s="294"/>
      <c r="AJ84" s="294"/>
      <c r="AK84" s="294"/>
      <c r="AL84" s="294"/>
      <c r="AM84" s="294"/>
      <c r="AN84" s="294"/>
      <c r="AO84" s="294"/>
      <c r="AP84" s="294"/>
      <c r="AQ84" s="294"/>
      <c r="AR84" s="294"/>
      <c r="AS84" s="294"/>
      <c r="AT84" s="294"/>
      <c r="AU84" s="294"/>
      <c r="AV84" s="294"/>
      <c r="AW84" s="294"/>
      <c r="AX84" s="294"/>
      <c r="AY84" s="294"/>
    </row>
    <row r="85" spans="3:51"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  <c r="N85" s="294"/>
      <c r="O85" s="294"/>
      <c r="P85" s="294"/>
      <c r="Q85" s="294"/>
      <c r="R85" s="294"/>
      <c r="S85" s="294"/>
      <c r="T85" s="294"/>
      <c r="U85" s="294"/>
      <c r="V85" s="294"/>
      <c r="W85" s="294"/>
      <c r="X85" s="294"/>
      <c r="Y85" s="294"/>
      <c r="Z85" s="151"/>
      <c r="AA85" s="151"/>
      <c r="AB85" s="294"/>
      <c r="AC85" s="294"/>
      <c r="AD85" s="294"/>
      <c r="AE85" s="294"/>
      <c r="AF85" s="294"/>
      <c r="AG85" s="294"/>
      <c r="AH85" s="294"/>
      <c r="AI85" s="294"/>
      <c r="AJ85" s="294"/>
      <c r="AK85" s="294"/>
      <c r="AL85" s="294"/>
      <c r="AM85" s="294"/>
      <c r="AN85" s="294"/>
      <c r="AO85" s="294"/>
      <c r="AP85" s="294"/>
      <c r="AQ85" s="294"/>
      <c r="AR85" s="294"/>
      <c r="AS85" s="294"/>
      <c r="AT85" s="294"/>
      <c r="AU85" s="294"/>
      <c r="AV85" s="294"/>
      <c r="AW85" s="294"/>
      <c r="AX85" s="294"/>
      <c r="AY85" s="294"/>
    </row>
    <row r="86" spans="3:51"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  <c r="N86" s="294"/>
      <c r="O86" s="294"/>
      <c r="P86" s="294"/>
      <c r="Q86" s="294"/>
      <c r="R86" s="294"/>
      <c r="S86" s="294"/>
      <c r="T86" s="294"/>
      <c r="U86" s="294"/>
      <c r="V86" s="294"/>
      <c r="W86" s="294"/>
      <c r="X86" s="294"/>
      <c r="Y86" s="294"/>
      <c r="Z86" s="151"/>
      <c r="AA86" s="151"/>
      <c r="AB86" s="294"/>
      <c r="AC86" s="294"/>
      <c r="AD86" s="294"/>
      <c r="AE86" s="294"/>
      <c r="AF86" s="294"/>
      <c r="AG86" s="294"/>
      <c r="AH86" s="294"/>
      <c r="AI86" s="294"/>
      <c r="AJ86" s="294"/>
      <c r="AK86" s="294"/>
      <c r="AL86" s="294"/>
      <c r="AM86" s="294"/>
      <c r="AN86" s="294"/>
      <c r="AO86" s="294"/>
      <c r="AP86" s="294"/>
      <c r="AQ86" s="294"/>
      <c r="AR86" s="294"/>
      <c r="AS86" s="294"/>
      <c r="AT86" s="294"/>
      <c r="AU86" s="294"/>
      <c r="AV86" s="294"/>
      <c r="AW86" s="294"/>
      <c r="AX86" s="294"/>
      <c r="AY86" s="294"/>
    </row>
    <row r="87" spans="3:51"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  <c r="N87" s="294"/>
      <c r="O87" s="294"/>
      <c r="P87" s="294"/>
      <c r="Q87" s="294"/>
      <c r="R87" s="294"/>
      <c r="S87" s="294"/>
      <c r="T87" s="294"/>
      <c r="U87" s="294"/>
      <c r="V87" s="294"/>
      <c r="W87" s="294"/>
      <c r="X87" s="294"/>
      <c r="Y87" s="294"/>
      <c r="Z87" s="151"/>
      <c r="AA87" s="151"/>
      <c r="AB87" s="294"/>
      <c r="AC87" s="294"/>
      <c r="AD87" s="294"/>
      <c r="AE87" s="294"/>
      <c r="AF87" s="294"/>
      <c r="AG87" s="294"/>
      <c r="AH87" s="294"/>
      <c r="AI87" s="294"/>
      <c r="AJ87" s="294"/>
      <c r="AK87" s="294"/>
      <c r="AL87" s="294"/>
      <c r="AM87" s="294"/>
      <c r="AN87" s="294"/>
      <c r="AO87" s="294"/>
      <c r="AP87" s="294"/>
      <c r="AQ87" s="294"/>
      <c r="AR87" s="294"/>
      <c r="AS87" s="294"/>
      <c r="AT87" s="294"/>
      <c r="AU87" s="294"/>
      <c r="AV87" s="294"/>
      <c r="AW87" s="294"/>
      <c r="AX87" s="294"/>
      <c r="AY87" s="294"/>
    </row>
    <row r="88" spans="3:51"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  <c r="N88" s="294"/>
      <c r="O88" s="294"/>
      <c r="P88" s="294"/>
      <c r="Q88" s="294"/>
      <c r="R88" s="294"/>
      <c r="S88" s="294"/>
      <c r="T88" s="294"/>
      <c r="U88" s="294"/>
      <c r="V88" s="294"/>
      <c r="W88" s="294"/>
      <c r="X88" s="294"/>
      <c r="Y88" s="294"/>
      <c r="Z88" s="151"/>
      <c r="AA88" s="151"/>
      <c r="AB88" s="294"/>
      <c r="AC88" s="294"/>
      <c r="AD88" s="294"/>
      <c r="AE88" s="294"/>
      <c r="AF88" s="294"/>
      <c r="AG88" s="294"/>
      <c r="AH88" s="294"/>
      <c r="AI88" s="294"/>
      <c r="AJ88" s="294"/>
      <c r="AK88" s="294"/>
      <c r="AL88" s="294"/>
      <c r="AM88" s="294"/>
      <c r="AN88" s="294"/>
      <c r="AO88" s="294"/>
      <c r="AP88" s="294"/>
      <c r="AQ88" s="294"/>
      <c r="AR88" s="294"/>
      <c r="AS88" s="294"/>
      <c r="AT88" s="294"/>
      <c r="AU88" s="294"/>
      <c r="AV88" s="294"/>
      <c r="AW88" s="294"/>
      <c r="AX88" s="294"/>
      <c r="AY88" s="294"/>
    </row>
    <row r="89" spans="3:51"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  <c r="N89" s="294"/>
      <c r="O89" s="294"/>
      <c r="P89" s="294"/>
      <c r="Q89" s="294"/>
      <c r="R89" s="294"/>
      <c r="S89" s="294"/>
      <c r="T89" s="294"/>
      <c r="U89" s="294"/>
      <c r="V89" s="294"/>
      <c r="W89" s="294"/>
      <c r="X89" s="294"/>
      <c r="Y89" s="294"/>
      <c r="Z89" s="151"/>
      <c r="AA89" s="151"/>
      <c r="AB89" s="294"/>
      <c r="AC89" s="294"/>
      <c r="AD89" s="294"/>
      <c r="AE89" s="294"/>
      <c r="AF89" s="294"/>
      <c r="AG89" s="294"/>
      <c r="AH89" s="294"/>
      <c r="AI89" s="294"/>
      <c r="AJ89" s="294"/>
      <c r="AK89" s="294"/>
      <c r="AL89" s="294"/>
      <c r="AM89" s="294"/>
      <c r="AN89" s="294"/>
      <c r="AO89" s="294"/>
      <c r="AP89" s="294"/>
      <c r="AQ89" s="294"/>
      <c r="AR89" s="294"/>
      <c r="AS89" s="294"/>
      <c r="AT89" s="294"/>
      <c r="AU89" s="294"/>
      <c r="AV89" s="294"/>
      <c r="AW89" s="294"/>
      <c r="AX89" s="294"/>
      <c r="AY89" s="294"/>
    </row>
    <row r="90" spans="3:51"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  <c r="N90" s="294"/>
      <c r="O90" s="294"/>
      <c r="P90" s="294"/>
      <c r="Q90" s="294"/>
      <c r="R90" s="294"/>
      <c r="S90" s="294"/>
      <c r="T90" s="294"/>
      <c r="U90" s="294"/>
      <c r="V90" s="294"/>
      <c r="W90" s="294"/>
      <c r="X90" s="294"/>
      <c r="Y90" s="294"/>
      <c r="Z90" s="151"/>
      <c r="AA90" s="151"/>
      <c r="AB90" s="294"/>
      <c r="AC90" s="294"/>
      <c r="AD90" s="294"/>
      <c r="AE90" s="294"/>
      <c r="AF90" s="294"/>
      <c r="AG90" s="294"/>
      <c r="AH90" s="294"/>
      <c r="AI90" s="294"/>
      <c r="AJ90" s="294"/>
      <c r="AK90" s="294"/>
      <c r="AL90" s="294"/>
      <c r="AM90" s="294"/>
      <c r="AN90" s="294"/>
      <c r="AO90" s="294"/>
      <c r="AP90" s="294"/>
      <c r="AQ90" s="294"/>
      <c r="AR90" s="294"/>
      <c r="AS90" s="294"/>
      <c r="AT90" s="294"/>
      <c r="AU90" s="294"/>
      <c r="AV90" s="294"/>
      <c r="AW90" s="294"/>
      <c r="AX90" s="294"/>
      <c r="AY90" s="294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I62"/>
  <sheetViews>
    <sheetView zoomScale="75" zoomScaleNormal="75" workbookViewId="0">
      <selection activeCell="W51" sqref="W51"/>
    </sheetView>
  </sheetViews>
  <sheetFormatPr defaultRowHeight="12.75" outlineLevelRow="1"/>
  <cols>
    <col min="1" max="1" width="42" style="12" bestFit="1" customWidth="1"/>
    <col min="2" max="2" width="11.7109375" style="12" bestFit="1" customWidth="1"/>
    <col min="3" max="3" width="11.28515625" style="12" bestFit="1" customWidth="1"/>
    <col min="4" max="4" width="11.7109375" style="12" bestFit="1" customWidth="1"/>
    <col min="5" max="5" width="11.28515625" style="12" bestFit="1" customWidth="1"/>
    <col min="6" max="8" width="11.7109375" style="12" bestFit="1" customWidth="1"/>
    <col min="9" max="9" width="11.28515625" style="12" bestFit="1" customWidth="1"/>
    <col min="10" max="11" width="11.7109375" style="12" bestFit="1" customWidth="1"/>
    <col min="12" max="12" width="11.28515625" style="12" bestFit="1" customWidth="1"/>
    <col min="13" max="13" width="10.85546875" style="12" bestFit="1" customWidth="1"/>
    <col min="14" max="16" width="11.28515625" style="12" bestFit="1" customWidth="1"/>
    <col min="17" max="17" width="11" style="12" bestFit="1" customWidth="1"/>
    <col min="18" max="20" width="11.28515625" style="12" bestFit="1" customWidth="1"/>
    <col min="21" max="21" width="11" style="12" bestFit="1" customWidth="1"/>
    <col min="22" max="22" width="11.7109375" style="12" bestFit="1" customWidth="1"/>
    <col min="23" max="23" width="11.28515625" style="12" bestFit="1" customWidth="1"/>
    <col min="24" max="24" width="11.7109375" style="12" bestFit="1" customWidth="1"/>
    <col min="25" max="25" width="11.28515625" style="12" bestFit="1" customWidth="1"/>
    <col min="26" max="28" width="11.7109375" style="12" bestFit="1" customWidth="1"/>
    <col min="29" max="29" width="11.28515625" style="12" bestFit="1" customWidth="1"/>
    <col min="30" max="32" width="11.7109375" style="12" bestFit="1" customWidth="1"/>
    <col min="33" max="33" width="11.28515625" style="12" bestFit="1" customWidth="1"/>
    <col min="34" max="16384" width="9.140625" style="12"/>
  </cols>
  <sheetData>
    <row r="2" spans="1:35" ht="18.75">
      <c r="A2" s="87" t="str">
        <f>Assumptions!A3</f>
        <v>PROJECT NAME:</v>
      </c>
      <c r="Y2" s="6"/>
      <c r="Z2" s="6"/>
    </row>
    <row r="3" spans="1:35">
      <c r="Y3" s="6"/>
      <c r="Z3" s="6"/>
    </row>
    <row r="4" spans="1:35" ht="18.75">
      <c r="A4" s="60" t="s">
        <v>383</v>
      </c>
      <c r="Y4" s="6"/>
      <c r="Z4" s="6"/>
    </row>
    <row r="5" spans="1:35">
      <c r="Y5" s="6"/>
      <c r="Z5" s="6"/>
    </row>
    <row r="6" spans="1:35">
      <c r="B6" s="212">
        <v>0</v>
      </c>
      <c r="C6" s="212">
        <f>'Price_Technical Assumption'!D7</f>
        <v>0.66666666666666663</v>
      </c>
      <c r="D6" s="212">
        <f>'Price_Technical Assumption'!E7</f>
        <v>1.6666666666666665</v>
      </c>
      <c r="E6" s="212">
        <f>'Price_Technical Assumption'!F7</f>
        <v>2.6666666666666665</v>
      </c>
      <c r="F6" s="212">
        <f>'Price_Technical Assumption'!G7</f>
        <v>3.6666666666666665</v>
      </c>
      <c r="G6" s="212">
        <f>'Price_Technical Assumption'!H7</f>
        <v>4.6666666666666661</v>
      </c>
      <c r="H6" s="212">
        <f>'Price_Technical Assumption'!I7</f>
        <v>5.6666666666666661</v>
      </c>
      <c r="I6" s="212">
        <f>'Price_Technical Assumption'!J7</f>
        <v>6.6666666666666661</v>
      </c>
      <c r="J6" s="212">
        <f>'Price_Technical Assumption'!K7</f>
        <v>7.6666666666666661</v>
      </c>
      <c r="K6" s="212">
        <f>'Price_Technical Assumption'!L7</f>
        <v>8.6666666666666661</v>
      </c>
      <c r="L6" s="212">
        <f>'Price_Technical Assumption'!M7</f>
        <v>9.6666666666666661</v>
      </c>
      <c r="M6" s="212">
        <f>'Price_Technical Assumption'!N7</f>
        <v>10.666666666666666</v>
      </c>
      <c r="N6" s="212">
        <f>'Price_Technical Assumption'!O7</f>
        <v>11.666666666666666</v>
      </c>
      <c r="O6" s="212">
        <f>'Price_Technical Assumption'!P7</f>
        <v>12.666666666666666</v>
      </c>
      <c r="P6" s="212">
        <f>'Price_Technical Assumption'!Q7</f>
        <v>13.666666666666666</v>
      </c>
      <c r="Q6" s="212">
        <f>'Price_Technical Assumption'!R7</f>
        <v>14.666666666666666</v>
      </c>
      <c r="R6" s="212">
        <f>'Price_Technical Assumption'!S7</f>
        <v>15.666666666666666</v>
      </c>
      <c r="S6" s="212">
        <f>'Price_Technical Assumption'!T7</f>
        <v>16.666666666666664</v>
      </c>
      <c r="T6" s="212">
        <f>'Price_Technical Assumption'!U7</f>
        <v>17.666666666666664</v>
      </c>
      <c r="U6" s="212">
        <f>'Price_Technical Assumption'!V7</f>
        <v>18.666666666666664</v>
      </c>
      <c r="V6" s="212">
        <f>'Price_Technical Assumption'!W7</f>
        <v>19.666666666666664</v>
      </c>
      <c r="W6" s="212">
        <f>'Price_Technical Assumption'!X7</f>
        <v>20.666666666666664</v>
      </c>
      <c r="X6" s="212">
        <f>'Price_Technical Assumption'!Y7</f>
        <v>21.666666666666664</v>
      </c>
      <c r="Y6" s="212">
        <f>'Price_Technical Assumption'!Z7</f>
        <v>22.666666666666664</v>
      </c>
      <c r="Z6" s="212">
        <f>'Price_Technical Assumption'!AA7</f>
        <v>23.666666666666664</v>
      </c>
      <c r="AA6" s="212">
        <f>'Price_Technical Assumption'!AB7</f>
        <v>24.666666666666664</v>
      </c>
      <c r="AB6" s="212">
        <f>'Price_Technical Assumption'!AC7</f>
        <v>25.666666666666664</v>
      </c>
      <c r="AC6" s="212">
        <f>'Price_Technical Assumption'!AD7</f>
        <v>26.666666666666664</v>
      </c>
      <c r="AD6" s="212">
        <f>'Price_Technical Assumption'!AE7</f>
        <v>27.666666666666664</v>
      </c>
      <c r="AE6" s="212">
        <f>'Price_Technical Assumption'!AF7</f>
        <v>28.666666666666664</v>
      </c>
      <c r="AF6" s="212">
        <f>'Price_Technical Assumption'!AG7</f>
        <v>29.666666666666664</v>
      </c>
      <c r="AG6" s="212">
        <f>'Price_Technical Assumption'!AH7</f>
        <v>30.666666666666664</v>
      </c>
    </row>
    <row r="7" spans="1:35" ht="13.5" thickBot="1">
      <c r="A7" s="123" t="s">
        <v>40</v>
      </c>
      <c r="B7" s="7" t="s">
        <v>254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8"/>
      <c r="B8" s="150">
        <f>Assumptions!G46</f>
        <v>36617</v>
      </c>
      <c r="C8" s="150">
        <f>BS!D8</f>
        <v>37255.5</v>
      </c>
      <c r="D8" s="150">
        <f>BS!E8</f>
        <v>37620.75</v>
      </c>
      <c r="E8" s="150">
        <f>BS!F8</f>
        <v>37986</v>
      </c>
      <c r="F8" s="150">
        <f>BS!G8</f>
        <v>38351.25</v>
      </c>
      <c r="G8" s="150">
        <f>BS!H8</f>
        <v>38716.5</v>
      </c>
      <c r="H8" s="150">
        <f>BS!I8</f>
        <v>39081.75</v>
      </c>
      <c r="I8" s="150">
        <f>BS!J8</f>
        <v>39447</v>
      </c>
      <c r="J8" s="150">
        <f>BS!K8</f>
        <v>39812.25</v>
      </c>
      <c r="K8" s="150">
        <f>BS!L8</f>
        <v>40177.5</v>
      </c>
      <c r="L8" s="150">
        <f>BS!M8</f>
        <v>40542.75</v>
      </c>
      <c r="M8" s="150">
        <f>BS!N8</f>
        <v>40908</v>
      </c>
      <c r="N8" s="150">
        <f>BS!O8</f>
        <v>41273.25</v>
      </c>
      <c r="O8" s="150">
        <f>BS!P8</f>
        <v>41638.5</v>
      </c>
      <c r="P8" s="150">
        <f>BS!Q8</f>
        <v>42003.75</v>
      </c>
      <c r="Q8" s="150">
        <f>BS!R8</f>
        <v>42369</v>
      </c>
      <c r="R8" s="150">
        <f>BS!S8</f>
        <v>42734.25</v>
      </c>
      <c r="S8" s="150">
        <f>BS!T8</f>
        <v>43099.5</v>
      </c>
      <c r="T8" s="150">
        <f>BS!U8</f>
        <v>43464.75</v>
      </c>
      <c r="U8" s="150">
        <f>BS!V8</f>
        <v>43830</v>
      </c>
      <c r="V8" s="150">
        <f>BS!W8</f>
        <v>44195.25</v>
      </c>
      <c r="W8" s="150">
        <f>BS!X8</f>
        <v>44560.5</v>
      </c>
      <c r="X8" s="150">
        <f>BS!Y8</f>
        <v>44925.75</v>
      </c>
      <c r="Y8" s="150">
        <f>BS!Z8</f>
        <v>45291</v>
      </c>
      <c r="Z8" s="150">
        <f>BS!AA8</f>
        <v>45656.25</v>
      </c>
      <c r="AA8" s="150">
        <f>BS!AB8</f>
        <v>46021.5</v>
      </c>
      <c r="AB8" s="150">
        <f>BS!AC8</f>
        <v>46386.75</v>
      </c>
      <c r="AC8" s="150">
        <f>BS!AD8</f>
        <v>46752</v>
      </c>
      <c r="AD8" s="150">
        <f>BS!AE8</f>
        <v>47117.25</v>
      </c>
      <c r="AE8" s="150">
        <f>BS!AF8</f>
        <v>47482.5</v>
      </c>
      <c r="AF8" s="150">
        <f>BS!AG8</f>
        <v>47847.75</v>
      </c>
      <c r="AG8" s="150">
        <f>BS!AH8</f>
        <v>48213</v>
      </c>
    </row>
    <row r="9" spans="1:35">
      <c r="A9" s="128"/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</row>
    <row r="10" spans="1:35" ht="13.5" customHeight="1" outlineLevel="1">
      <c r="A10" s="87"/>
      <c r="B10" s="2"/>
      <c r="C10" s="9"/>
      <c r="D10" s="9"/>
      <c r="E10" s="9"/>
      <c r="F10" s="9"/>
      <c r="G10" s="9"/>
      <c r="H10" s="9"/>
      <c r="I10" s="164"/>
      <c r="J10" s="164"/>
      <c r="K10" s="165"/>
      <c r="L10" s="165"/>
      <c r="M10" s="164"/>
      <c r="N10" s="164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49</v>
      </c>
      <c r="B11" s="18">
        <v>0</v>
      </c>
      <c r="C11" s="18" t="e">
        <f ca="1">IS!C32</f>
        <v>#N/A</v>
      </c>
      <c r="D11" s="18" t="e">
        <f ca="1">IS!D32</f>
        <v>#N/A</v>
      </c>
      <c r="E11" s="18" t="e">
        <f ca="1">IS!E32</f>
        <v>#N/A</v>
      </c>
      <c r="F11" s="18" t="e">
        <f ca="1">IS!F32</f>
        <v>#N/A</v>
      </c>
      <c r="G11" s="18" t="e">
        <f ca="1">IS!G32</f>
        <v>#N/A</v>
      </c>
      <c r="H11" s="18" t="e">
        <f ca="1">IS!H32</f>
        <v>#N/A</v>
      </c>
      <c r="I11" s="18" t="e">
        <f ca="1">IS!I32</f>
        <v>#N/A</v>
      </c>
      <c r="J11" s="18" t="e">
        <f ca="1">IS!J32</f>
        <v>#N/A</v>
      </c>
      <c r="K11" s="18" t="e">
        <f ca="1">IS!K32</f>
        <v>#N/A</v>
      </c>
      <c r="L11" s="18" t="e">
        <f ca="1">IS!L32</f>
        <v>#N/A</v>
      </c>
      <c r="M11" s="18" t="e">
        <f ca="1">IS!M32</f>
        <v>#N/A</v>
      </c>
      <c r="N11" s="18" t="e">
        <f ca="1">IS!N32</f>
        <v>#N/A</v>
      </c>
      <c r="O11" s="18" t="e">
        <f ca="1">IS!O32</f>
        <v>#N/A</v>
      </c>
      <c r="P11" s="18" t="e">
        <f ca="1">IS!P32</f>
        <v>#N/A</v>
      </c>
      <c r="Q11" s="18" t="e">
        <f ca="1">IS!Q32</f>
        <v>#N/A</v>
      </c>
      <c r="R11" s="18" t="e">
        <f ca="1">IS!R32</f>
        <v>#N/A</v>
      </c>
      <c r="S11" s="18" t="e">
        <f ca="1">IS!S32</f>
        <v>#N/A</v>
      </c>
      <c r="T11" s="18" t="e">
        <f ca="1">IS!T32</f>
        <v>#N/A</v>
      </c>
      <c r="U11" s="18" t="e">
        <f ca="1">IS!U32</f>
        <v>#N/A</v>
      </c>
      <c r="V11" s="18" t="e">
        <f ca="1">IS!V32</f>
        <v>#N/A</v>
      </c>
      <c r="W11" s="18" t="e">
        <f ca="1">IS!W32</f>
        <v>#N/A</v>
      </c>
      <c r="X11" s="18" t="e">
        <f ca="1">IS!X32</f>
        <v>#N/A</v>
      </c>
      <c r="Y11" s="18" t="e">
        <f ca="1">IS!Y32</f>
        <v>#N/A</v>
      </c>
      <c r="Z11" s="18" t="e">
        <f ca="1">IS!Z32</f>
        <v>#N/A</v>
      </c>
      <c r="AA11" s="18" t="e">
        <f ca="1">IS!AA32</f>
        <v>#N/A</v>
      </c>
      <c r="AB11" s="18" t="e">
        <f ca="1">IS!AB32</f>
        <v>#N/A</v>
      </c>
      <c r="AC11" s="18" t="e">
        <f ca="1">IS!AC32</f>
        <v>#N/A</v>
      </c>
      <c r="AD11" s="18" t="e">
        <f ca="1">IS!AD32</f>
        <v>#N/A</v>
      </c>
      <c r="AE11" s="18" t="e">
        <f ca="1">IS!AE32</f>
        <v>#N/A</v>
      </c>
      <c r="AF11" s="18" t="e">
        <f ca="1">IS!AF32</f>
        <v>#N/A</v>
      </c>
      <c r="AG11" s="18" t="e">
        <f ca="1">IS!AG32</f>
        <v>#N/A</v>
      </c>
    </row>
    <row r="12" spans="1:35">
      <c r="A12" s="45" t="s">
        <v>81</v>
      </c>
      <c r="B12" s="424">
        <v>0</v>
      </c>
      <c r="C12" s="424">
        <f>-(Debt!B36)</f>
        <v>-1956.5956747386133</v>
      </c>
      <c r="D12" s="424" t="e">
        <f ca="1">-(Debt!B44+Debt!C27+Debt!C36)</f>
        <v>#N/A</v>
      </c>
      <c r="E12" s="424" t="e">
        <f ca="1">-(Debt!C44+Debt!D27+Debt!D36)</f>
        <v>#N/A</v>
      </c>
      <c r="F12" s="424" t="e">
        <f ca="1">-(Debt!D44+Debt!E27+Debt!E36)</f>
        <v>#N/A</v>
      </c>
      <c r="G12" s="424" t="e">
        <f ca="1">-(Debt!E44+Debt!F27+Debt!F36)</f>
        <v>#N/A</v>
      </c>
      <c r="H12" s="424" t="e">
        <f ca="1">-(Debt!F44+Debt!G27+Debt!G36)</f>
        <v>#N/A</v>
      </c>
      <c r="I12" s="424" t="e">
        <f ca="1">-(Debt!G44+Debt!H27+Debt!H36)</f>
        <v>#N/A</v>
      </c>
      <c r="J12" s="424" t="e">
        <f ca="1">-(Debt!H44+Debt!I27+Debt!I36)</f>
        <v>#N/A</v>
      </c>
      <c r="K12" s="424" t="e">
        <f ca="1">-(Debt!I44+Debt!J27+Debt!J36)</f>
        <v>#N/A</v>
      </c>
      <c r="L12" s="424" t="e">
        <f ca="1">-(Debt!J44+Debt!K27+Debt!K36)</f>
        <v>#N/A</v>
      </c>
      <c r="M12" s="424" t="e">
        <f ca="1">-(Debt!K44+Debt!L27+Debt!L36)</f>
        <v>#N/A</v>
      </c>
      <c r="N12" s="424" t="e">
        <f ca="1">-(Debt!L44+Debt!M27+Debt!M36)</f>
        <v>#N/A</v>
      </c>
      <c r="O12" s="424" t="e">
        <f ca="1">-(Debt!M44+Debt!N27+Debt!N36)</f>
        <v>#N/A</v>
      </c>
      <c r="P12" s="424" t="e">
        <f ca="1">-(Debt!N44+Debt!O27+Debt!O36)</f>
        <v>#N/A</v>
      </c>
      <c r="Q12" s="424" t="e">
        <f ca="1">-(Debt!O44+Debt!P27+Debt!P36)</f>
        <v>#N/A</v>
      </c>
      <c r="R12" s="424" t="e">
        <f ca="1">-(Debt!P44+Debt!Q27+Debt!Q36)</f>
        <v>#N/A</v>
      </c>
      <c r="S12" s="424" t="e">
        <f ca="1">-(Debt!Q44+Debt!R27+Debt!R36)</f>
        <v>#N/A</v>
      </c>
      <c r="T12" s="424" t="e">
        <f ca="1">-(Debt!R44+Debt!S27+Debt!S36)</f>
        <v>#N/A</v>
      </c>
      <c r="U12" s="424" t="e">
        <f ca="1">-(Debt!S44+Debt!T27+Debt!T36)</f>
        <v>#N/A</v>
      </c>
      <c r="V12" s="424" t="e">
        <f ca="1">-(Debt!T44+Debt!U27+Debt!U36)</f>
        <v>#N/A</v>
      </c>
      <c r="W12" s="424" t="e">
        <f ca="1">-(Debt!U44+Debt!V27+Debt!V36)</f>
        <v>#N/A</v>
      </c>
      <c r="X12" s="424" t="e">
        <f ca="1">-(Debt!V44+Debt!W27+Debt!W36)</f>
        <v>#N/A</v>
      </c>
      <c r="Y12" s="424" t="e">
        <f ca="1">-(Debt!W44+Debt!X27+Debt!X36)</f>
        <v>#N/A</v>
      </c>
      <c r="Z12" s="424" t="e">
        <f ca="1">-(Debt!X44+Debt!Y27+Debt!Y36)</f>
        <v>#N/A</v>
      </c>
      <c r="AA12" s="424" t="e">
        <f ca="1">-(Debt!Y44+Debt!Z27+Debt!Z36)</f>
        <v>#N/A</v>
      </c>
      <c r="AB12" s="424" t="e">
        <f ca="1">-(Debt!Z44+Debt!AA27+Debt!AA36)</f>
        <v>#N/A</v>
      </c>
      <c r="AC12" s="424" t="e">
        <f ca="1">-(Debt!AA44+Debt!AB27+Debt!AB36)</f>
        <v>#N/A</v>
      </c>
      <c r="AD12" s="424" t="e">
        <f ca="1">-(Debt!AB44+Debt!AC27+Debt!AC36)</f>
        <v>#N/A</v>
      </c>
      <c r="AE12" s="424" t="e">
        <f ca="1">-(Debt!AC44+Debt!AD27+Debt!AD36)</f>
        <v>#N/A</v>
      </c>
      <c r="AF12" s="424" t="e">
        <f ca="1">-(Debt!AD44+Debt!AE27+Debt!AE36)</f>
        <v>#N/A</v>
      </c>
      <c r="AG12" s="424" t="e">
        <f ca="1">-(Debt!AE44+Debt!AF27+Debt!AF36)</f>
        <v>#N/A</v>
      </c>
      <c r="AH12" s="13"/>
      <c r="AI12" s="13"/>
    </row>
    <row r="13" spans="1:35">
      <c r="A13" s="45" t="s">
        <v>354</v>
      </c>
      <c r="B13" s="64">
        <f>SUM(B11:B12)</f>
        <v>0</v>
      </c>
      <c r="C13" s="64" t="e">
        <f t="shared" ref="C13:AG13" ca="1" si="0">SUM(C11:C12)</f>
        <v>#N/A</v>
      </c>
      <c r="D13" s="64" t="e">
        <f t="shared" ca="1" si="0"/>
        <v>#N/A</v>
      </c>
      <c r="E13" s="64" t="e">
        <f t="shared" ca="1" si="0"/>
        <v>#N/A</v>
      </c>
      <c r="F13" s="64" t="e">
        <f t="shared" ca="1" si="0"/>
        <v>#N/A</v>
      </c>
      <c r="G13" s="64" t="e">
        <f t="shared" ca="1" si="0"/>
        <v>#N/A</v>
      </c>
      <c r="H13" s="64" t="e">
        <f t="shared" ca="1" si="0"/>
        <v>#N/A</v>
      </c>
      <c r="I13" s="64" t="e">
        <f t="shared" ca="1" si="0"/>
        <v>#N/A</v>
      </c>
      <c r="J13" s="64" t="e">
        <f t="shared" ca="1" si="0"/>
        <v>#N/A</v>
      </c>
      <c r="K13" s="64" t="e">
        <f t="shared" ca="1" si="0"/>
        <v>#N/A</v>
      </c>
      <c r="L13" s="64" t="e">
        <f t="shared" ca="1" si="0"/>
        <v>#N/A</v>
      </c>
      <c r="M13" s="64" t="e">
        <f t="shared" ca="1" si="0"/>
        <v>#N/A</v>
      </c>
      <c r="N13" s="64" t="e">
        <f t="shared" ca="1" si="0"/>
        <v>#N/A</v>
      </c>
      <c r="O13" s="64" t="e">
        <f t="shared" ca="1" si="0"/>
        <v>#N/A</v>
      </c>
      <c r="P13" s="64" t="e">
        <f t="shared" ca="1" si="0"/>
        <v>#N/A</v>
      </c>
      <c r="Q13" s="64" t="e">
        <f t="shared" ca="1" si="0"/>
        <v>#N/A</v>
      </c>
      <c r="R13" s="64" t="e">
        <f t="shared" ca="1" si="0"/>
        <v>#N/A</v>
      </c>
      <c r="S13" s="64" t="e">
        <f t="shared" ca="1" si="0"/>
        <v>#N/A</v>
      </c>
      <c r="T13" s="64" t="e">
        <f t="shared" ca="1" si="0"/>
        <v>#N/A</v>
      </c>
      <c r="U13" s="64" t="e">
        <f t="shared" ca="1" si="0"/>
        <v>#N/A</v>
      </c>
      <c r="V13" s="64" t="e">
        <f t="shared" ca="1" si="0"/>
        <v>#N/A</v>
      </c>
      <c r="W13" s="64" t="e">
        <f t="shared" ca="1" si="0"/>
        <v>#N/A</v>
      </c>
      <c r="X13" s="64" t="e">
        <f t="shared" ca="1" si="0"/>
        <v>#N/A</v>
      </c>
      <c r="Y13" s="64" t="e">
        <f t="shared" ca="1" si="0"/>
        <v>#N/A</v>
      </c>
      <c r="Z13" s="64" t="e">
        <f t="shared" ca="1" si="0"/>
        <v>#N/A</v>
      </c>
      <c r="AA13" s="64" t="e">
        <f t="shared" ca="1" si="0"/>
        <v>#N/A</v>
      </c>
      <c r="AB13" s="64" t="e">
        <f t="shared" ca="1" si="0"/>
        <v>#N/A</v>
      </c>
      <c r="AC13" s="64" t="e">
        <f t="shared" ca="1" si="0"/>
        <v>#N/A</v>
      </c>
      <c r="AD13" s="64" t="e">
        <f t="shared" ca="1" si="0"/>
        <v>#N/A</v>
      </c>
      <c r="AE13" s="64" t="e">
        <f t="shared" ca="1" si="0"/>
        <v>#N/A</v>
      </c>
      <c r="AF13" s="64" t="e">
        <f t="shared" ca="1" si="0"/>
        <v>#N/A</v>
      </c>
      <c r="AG13" s="64" t="e">
        <f t="shared" ca="1" si="0"/>
        <v>#N/A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355</v>
      </c>
      <c r="B15" s="18">
        <v>0</v>
      </c>
      <c r="C15" s="18" t="e">
        <f ca="1">-Taxes!B24-Taxes!B41</f>
        <v>#N/A</v>
      </c>
      <c r="D15" s="18" t="e">
        <f ca="1">-Taxes!C24-Taxes!C41</f>
        <v>#N/A</v>
      </c>
      <c r="E15" s="18" t="e">
        <f ca="1">-Taxes!D24-Taxes!D41</f>
        <v>#N/A</v>
      </c>
      <c r="F15" s="18" t="e">
        <f ca="1">-Taxes!E24-Taxes!E41</f>
        <v>#N/A</v>
      </c>
      <c r="G15" s="18" t="e">
        <f ca="1">-Taxes!F24-Taxes!F41</f>
        <v>#N/A</v>
      </c>
      <c r="H15" s="18" t="e">
        <f ca="1">-Taxes!G24-Taxes!G41</f>
        <v>#N/A</v>
      </c>
      <c r="I15" s="18" t="e">
        <f ca="1">-Taxes!H24-Taxes!H41</f>
        <v>#N/A</v>
      </c>
      <c r="J15" s="18" t="e">
        <f ca="1">-Taxes!I24-Taxes!I41</f>
        <v>#N/A</v>
      </c>
      <c r="K15" s="18" t="e">
        <f ca="1">-Taxes!J24-Taxes!J41</f>
        <v>#N/A</v>
      </c>
      <c r="L15" s="18" t="e">
        <f ca="1">-Taxes!K24-Taxes!K41</f>
        <v>#N/A</v>
      </c>
      <c r="M15" s="18" t="e">
        <f ca="1">-Taxes!L24-Taxes!L41</f>
        <v>#N/A</v>
      </c>
      <c r="N15" s="18" t="e">
        <f ca="1">-Taxes!M24-Taxes!M41</f>
        <v>#N/A</v>
      </c>
      <c r="O15" s="18" t="e">
        <f ca="1">-Taxes!N24-Taxes!N41</f>
        <v>#N/A</v>
      </c>
      <c r="P15" s="18" t="e">
        <f ca="1">-Taxes!O24-Taxes!O41</f>
        <v>#N/A</v>
      </c>
      <c r="Q15" s="18" t="e">
        <f ca="1">-Taxes!P24-Taxes!P41</f>
        <v>#N/A</v>
      </c>
      <c r="R15" s="18" t="e">
        <f ca="1">-Taxes!Q24-Taxes!Q41</f>
        <v>#N/A</v>
      </c>
      <c r="S15" s="18" t="e">
        <f ca="1">-Taxes!R24-Taxes!R41</f>
        <v>#N/A</v>
      </c>
      <c r="T15" s="18" t="e">
        <f ca="1">-Taxes!S24-Taxes!S41</f>
        <v>#N/A</v>
      </c>
      <c r="U15" s="18" t="e">
        <f ca="1">-Taxes!T24-Taxes!T41</f>
        <v>#N/A</v>
      </c>
      <c r="V15" s="18" t="e">
        <f ca="1">-Taxes!U24-Taxes!U41</f>
        <v>#N/A</v>
      </c>
      <c r="W15" s="18" t="e">
        <f ca="1">-Taxes!V24-Taxes!V41</f>
        <v>#N/A</v>
      </c>
      <c r="X15" s="18" t="e">
        <f ca="1">-Taxes!W24-Taxes!W41</f>
        <v>#N/A</v>
      </c>
      <c r="Y15" s="18" t="e">
        <f ca="1">-Taxes!X24-Taxes!X41</f>
        <v>#N/A</v>
      </c>
      <c r="Z15" s="18" t="e">
        <f ca="1">-Taxes!Y24-Taxes!Y41</f>
        <v>#N/A</v>
      </c>
      <c r="AA15" s="18" t="e">
        <f ca="1">-Taxes!Z24-Taxes!Z41</f>
        <v>#N/A</v>
      </c>
      <c r="AB15" s="18" t="e">
        <f ca="1">-Taxes!AA24-Taxes!AA41</f>
        <v>#N/A</v>
      </c>
      <c r="AC15" s="18" t="e">
        <f ca="1">-Taxes!AB24-Taxes!AB41</f>
        <v>#N/A</v>
      </c>
      <c r="AD15" s="18" t="e">
        <f ca="1">-Taxes!AC24-Taxes!AC41</f>
        <v>#N/A</v>
      </c>
      <c r="AE15" s="18" t="e">
        <f ca="1">-Taxes!AD24-Taxes!AD41</f>
        <v>#N/A</v>
      </c>
      <c r="AF15" s="18" t="e">
        <f ca="1">-Taxes!AE24-Taxes!AE41</f>
        <v>#N/A</v>
      </c>
      <c r="AG15" s="18" t="e">
        <f ca="1">-Taxes!AF24-Taxes!AF41</f>
        <v>#N/A</v>
      </c>
    </row>
    <row r="16" spans="1:35">
      <c r="A16" s="45" t="s">
        <v>82</v>
      </c>
      <c r="B16" s="64">
        <v>0</v>
      </c>
      <c r="C16" s="23" t="e">
        <f ca="1">-Debt!B48</f>
        <v>#N/A</v>
      </c>
      <c r="D16" s="23" t="e">
        <f ca="1">-Debt!C48</f>
        <v>#N/A</v>
      </c>
      <c r="E16" s="23" t="e">
        <f ca="1">-Debt!D48</f>
        <v>#N/A</v>
      </c>
      <c r="F16" s="23" t="e">
        <f ca="1">-Debt!E48</f>
        <v>#N/A</v>
      </c>
      <c r="G16" s="23" t="e">
        <f ca="1">-Debt!F48</f>
        <v>#N/A</v>
      </c>
      <c r="H16" s="23" t="e">
        <f ca="1">-Debt!G48</f>
        <v>#N/A</v>
      </c>
      <c r="I16" s="23" t="e">
        <f ca="1">-Debt!H48</f>
        <v>#N/A</v>
      </c>
      <c r="J16" s="23" t="e">
        <f ca="1">-Debt!I48</f>
        <v>#N/A</v>
      </c>
      <c r="K16" s="23" t="e">
        <f ca="1">-Debt!J48</f>
        <v>#N/A</v>
      </c>
      <c r="L16" s="23" t="e">
        <f ca="1">-Debt!K48</f>
        <v>#N/A</v>
      </c>
      <c r="M16" s="23" t="e">
        <f ca="1">-Debt!L48</f>
        <v>#N/A</v>
      </c>
      <c r="N16" s="23" t="e">
        <f ca="1">-Debt!M48</f>
        <v>#N/A</v>
      </c>
      <c r="O16" s="23" t="e">
        <f ca="1">-Debt!N48</f>
        <v>#N/A</v>
      </c>
      <c r="P16" s="23" t="e">
        <f ca="1">-Debt!O48</f>
        <v>#N/A</v>
      </c>
      <c r="Q16" s="23" t="e">
        <f ca="1">-Debt!P48</f>
        <v>#N/A</v>
      </c>
      <c r="R16" s="23" t="e">
        <f ca="1">-Debt!Q48</f>
        <v>#N/A</v>
      </c>
      <c r="S16" s="23" t="e">
        <f ca="1">-Debt!R48</f>
        <v>#N/A</v>
      </c>
      <c r="T16" s="23" t="e">
        <f ca="1">-Debt!S48</f>
        <v>#N/A</v>
      </c>
      <c r="U16" s="23" t="e">
        <f ca="1">-Debt!T48</f>
        <v>#N/A</v>
      </c>
      <c r="V16" s="23" t="e">
        <f ca="1">-Debt!U48</f>
        <v>#N/A</v>
      </c>
      <c r="W16" s="23" t="e">
        <f ca="1">-Debt!V48</f>
        <v>#N/A</v>
      </c>
      <c r="X16" s="23" t="e">
        <f ca="1">-Debt!W48</f>
        <v>#N/A</v>
      </c>
      <c r="Y16" s="23" t="e">
        <f ca="1">-Debt!X48</f>
        <v>#N/A</v>
      </c>
      <c r="Z16" s="23" t="e">
        <f ca="1">-Debt!Y48</f>
        <v>#N/A</v>
      </c>
      <c r="AA16" s="23" t="e">
        <f ca="1">-Debt!Z48</f>
        <v>#N/A</v>
      </c>
      <c r="AB16" s="23" t="e">
        <f ca="1">-Debt!AA48</f>
        <v>#N/A</v>
      </c>
      <c r="AC16" s="23" t="e">
        <f ca="1">-Debt!AB48</f>
        <v>#N/A</v>
      </c>
      <c r="AD16" s="23" t="e">
        <f ca="1">-Debt!AC48</f>
        <v>#N/A</v>
      </c>
      <c r="AE16" s="23" t="e">
        <f ca="1">-Debt!AD48</f>
        <v>#N/A</v>
      </c>
      <c r="AF16" s="23" t="e">
        <f ca="1">-Debt!AE48</f>
        <v>#N/A</v>
      </c>
      <c r="AG16" s="23" t="e">
        <f ca="1">-Debt!AF48</f>
        <v>#N/A</v>
      </c>
    </row>
    <row r="17" spans="1:34">
      <c r="A17" s="45" t="s">
        <v>356</v>
      </c>
      <c r="B17" s="425">
        <v>0</v>
      </c>
      <c r="C17" s="425">
        <v>0</v>
      </c>
      <c r="D17" s="425">
        <v>0</v>
      </c>
      <c r="E17" s="425">
        <v>0</v>
      </c>
      <c r="F17" s="425">
        <v>0</v>
      </c>
      <c r="G17" s="425">
        <v>0</v>
      </c>
      <c r="H17" s="425">
        <v>0</v>
      </c>
      <c r="I17" s="425">
        <v>0</v>
      </c>
      <c r="J17" s="425">
        <v>0</v>
      </c>
      <c r="K17" s="425">
        <v>0</v>
      </c>
      <c r="L17" s="425">
        <v>0</v>
      </c>
      <c r="M17" s="425">
        <v>0</v>
      </c>
      <c r="N17" s="425">
        <v>0</v>
      </c>
      <c r="O17" s="425">
        <v>0</v>
      </c>
      <c r="P17" s="425">
        <v>0</v>
      </c>
      <c r="Q17" s="425">
        <v>0</v>
      </c>
      <c r="R17" s="425">
        <v>0</v>
      </c>
      <c r="S17" s="425">
        <v>0</v>
      </c>
      <c r="T17" s="425">
        <v>0</v>
      </c>
      <c r="U17" s="425">
        <v>0</v>
      </c>
      <c r="V17" s="425">
        <v>0</v>
      </c>
      <c r="W17" s="425">
        <v>0</v>
      </c>
      <c r="X17" s="425">
        <v>0</v>
      </c>
      <c r="Y17" s="425">
        <v>0</v>
      </c>
      <c r="Z17" s="425">
        <v>0</v>
      </c>
      <c r="AA17" s="425">
        <v>0</v>
      </c>
      <c r="AB17" s="425">
        <v>0</v>
      </c>
      <c r="AC17" s="425">
        <v>0</v>
      </c>
      <c r="AD17" s="425">
        <v>0</v>
      </c>
      <c r="AE17" s="425">
        <v>0</v>
      </c>
      <c r="AF17" s="425">
        <v>0</v>
      </c>
      <c r="AG17" s="425">
        <v>0</v>
      </c>
    </row>
    <row r="18" spans="1:34">
      <c r="A18" s="45" t="s">
        <v>357</v>
      </c>
      <c r="B18" s="64">
        <f>B13+B17+B16+B15</f>
        <v>0</v>
      </c>
      <c r="C18" s="64" t="e">
        <f t="shared" ref="C18:AG18" ca="1" si="1">C13+C17+C16+C15</f>
        <v>#N/A</v>
      </c>
      <c r="D18" s="64" t="e">
        <f t="shared" ca="1" si="1"/>
        <v>#N/A</v>
      </c>
      <c r="E18" s="64" t="e">
        <f t="shared" ca="1" si="1"/>
        <v>#N/A</v>
      </c>
      <c r="F18" s="64" t="e">
        <f t="shared" ca="1" si="1"/>
        <v>#N/A</v>
      </c>
      <c r="G18" s="64" t="e">
        <f t="shared" ca="1" si="1"/>
        <v>#N/A</v>
      </c>
      <c r="H18" s="64" t="e">
        <f t="shared" ca="1" si="1"/>
        <v>#N/A</v>
      </c>
      <c r="I18" s="64" t="e">
        <f t="shared" ca="1" si="1"/>
        <v>#N/A</v>
      </c>
      <c r="J18" s="64" t="e">
        <f t="shared" ca="1" si="1"/>
        <v>#N/A</v>
      </c>
      <c r="K18" s="64" t="e">
        <f t="shared" ca="1" si="1"/>
        <v>#N/A</v>
      </c>
      <c r="L18" s="64" t="e">
        <f t="shared" ca="1" si="1"/>
        <v>#N/A</v>
      </c>
      <c r="M18" s="64" t="e">
        <f t="shared" ca="1" si="1"/>
        <v>#N/A</v>
      </c>
      <c r="N18" s="64" t="e">
        <f t="shared" ca="1" si="1"/>
        <v>#N/A</v>
      </c>
      <c r="O18" s="64" t="e">
        <f t="shared" ca="1" si="1"/>
        <v>#N/A</v>
      </c>
      <c r="P18" s="64" t="e">
        <f t="shared" ca="1" si="1"/>
        <v>#N/A</v>
      </c>
      <c r="Q18" s="64" t="e">
        <f t="shared" ca="1" si="1"/>
        <v>#N/A</v>
      </c>
      <c r="R18" s="64" t="e">
        <f t="shared" ca="1" si="1"/>
        <v>#N/A</v>
      </c>
      <c r="S18" s="64" t="e">
        <f t="shared" ca="1" si="1"/>
        <v>#N/A</v>
      </c>
      <c r="T18" s="64" t="e">
        <f t="shared" ca="1" si="1"/>
        <v>#N/A</v>
      </c>
      <c r="U18" s="64" t="e">
        <f t="shared" ca="1" si="1"/>
        <v>#N/A</v>
      </c>
      <c r="V18" s="64" t="e">
        <f t="shared" ca="1" si="1"/>
        <v>#N/A</v>
      </c>
      <c r="W18" s="64" t="e">
        <f t="shared" ca="1" si="1"/>
        <v>#N/A</v>
      </c>
      <c r="X18" s="64" t="e">
        <f t="shared" ca="1" si="1"/>
        <v>#N/A</v>
      </c>
      <c r="Y18" s="64" t="e">
        <f t="shared" ca="1" si="1"/>
        <v>#N/A</v>
      </c>
      <c r="Z18" s="64" t="e">
        <f t="shared" ca="1" si="1"/>
        <v>#N/A</v>
      </c>
      <c r="AA18" s="64" t="e">
        <f t="shared" ca="1" si="1"/>
        <v>#N/A</v>
      </c>
      <c r="AB18" s="64" t="e">
        <f t="shared" ca="1" si="1"/>
        <v>#N/A</v>
      </c>
      <c r="AC18" s="64" t="e">
        <f t="shared" ca="1" si="1"/>
        <v>#N/A</v>
      </c>
      <c r="AD18" s="64" t="e">
        <f t="shared" ca="1" si="1"/>
        <v>#N/A</v>
      </c>
      <c r="AE18" s="64" t="e">
        <f t="shared" ca="1" si="1"/>
        <v>#N/A</v>
      </c>
      <c r="AF18" s="64" t="e">
        <f t="shared" ca="1" si="1"/>
        <v>#N/A</v>
      </c>
      <c r="AG18" s="64" t="e">
        <f t="shared" ca="1" si="1"/>
        <v>#N/A</v>
      </c>
    </row>
    <row r="19" spans="1:34">
      <c r="A19" s="320"/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1"/>
      <c r="AA19" s="381"/>
      <c r="AB19" s="381"/>
      <c r="AC19" s="381"/>
      <c r="AD19" s="381"/>
      <c r="AE19" s="381"/>
      <c r="AF19" s="381"/>
      <c r="AG19" s="381"/>
    </row>
    <row r="20" spans="1:34">
      <c r="A20" s="426" t="s">
        <v>408</v>
      </c>
      <c r="B20" s="497">
        <v>1</v>
      </c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1"/>
      <c r="W20" s="381"/>
      <c r="X20" s="381"/>
      <c r="Y20" s="381"/>
      <c r="Z20" s="381"/>
      <c r="AA20" s="381"/>
      <c r="AB20" s="381"/>
      <c r="AC20" s="381"/>
      <c r="AD20" s="381"/>
      <c r="AE20" s="381"/>
      <c r="AF20" s="381"/>
      <c r="AG20" s="381"/>
    </row>
    <row r="21" spans="1:34">
      <c r="B21" s="64">
        <f>$B$20*B18</f>
        <v>0</v>
      </c>
      <c r="C21" s="64" t="e">
        <f t="shared" ref="C21:AG21" ca="1" si="2">$B$20*C18</f>
        <v>#N/A</v>
      </c>
      <c r="D21" s="64" t="e">
        <f t="shared" ca="1" si="2"/>
        <v>#N/A</v>
      </c>
      <c r="E21" s="64" t="e">
        <f t="shared" ca="1" si="2"/>
        <v>#N/A</v>
      </c>
      <c r="F21" s="64" t="e">
        <f t="shared" ca="1" si="2"/>
        <v>#N/A</v>
      </c>
      <c r="G21" s="64" t="e">
        <f t="shared" ca="1" si="2"/>
        <v>#N/A</v>
      </c>
      <c r="H21" s="64" t="e">
        <f t="shared" ca="1" si="2"/>
        <v>#N/A</v>
      </c>
      <c r="I21" s="64" t="e">
        <f t="shared" ca="1" si="2"/>
        <v>#N/A</v>
      </c>
      <c r="J21" s="64" t="e">
        <f t="shared" ca="1" si="2"/>
        <v>#N/A</v>
      </c>
      <c r="K21" s="64" t="e">
        <f t="shared" ca="1" si="2"/>
        <v>#N/A</v>
      </c>
      <c r="L21" s="64" t="e">
        <f t="shared" ca="1" si="2"/>
        <v>#N/A</v>
      </c>
      <c r="M21" s="64" t="e">
        <f t="shared" ca="1" si="2"/>
        <v>#N/A</v>
      </c>
      <c r="N21" s="64" t="e">
        <f t="shared" ca="1" si="2"/>
        <v>#N/A</v>
      </c>
      <c r="O21" s="64" t="e">
        <f t="shared" ca="1" si="2"/>
        <v>#N/A</v>
      </c>
      <c r="P21" s="64" t="e">
        <f t="shared" ca="1" si="2"/>
        <v>#N/A</v>
      </c>
      <c r="Q21" s="64" t="e">
        <f t="shared" ca="1" si="2"/>
        <v>#N/A</v>
      </c>
      <c r="R21" s="64" t="e">
        <f t="shared" ca="1" si="2"/>
        <v>#N/A</v>
      </c>
      <c r="S21" s="64" t="e">
        <f t="shared" ca="1" si="2"/>
        <v>#N/A</v>
      </c>
      <c r="T21" s="64" t="e">
        <f t="shared" ca="1" si="2"/>
        <v>#N/A</v>
      </c>
      <c r="U21" s="64" t="e">
        <f t="shared" ca="1" si="2"/>
        <v>#N/A</v>
      </c>
      <c r="V21" s="64" t="e">
        <f t="shared" ca="1" si="2"/>
        <v>#N/A</v>
      </c>
      <c r="W21" s="64" t="e">
        <f t="shared" ca="1" si="2"/>
        <v>#N/A</v>
      </c>
      <c r="X21" s="64" t="e">
        <f t="shared" ca="1" si="2"/>
        <v>#N/A</v>
      </c>
      <c r="Y21" s="64" t="e">
        <f t="shared" ca="1" si="2"/>
        <v>#N/A</v>
      </c>
      <c r="Z21" s="64" t="e">
        <f t="shared" ca="1" si="2"/>
        <v>#N/A</v>
      </c>
      <c r="AA21" s="64" t="e">
        <f t="shared" ca="1" si="2"/>
        <v>#N/A</v>
      </c>
      <c r="AB21" s="64" t="e">
        <f t="shared" ca="1" si="2"/>
        <v>#N/A</v>
      </c>
      <c r="AC21" s="64" t="e">
        <f t="shared" ca="1" si="2"/>
        <v>#N/A</v>
      </c>
      <c r="AD21" s="64" t="e">
        <f t="shared" ca="1" si="2"/>
        <v>#N/A</v>
      </c>
      <c r="AE21" s="64" t="e">
        <f t="shared" ca="1" si="2"/>
        <v>#N/A</v>
      </c>
      <c r="AF21" s="64" t="e">
        <f t="shared" ca="1" si="2"/>
        <v>#N/A</v>
      </c>
      <c r="AG21" s="64" t="e">
        <f t="shared" ca="1" si="2"/>
        <v>#N/A</v>
      </c>
    </row>
    <row r="22" spans="1:34">
      <c r="B22" s="381"/>
      <c r="C22" s="381"/>
      <c r="D22" s="381"/>
      <c r="E22" s="381"/>
      <c r="F22" s="381"/>
      <c r="G22" s="381"/>
      <c r="H22" s="381"/>
      <c r="I22" s="381"/>
      <c r="J22" s="381"/>
      <c r="K22" s="381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1"/>
      <c r="AA22" s="381"/>
      <c r="AB22" s="381"/>
      <c r="AC22" s="381"/>
      <c r="AD22" s="381"/>
      <c r="AE22" s="381"/>
      <c r="AF22" s="381"/>
      <c r="AG22" s="381"/>
    </row>
    <row r="23" spans="1:34" ht="13.5" thickBot="1">
      <c r="A23" s="381"/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1"/>
      <c r="AA23" s="381"/>
      <c r="AB23" s="381"/>
      <c r="AC23" s="381"/>
      <c r="AD23" s="381"/>
    </row>
    <row r="24" spans="1:34" hidden="1">
      <c r="A24" s="427" t="s">
        <v>364</v>
      </c>
      <c r="B24" s="433">
        <v>0.14000000000000001</v>
      </c>
      <c r="AA24" s="59"/>
      <c r="AB24" s="59"/>
      <c r="AC24" s="59"/>
      <c r="AD24" s="59"/>
    </row>
    <row r="25" spans="1:34" hidden="1">
      <c r="A25" s="45" t="s">
        <v>56</v>
      </c>
      <c r="B25" s="18" t="e">
        <f>-Assumptions!C11</f>
        <v>#N/A</v>
      </c>
      <c r="C25" s="18" t="e">
        <f t="shared" ref="C25:V25" si="3">+B29</f>
        <v>#N/A</v>
      </c>
      <c r="D25" s="18" t="e">
        <f t="shared" ca="1" si="3"/>
        <v>#N/A</v>
      </c>
      <c r="E25" s="18" t="e">
        <f t="shared" ca="1" si="3"/>
        <v>#N/A</v>
      </c>
      <c r="F25" s="18" t="e">
        <f t="shared" ca="1" si="3"/>
        <v>#N/A</v>
      </c>
      <c r="G25" s="18" t="e">
        <f t="shared" ca="1" si="3"/>
        <v>#N/A</v>
      </c>
      <c r="H25" s="18" t="e">
        <f t="shared" ca="1" si="3"/>
        <v>#N/A</v>
      </c>
      <c r="I25" s="18" t="e">
        <f t="shared" ca="1" si="3"/>
        <v>#N/A</v>
      </c>
      <c r="J25" s="18" t="e">
        <f t="shared" ca="1" si="3"/>
        <v>#N/A</v>
      </c>
      <c r="K25" s="18" t="e">
        <f t="shared" ca="1" si="3"/>
        <v>#N/A</v>
      </c>
      <c r="L25" s="18" t="e">
        <f t="shared" ca="1" si="3"/>
        <v>#N/A</v>
      </c>
      <c r="M25" s="18" t="e">
        <f t="shared" ca="1" si="3"/>
        <v>#N/A</v>
      </c>
      <c r="N25" s="18" t="e">
        <f t="shared" ca="1" si="3"/>
        <v>#N/A</v>
      </c>
      <c r="O25" s="18" t="e">
        <f t="shared" ca="1" si="3"/>
        <v>#N/A</v>
      </c>
      <c r="P25" s="18" t="e">
        <f t="shared" ca="1" si="3"/>
        <v>#N/A</v>
      </c>
      <c r="Q25" s="18" t="e">
        <f t="shared" ca="1" si="3"/>
        <v>#N/A</v>
      </c>
      <c r="R25" s="18" t="e">
        <f t="shared" ca="1" si="3"/>
        <v>#N/A</v>
      </c>
      <c r="S25" s="18" t="e">
        <f t="shared" ca="1" si="3"/>
        <v>#N/A</v>
      </c>
      <c r="T25" s="18" t="e">
        <f t="shared" ca="1" si="3"/>
        <v>#N/A</v>
      </c>
      <c r="U25" s="18" t="e">
        <f t="shared" ca="1" si="3"/>
        <v>#N/A</v>
      </c>
      <c r="V25" s="18" t="e">
        <f t="shared" ca="1" si="3"/>
        <v>#N/A</v>
      </c>
      <c r="W25" s="18" t="e">
        <f t="shared" ref="W25:AG25" ca="1" si="4">+V29</f>
        <v>#N/A</v>
      </c>
      <c r="X25" s="18" t="e">
        <f t="shared" ca="1" si="4"/>
        <v>#N/A</v>
      </c>
      <c r="Y25" s="18" t="e">
        <f t="shared" ca="1" si="4"/>
        <v>#N/A</v>
      </c>
      <c r="Z25" s="18" t="e">
        <f t="shared" ca="1" si="4"/>
        <v>#N/A</v>
      </c>
      <c r="AA25" s="18" t="e">
        <f t="shared" ca="1" si="4"/>
        <v>#N/A</v>
      </c>
      <c r="AB25" s="18" t="e">
        <f t="shared" ca="1" si="4"/>
        <v>#N/A</v>
      </c>
      <c r="AC25" s="18" t="e">
        <f t="shared" ca="1" si="4"/>
        <v>#N/A</v>
      </c>
      <c r="AD25" s="18" t="e">
        <f t="shared" ca="1" si="4"/>
        <v>#N/A</v>
      </c>
      <c r="AE25" s="18" t="e">
        <f t="shared" ca="1" si="4"/>
        <v>#N/A</v>
      </c>
      <c r="AF25" s="18" t="e">
        <f t="shared" ca="1" si="4"/>
        <v>#N/A</v>
      </c>
      <c r="AG25" s="18" t="e">
        <f t="shared" ca="1" si="4"/>
        <v>#N/A</v>
      </c>
    </row>
    <row r="26" spans="1:34" hidden="1">
      <c r="A26" s="45" t="s">
        <v>363</v>
      </c>
      <c r="B26" s="18">
        <v>0</v>
      </c>
      <c r="C26" s="18" t="e">
        <f>+-B25*$B$24</f>
        <v>#N/A</v>
      </c>
      <c r="D26" s="18" t="e">
        <f t="shared" ref="D26:V26" ca="1" si="5">+-D25*$B$24</f>
        <v>#N/A</v>
      </c>
      <c r="E26" s="18" t="e">
        <f t="shared" ca="1" si="5"/>
        <v>#N/A</v>
      </c>
      <c r="F26" s="18" t="e">
        <f t="shared" ca="1" si="5"/>
        <v>#N/A</v>
      </c>
      <c r="G26" s="18" t="e">
        <f t="shared" ca="1" si="5"/>
        <v>#N/A</v>
      </c>
      <c r="H26" s="18" t="e">
        <f t="shared" ca="1" si="5"/>
        <v>#N/A</v>
      </c>
      <c r="I26" s="18" t="e">
        <f t="shared" ca="1" si="5"/>
        <v>#N/A</v>
      </c>
      <c r="J26" s="18" t="e">
        <f t="shared" ca="1" si="5"/>
        <v>#N/A</v>
      </c>
      <c r="K26" s="18" t="e">
        <f t="shared" ca="1" si="5"/>
        <v>#N/A</v>
      </c>
      <c r="L26" s="18" t="e">
        <f t="shared" ca="1" si="5"/>
        <v>#N/A</v>
      </c>
      <c r="M26" s="18" t="e">
        <f t="shared" ca="1" si="5"/>
        <v>#N/A</v>
      </c>
      <c r="N26" s="18" t="e">
        <f t="shared" ca="1" si="5"/>
        <v>#N/A</v>
      </c>
      <c r="O26" s="18" t="e">
        <f t="shared" ca="1" si="5"/>
        <v>#N/A</v>
      </c>
      <c r="P26" s="18" t="e">
        <f t="shared" ca="1" si="5"/>
        <v>#N/A</v>
      </c>
      <c r="Q26" s="18" t="e">
        <f t="shared" ca="1" si="5"/>
        <v>#N/A</v>
      </c>
      <c r="R26" s="18" t="e">
        <f t="shared" ca="1" si="5"/>
        <v>#N/A</v>
      </c>
      <c r="S26" s="18" t="e">
        <f t="shared" ca="1" si="5"/>
        <v>#N/A</v>
      </c>
      <c r="T26" s="18" t="e">
        <f t="shared" ca="1" si="5"/>
        <v>#N/A</v>
      </c>
      <c r="U26" s="18" t="e">
        <f t="shared" ca="1" si="5"/>
        <v>#N/A</v>
      </c>
      <c r="V26" s="18" t="e">
        <f t="shared" ca="1" si="5"/>
        <v>#N/A</v>
      </c>
      <c r="W26" s="18" t="e">
        <f t="shared" ref="W26:AG26" ca="1" si="6">+-W25*$B$24</f>
        <v>#N/A</v>
      </c>
      <c r="X26" s="18" t="e">
        <f t="shared" ca="1" si="6"/>
        <v>#N/A</v>
      </c>
      <c r="Y26" s="18" t="e">
        <f t="shared" ca="1" si="6"/>
        <v>#N/A</v>
      </c>
      <c r="Z26" s="18" t="e">
        <f t="shared" ca="1" si="6"/>
        <v>#N/A</v>
      </c>
      <c r="AA26" s="18" t="e">
        <f t="shared" ca="1" si="6"/>
        <v>#N/A</v>
      </c>
      <c r="AB26" s="18" t="e">
        <f t="shared" ca="1" si="6"/>
        <v>#N/A</v>
      </c>
      <c r="AC26" s="18" t="e">
        <f t="shared" ca="1" si="6"/>
        <v>#N/A</v>
      </c>
      <c r="AD26" s="18" t="e">
        <f t="shared" ca="1" si="6"/>
        <v>#N/A</v>
      </c>
      <c r="AE26" s="18" t="e">
        <f t="shared" ca="1" si="6"/>
        <v>#N/A</v>
      </c>
      <c r="AF26" s="18" t="e">
        <f t="shared" ca="1" si="6"/>
        <v>#N/A</v>
      </c>
      <c r="AG26" s="18" t="e">
        <f t="shared" ca="1" si="6"/>
        <v>#N/A</v>
      </c>
    </row>
    <row r="27" spans="1:34" hidden="1">
      <c r="A27" s="45" t="s">
        <v>359</v>
      </c>
      <c r="B27" s="18">
        <f>B21</f>
        <v>0</v>
      </c>
      <c r="C27" s="18" t="e">
        <f t="shared" ref="C27:AG27" ca="1" si="7">C21</f>
        <v>#N/A</v>
      </c>
      <c r="D27" s="18" t="e">
        <f t="shared" ca="1" si="7"/>
        <v>#N/A</v>
      </c>
      <c r="E27" s="18" t="e">
        <f t="shared" ca="1" si="7"/>
        <v>#N/A</v>
      </c>
      <c r="F27" s="18" t="e">
        <f t="shared" ca="1" si="7"/>
        <v>#N/A</v>
      </c>
      <c r="G27" s="18" t="e">
        <f t="shared" ca="1" si="7"/>
        <v>#N/A</v>
      </c>
      <c r="H27" s="18" t="e">
        <f t="shared" ca="1" si="7"/>
        <v>#N/A</v>
      </c>
      <c r="I27" s="18" t="e">
        <f t="shared" ca="1" si="7"/>
        <v>#N/A</v>
      </c>
      <c r="J27" s="18" t="e">
        <f t="shared" ca="1" si="7"/>
        <v>#N/A</v>
      </c>
      <c r="K27" s="18" t="e">
        <f t="shared" ca="1" si="7"/>
        <v>#N/A</v>
      </c>
      <c r="L27" s="18" t="e">
        <f t="shared" ca="1" si="7"/>
        <v>#N/A</v>
      </c>
      <c r="M27" s="18" t="e">
        <f t="shared" ca="1" si="7"/>
        <v>#N/A</v>
      </c>
      <c r="N27" s="18" t="e">
        <f t="shared" ca="1" si="7"/>
        <v>#N/A</v>
      </c>
      <c r="O27" s="18" t="e">
        <f t="shared" ca="1" si="7"/>
        <v>#N/A</v>
      </c>
      <c r="P27" s="18" t="e">
        <f t="shared" ca="1" si="7"/>
        <v>#N/A</v>
      </c>
      <c r="Q27" s="18" t="e">
        <f t="shared" ca="1" si="7"/>
        <v>#N/A</v>
      </c>
      <c r="R27" s="18" t="e">
        <f t="shared" ca="1" si="7"/>
        <v>#N/A</v>
      </c>
      <c r="S27" s="18" t="e">
        <f t="shared" ca="1" si="7"/>
        <v>#N/A</v>
      </c>
      <c r="T27" s="18" t="e">
        <f t="shared" ca="1" si="7"/>
        <v>#N/A</v>
      </c>
      <c r="U27" s="18" t="e">
        <f t="shared" ca="1" si="7"/>
        <v>#N/A</v>
      </c>
      <c r="V27" s="18" t="e">
        <f t="shared" ca="1" si="7"/>
        <v>#N/A</v>
      </c>
      <c r="W27" s="18" t="e">
        <f t="shared" ca="1" si="7"/>
        <v>#N/A</v>
      </c>
      <c r="X27" s="18" t="e">
        <f t="shared" ca="1" si="7"/>
        <v>#N/A</v>
      </c>
      <c r="Y27" s="18" t="e">
        <f t="shared" ca="1" si="7"/>
        <v>#N/A</v>
      </c>
      <c r="Z27" s="18" t="e">
        <f t="shared" ca="1" si="7"/>
        <v>#N/A</v>
      </c>
      <c r="AA27" s="18" t="e">
        <f t="shared" ca="1" si="7"/>
        <v>#N/A</v>
      </c>
      <c r="AB27" s="18" t="e">
        <f t="shared" ca="1" si="7"/>
        <v>#N/A</v>
      </c>
      <c r="AC27" s="18" t="e">
        <f t="shared" ca="1" si="7"/>
        <v>#N/A</v>
      </c>
      <c r="AD27" s="18" t="e">
        <f t="shared" ca="1" si="7"/>
        <v>#N/A</v>
      </c>
      <c r="AE27" s="18" t="e">
        <f t="shared" ca="1" si="7"/>
        <v>#N/A</v>
      </c>
      <c r="AF27" s="18" t="e">
        <f t="shared" ca="1" si="7"/>
        <v>#N/A</v>
      </c>
      <c r="AG27" s="18" t="e">
        <f t="shared" ca="1" si="7"/>
        <v>#N/A</v>
      </c>
    </row>
    <row r="28" spans="1:34" hidden="1">
      <c r="A28" s="45" t="s">
        <v>362</v>
      </c>
      <c r="B28" s="296">
        <v>0</v>
      </c>
      <c r="C28" s="296" t="e">
        <f t="shared" ref="C28:V28" ca="1" si="8">+IF(C27&gt;C26,C27-C26,0)</f>
        <v>#N/A</v>
      </c>
      <c r="D28" s="296" t="e">
        <f t="shared" ca="1" si="8"/>
        <v>#N/A</v>
      </c>
      <c r="E28" s="296" t="e">
        <f t="shared" ca="1" si="8"/>
        <v>#N/A</v>
      </c>
      <c r="F28" s="296" t="e">
        <f t="shared" ca="1" si="8"/>
        <v>#N/A</v>
      </c>
      <c r="G28" s="296" t="e">
        <f t="shared" ca="1" si="8"/>
        <v>#N/A</v>
      </c>
      <c r="H28" s="296" t="e">
        <f t="shared" ca="1" si="8"/>
        <v>#N/A</v>
      </c>
      <c r="I28" s="296" t="e">
        <f t="shared" ca="1" si="8"/>
        <v>#N/A</v>
      </c>
      <c r="J28" s="296" t="e">
        <f t="shared" ca="1" si="8"/>
        <v>#N/A</v>
      </c>
      <c r="K28" s="296" t="e">
        <f t="shared" ca="1" si="8"/>
        <v>#N/A</v>
      </c>
      <c r="L28" s="296" t="e">
        <f t="shared" ca="1" si="8"/>
        <v>#N/A</v>
      </c>
      <c r="M28" s="296" t="e">
        <f t="shared" ca="1" si="8"/>
        <v>#N/A</v>
      </c>
      <c r="N28" s="296" t="e">
        <f t="shared" ca="1" si="8"/>
        <v>#N/A</v>
      </c>
      <c r="O28" s="296" t="e">
        <f t="shared" ca="1" si="8"/>
        <v>#N/A</v>
      </c>
      <c r="P28" s="296" t="e">
        <f t="shared" ca="1" si="8"/>
        <v>#N/A</v>
      </c>
      <c r="Q28" s="296" t="e">
        <f t="shared" ca="1" si="8"/>
        <v>#N/A</v>
      </c>
      <c r="R28" s="296" t="e">
        <f t="shared" ca="1" si="8"/>
        <v>#N/A</v>
      </c>
      <c r="S28" s="296" t="e">
        <f t="shared" ca="1" si="8"/>
        <v>#N/A</v>
      </c>
      <c r="T28" s="296" t="e">
        <f t="shared" ca="1" si="8"/>
        <v>#N/A</v>
      </c>
      <c r="U28" s="296" t="e">
        <f t="shared" ca="1" si="8"/>
        <v>#N/A</v>
      </c>
      <c r="V28" s="296" t="e">
        <f t="shared" ca="1" si="8"/>
        <v>#N/A</v>
      </c>
      <c r="W28" s="296" t="e">
        <f t="shared" ref="W28:AG28" ca="1" si="9">+IF(W27&gt;W26,W27-W26,0)</f>
        <v>#N/A</v>
      </c>
      <c r="X28" s="296" t="e">
        <f t="shared" ca="1" si="9"/>
        <v>#N/A</v>
      </c>
      <c r="Y28" s="296" t="e">
        <f t="shared" ca="1" si="9"/>
        <v>#N/A</v>
      </c>
      <c r="Z28" s="296" t="e">
        <f t="shared" ca="1" si="9"/>
        <v>#N/A</v>
      </c>
      <c r="AA28" s="296" t="e">
        <f t="shared" ca="1" si="9"/>
        <v>#N/A</v>
      </c>
      <c r="AB28" s="296" t="e">
        <f t="shared" ca="1" si="9"/>
        <v>#N/A</v>
      </c>
      <c r="AC28" s="296" t="e">
        <f t="shared" ca="1" si="9"/>
        <v>#N/A</v>
      </c>
      <c r="AD28" s="296" t="e">
        <f t="shared" ca="1" si="9"/>
        <v>#N/A</v>
      </c>
      <c r="AE28" s="296" t="e">
        <f t="shared" ca="1" si="9"/>
        <v>#N/A</v>
      </c>
      <c r="AF28" s="296" t="e">
        <f t="shared" ca="1" si="9"/>
        <v>#N/A</v>
      </c>
      <c r="AG28" s="296" t="e">
        <f t="shared" ca="1" si="9"/>
        <v>#N/A</v>
      </c>
    </row>
    <row r="29" spans="1:34" hidden="1">
      <c r="A29" s="45" t="s">
        <v>59</v>
      </c>
      <c r="B29" s="18" t="e">
        <f t="shared" ref="B29:V29" si="10">+B25+B28</f>
        <v>#N/A</v>
      </c>
      <c r="C29" s="18" t="e">
        <f t="shared" ca="1" si="10"/>
        <v>#N/A</v>
      </c>
      <c r="D29" s="18" t="e">
        <f t="shared" ca="1" si="10"/>
        <v>#N/A</v>
      </c>
      <c r="E29" s="18" t="e">
        <f t="shared" ca="1" si="10"/>
        <v>#N/A</v>
      </c>
      <c r="F29" s="18" t="e">
        <f t="shared" ca="1" si="10"/>
        <v>#N/A</v>
      </c>
      <c r="G29" s="18" t="e">
        <f t="shared" ca="1" si="10"/>
        <v>#N/A</v>
      </c>
      <c r="H29" s="18" t="e">
        <f t="shared" ca="1" si="10"/>
        <v>#N/A</v>
      </c>
      <c r="I29" s="18" t="e">
        <f t="shared" ca="1" si="10"/>
        <v>#N/A</v>
      </c>
      <c r="J29" s="18" t="e">
        <f t="shared" ca="1" si="10"/>
        <v>#N/A</v>
      </c>
      <c r="K29" s="18" t="e">
        <f t="shared" ca="1" si="10"/>
        <v>#N/A</v>
      </c>
      <c r="L29" s="18" t="e">
        <f t="shared" ca="1" si="10"/>
        <v>#N/A</v>
      </c>
      <c r="M29" s="18" t="e">
        <f t="shared" ca="1" si="10"/>
        <v>#N/A</v>
      </c>
      <c r="N29" s="18" t="e">
        <f t="shared" ca="1" si="10"/>
        <v>#N/A</v>
      </c>
      <c r="O29" s="18" t="e">
        <f t="shared" ca="1" si="10"/>
        <v>#N/A</v>
      </c>
      <c r="P29" s="18" t="e">
        <f t="shared" ca="1" si="10"/>
        <v>#N/A</v>
      </c>
      <c r="Q29" s="18" t="e">
        <f t="shared" ca="1" si="10"/>
        <v>#N/A</v>
      </c>
      <c r="R29" s="18" t="e">
        <f t="shared" ca="1" si="10"/>
        <v>#N/A</v>
      </c>
      <c r="S29" s="18" t="e">
        <f t="shared" ca="1" si="10"/>
        <v>#N/A</v>
      </c>
      <c r="T29" s="18" t="e">
        <f t="shared" ca="1" si="10"/>
        <v>#N/A</v>
      </c>
      <c r="U29" s="18" t="e">
        <f t="shared" ca="1" si="10"/>
        <v>#N/A</v>
      </c>
      <c r="V29" s="18" t="e">
        <f t="shared" ca="1" si="10"/>
        <v>#N/A</v>
      </c>
      <c r="W29" s="18" t="e">
        <f t="shared" ref="W29:AG29" ca="1" si="11">+W25+W28</f>
        <v>#N/A</v>
      </c>
      <c r="X29" s="18" t="e">
        <f t="shared" ca="1" si="11"/>
        <v>#N/A</v>
      </c>
      <c r="Y29" s="18" t="e">
        <f t="shared" ca="1" si="11"/>
        <v>#N/A</v>
      </c>
      <c r="Z29" s="18" t="e">
        <f t="shared" ca="1" si="11"/>
        <v>#N/A</v>
      </c>
      <c r="AA29" s="18" t="e">
        <f t="shared" ca="1" si="11"/>
        <v>#N/A</v>
      </c>
      <c r="AB29" s="18" t="e">
        <f t="shared" ca="1" si="11"/>
        <v>#N/A</v>
      </c>
      <c r="AC29" s="18" t="e">
        <f t="shared" ca="1" si="11"/>
        <v>#N/A</v>
      </c>
      <c r="AD29" s="18" t="e">
        <f t="shared" ca="1" si="11"/>
        <v>#N/A</v>
      </c>
      <c r="AE29" s="18" t="e">
        <f t="shared" ca="1" si="11"/>
        <v>#N/A</v>
      </c>
      <c r="AF29" s="18" t="e">
        <f t="shared" ca="1" si="11"/>
        <v>#N/A</v>
      </c>
      <c r="AG29" s="18" t="e">
        <f t="shared" ca="1" si="11"/>
        <v>#N/A</v>
      </c>
    </row>
    <row r="30" spans="1:34" hidden="1">
      <c r="A30" s="45"/>
    </row>
    <row r="31" spans="1:34" hidden="1">
      <c r="A31" s="45"/>
    </row>
    <row r="32" spans="1:34" ht="13.5" thickBot="1">
      <c r="A32" s="45"/>
      <c r="D32" s="538">
        <v>1</v>
      </c>
      <c r="E32" s="539">
        <v>2</v>
      </c>
      <c r="F32" s="539">
        <v>3</v>
      </c>
      <c r="G32" s="539">
        <v>4</v>
      </c>
      <c r="H32" s="539">
        <v>5</v>
      </c>
      <c r="I32" s="539">
        <v>6</v>
      </c>
      <c r="J32" s="539">
        <v>7</v>
      </c>
      <c r="K32" s="539">
        <v>8</v>
      </c>
      <c r="L32" s="539">
        <v>9</v>
      </c>
      <c r="M32" s="539">
        <v>10</v>
      </c>
      <c r="N32" s="539">
        <v>11</v>
      </c>
      <c r="O32" s="539">
        <v>12</v>
      </c>
      <c r="P32" s="539">
        <v>13</v>
      </c>
      <c r="Q32" s="539">
        <v>14</v>
      </c>
      <c r="R32" s="539">
        <v>15</v>
      </c>
      <c r="S32" s="539">
        <v>16</v>
      </c>
      <c r="T32" s="539">
        <v>17</v>
      </c>
      <c r="U32" s="539">
        <v>18</v>
      </c>
      <c r="V32" s="539">
        <v>19</v>
      </c>
      <c r="W32" s="539">
        <v>20</v>
      </c>
      <c r="X32" s="539">
        <v>21</v>
      </c>
      <c r="Y32" s="539">
        <v>22</v>
      </c>
      <c r="Z32" s="539">
        <v>23</v>
      </c>
      <c r="AA32" s="539">
        <v>24</v>
      </c>
      <c r="AB32" s="539">
        <v>25</v>
      </c>
      <c r="AC32" s="539">
        <v>26</v>
      </c>
      <c r="AD32" s="539">
        <v>27</v>
      </c>
      <c r="AE32" s="539">
        <v>28</v>
      </c>
      <c r="AF32" s="539">
        <v>29</v>
      </c>
      <c r="AG32" s="540">
        <v>30</v>
      </c>
      <c r="AH32" s="43"/>
    </row>
    <row r="33" spans="1:33">
      <c r="A33" s="427" t="s">
        <v>395</v>
      </c>
    </row>
    <row r="34" spans="1:33">
      <c r="A34" s="427"/>
    </row>
    <row r="35" spans="1:33">
      <c r="A35" s="426" t="s">
        <v>361</v>
      </c>
    </row>
    <row r="36" spans="1:33" s="18" customFormat="1">
      <c r="A36" s="45" t="s">
        <v>360</v>
      </c>
      <c r="B36" s="18" t="e">
        <f>-Assumptions!C11*Assumptions!$G$48</f>
        <v>#N/A</v>
      </c>
    </row>
    <row r="37" spans="1:33" s="18" customFormat="1">
      <c r="A37" s="45" t="s">
        <v>359</v>
      </c>
      <c r="B37" s="434">
        <f>B21*Assumptions!$G$48</f>
        <v>0</v>
      </c>
      <c r="C37" s="296" t="e">
        <f ca="1">C21*Assumptions!$G$48</f>
        <v>#N/A</v>
      </c>
      <c r="D37" s="296" t="e">
        <f ca="1">D21*Assumptions!$G$48</f>
        <v>#N/A</v>
      </c>
      <c r="E37" s="296" t="e">
        <f ca="1">E21*Assumptions!$G$48</f>
        <v>#N/A</v>
      </c>
      <c r="F37" s="296" t="e">
        <f ca="1">F21*Assumptions!$G$48</f>
        <v>#N/A</v>
      </c>
      <c r="G37" s="296" t="e">
        <f ca="1">G21*Assumptions!$G$48</f>
        <v>#N/A</v>
      </c>
      <c r="H37" s="296" t="e">
        <f ca="1">H21*Assumptions!$G$48</f>
        <v>#N/A</v>
      </c>
      <c r="I37" s="296" t="e">
        <f ca="1">I21*Assumptions!$G$48</f>
        <v>#N/A</v>
      </c>
      <c r="J37" s="296" t="e">
        <f ca="1">J21*Assumptions!$G$48</f>
        <v>#N/A</v>
      </c>
      <c r="K37" s="296" t="e">
        <f ca="1">K21*Assumptions!$G$48</f>
        <v>#N/A</v>
      </c>
      <c r="L37" s="296" t="e">
        <f ca="1">L21*Assumptions!$G$48</f>
        <v>#N/A</v>
      </c>
      <c r="M37" s="296" t="e">
        <f ca="1">M21*Assumptions!$G$48</f>
        <v>#N/A</v>
      </c>
      <c r="N37" s="296" t="e">
        <f ca="1">N21*Assumptions!$G$48</f>
        <v>#N/A</v>
      </c>
      <c r="O37" s="296" t="e">
        <f ca="1">O21*Assumptions!$G$48</f>
        <v>#N/A</v>
      </c>
      <c r="P37" s="296" t="e">
        <f ca="1">P21*Assumptions!$G$48</f>
        <v>#N/A</v>
      </c>
      <c r="Q37" s="296" t="e">
        <f ca="1">Q21*Assumptions!$G$48</f>
        <v>#N/A</v>
      </c>
      <c r="R37" s="296" t="e">
        <f ca="1">R21*Assumptions!$G$48</f>
        <v>#N/A</v>
      </c>
      <c r="S37" s="296" t="e">
        <f ca="1">S21*Assumptions!$G$48</f>
        <v>#N/A</v>
      </c>
      <c r="T37" s="296" t="e">
        <f ca="1">T21*Assumptions!$G$48</f>
        <v>#N/A</v>
      </c>
      <c r="U37" s="296" t="e">
        <f ca="1">U21*Assumptions!$G$48</f>
        <v>#N/A</v>
      </c>
      <c r="V37" s="296" t="e">
        <f ca="1">V21*Assumptions!$G$48</f>
        <v>#N/A</v>
      </c>
      <c r="W37" s="296" t="e">
        <f ca="1">W21*Assumptions!$G$48</f>
        <v>#N/A</v>
      </c>
      <c r="X37" s="296" t="e">
        <f ca="1">X21*Assumptions!$G$48</f>
        <v>#N/A</v>
      </c>
      <c r="Y37" s="296" t="e">
        <f ca="1">Y21*Assumptions!$G$48</f>
        <v>#N/A</v>
      </c>
      <c r="Z37" s="296" t="e">
        <f ca="1">Z21*Assumptions!$G$48</f>
        <v>#N/A</v>
      </c>
      <c r="AA37" s="296" t="e">
        <f ca="1">AA21*Assumptions!$G$48</f>
        <v>#N/A</v>
      </c>
      <c r="AB37" s="296" t="e">
        <f ca="1">AB21*Assumptions!$G$48</f>
        <v>#N/A</v>
      </c>
      <c r="AC37" s="296" t="e">
        <f ca="1">AC21*Assumptions!$G$48</f>
        <v>#N/A</v>
      </c>
      <c r="AD37" s="296" t="e">
        <f ca="1">AD21*Assumptions!$G$48</f>
        <v>#N/A</v>
      </c>
      <c r="AE37" s="296" t="e">
        <f ca="1">AE21*Assumptions!$G$48</f>
        <v>#N/A</v>
      </c>
      <c r="AF37" s="296" t="e">
        <f ca="1">AF21*Assumptions!$G$48</f>
        <v>#N/A</v>
      </c>
      <c r="AG37" s="296" t="e">
        <f ca="1">AG21*Assumptions!$G$48</f>
        <v>#N/A</v>
      </c>
    </row>
    <row r="38" spans="1:33" s="18" customFormat="1">
      <c r="A38" s="45" t="s">
        <v>358</v>
      </c>
      <c r="B38" s="18" t="e">
        <f t="shared" ref="B38:AG38" si="12">SUM(B36:B37)</f>
        <v>#N/A</v>
      </c>
      <c r="C38" s="18" t="e">
        <f t="shared" ca="1" si="12"/>
        <v>#N/A</v>
      </c>
      <c r="D38" s="18" t="e">
        <f t="shared" ca="1" si="12"/>
        <v>#N/A</v>
      </c>
      <c r="E38" s="18" t="e">
        <f t="shared" ca="1" si="12"/>
        <v>#N/A</v>
      </c>
      <c r="F38" s="18" t="e">
        <f t="shared" ca="1" si="12"/>
        <v>#N/A</v>
      </c>
      <c r="G38" s="18" t="e">
        <f t="shared" ca="1" si="12"/>
        <v>#N/A</v>
      </c>
      <c r="H38" s="18" t="e">
        <f t="shared" ca="1" si="12"/>
        <v>#N/A</v>
      </c>
      <c r="I38" s="18" t="e">
        <f t="shared" ca="1" si="12"/>
        <v>#N/A</v>
      </c>
      <c r="J38" s="18" t="e">
        <f t="shared" ca="1" si="12"/>
        <v>#N/A</v>
      </c>
      <c r="K38" s="18" t="e">
        <f t="shared" ca="1" si="12"/>
        <v>#N/A</v>
      </c>
      <c r="L38" s="18" t="e">
        <f t="shared" ca="1" si="12"/>
        <v>#N/A</v>
      </c>
      <c r="M38" s="18" t="e">
        <f t="shared" ca="1" si="12"/>
        <v>#N/A</v>
      </c>
      <c r="N38" s="18" t="e">
        <f t="shared" ca="1" si="12"/>
        <v>#N/A</v>
      </c>
      <c r="O38" s="18" t="e">
        <f t="shared" ca="1" si="12"/>
        <v>#N/A</v>
      </c>
      <c r="P38" s="18" t="e">
        <f t="shared" ca="1" si="12"/>
        <v>#N/A</v>
      </c>
      <c r="Q38" s="18" t="e">
        <f t="shared" ca="1" si="12"/>
        <v>#N/A</v>
      </c>
      <c r="R38" s="18" t="e">
        <f t="shared" ca="1" si="12"/>
        <v>#N/A</v>
      </c>
      <c r="S38" s="18" t="e">
        <f t="shared" ca="1" si="12"/>
        <v>#N/A</v>
      </c>
      <c r="T38" s="18" t="e">
        <f t="shared" ca="1" si="12"/>
        <v>#N/A</v>
      </c>
      <c r="U38" s="18" t="e">
        <f t="shared" ca="1" si="12"/>
        <v>#N/A</v>
      </c>
      <c r="V38" s="18" t="e">
        <f t="shared" ca="1" si="12"/>
        <v>#N/A</v>
      </c>
      <c r="W38" s="18" t="e">
        <f t="shared" ca="1" si="12"/>
        <v>#N/A</v>
      </c>
      <c r="X38" s="18" t="e">
        <f t="shared" ca="1" si="12"/>
        <v>#N/A</v>
      </c>
      <c r="Y38" s="18" t="e">
        <f t="shared" ca="1" si="12"/>
        <v>#N/A</v>
      </c>
      <c r="Z38" s="18" t="e">
        <f t="shared" ca="1" si="12"/>
        <v>#N/A</v>
      </c>
      <c r="AA38" s="18" t="e">
        <f t="shared" ca="1" si="12"/>
        <v>#N/A</v>
      </c>
      <c r="AB38" s="18" t="e">
        <f t="shared" ca="1" si="12"/>
        <v>#N/A</v>
      </c>
      <c r="AC38" s="18" t="e">
        <f t="shared" ca="1" si="12"/>
        <v>#N/A</v>
      </c>
      <c r="AD38" s="18" t="e">
        <f t="shared" ca="1" si="12"/>
        <v>#N/A</v>
      </c>
      <c r="AE38" s="18" t="e">
        <f t="shared" ca="1" si="12"/>
        <v>#N/A</v>
      </c>
      <c r="AF38" s="18" t="e">
        <f t="shared" ca="1" si="12"/>
        <v>#N/A</v>
      </c>
      <c r="AG38" s="18" t="e">
        <f t="shared" ca="1" si="12"/>
        <v>#N/A</v>
      </c>
    </row>
    <row r="39" spans="1:33">
      <c r="B39" s="426" t="s">
        <v>1</v>
      </c>
      <c r="C39" s="432" t="e">
        <f>XIRR(B38:AG38,B8:AG8)</f>
        <v>#N/A</v>
      </c>
    </row>
    <row r="40" spans="1:33">
      <c r="A40" s="45"/>
      <c r="B40" s="428"/>
    </row>
    <row r="41" spans="1:33">
      <c r="A41" s="43" t="str">
        <f>CONCATENATE("With ",Assumptions!H23,"x EBITDA Exit Multiple")</f>
        <v>With 5x EBITDA Exit Multiple</v>
      </c>
    </row>
    <row r="42" spans="1:33">
      <c r="A42" s="56" t="s">
        <v>360</v>
      </c>
      <c r="B42" s="18" t="e">
        <f>-Assumptions!C11*Assumptions!$G$48</f>
        <v>#N/A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359</v>
      </c>
      <c r="B43" s="429">
        <f>B21*Assumptions!$G$48</f>
        <v>0</v>
      </c>
      <c r="C43" s="18" t="e">
        <f ca="1">C21*Assumptions!$G$48</f>
        <v>#N/A</v>
      </c>
      <c r="D43" s="18" t="e">
        <f ca="1">D21*Assumptions!$G$48</f>
        <v>#N/A</v>
      </c>
      <c r="E43" s="18" t="e">
        <f ca="1">E21*Assumptions!$G$48</f>
        <v>#N/A</v>
      </c>
      <c r="F43" s="18" t="e">
        <f ca="1">F21*Assumptions!$G$48</f>
        <v>#N/A</v>
      </c>
      <c r="G43" s="18" t="e">
        <f ca="1">G21*Assumptions!$G$48</f>
        <v>#N/A</v>
      </c>
      <c r="H43" s="18" t="e">
        <f ca="1">H21*Assumptions!$G$48</f>
        <v>#N/A</v>
      </c>
      <c r="I43" s="18" t="e">
        <f ca="1">I21*Assumptions!$G$48</f>
        <v>#N/A</v>
      </c>
      <c r="J43" s="18" t="e">
        <f ca="1">J21*Assumptions!$G$48</f>
        <v>#N/A</v>
      </c>
      <c r="K43" s="18" t="e">
        <f ca="1">K21*Assumptions!$G$48</f>
        <v>#N/A</v>
      </c>
      <c r="L43" s="18" t="e">
        <f ca="1">L21*Assumptions!$G$48</f>
        <v>#N/A</v>
      </c>
      <c r="M43" s="18" t="e">
        <f ca="1">M21*Assumptions!$G$48</f>
        <v>#N/A</v>
      </c>
      <c r="N43" s="18" t="e">
        <f ca="1">N21*Assumptions!$G$48</f>
        <v>#N/A</v>
      </c>
      <c r="O43" s="18" t="e">
        <f ca="1">O21*Assumptions!$G$48</f>
        <v>#N/A</v>
      </c>
      <c r="P43" s="18" t="e">
        <f ca="1">P21*Assumptions!$G$48</f>
        <v>#N/A</v>
      </c>
      <c r="Q43" s="18" t="e">
        <f ca="1">Q21*Assumptions!$G$48</f>
        <v>#N/A</v>
      </c>
      <c r="R43" s="18" t="e">
        <f ca="1">R21*Assumptions!$G$48</f>
        <v>#N/A</v>
      </c>
      <c r="S43" s="18" t="e">
        <f ca="1">S21*Assumptions!$G$48</f>
        <v>#N/A</v>
      </c>
      <c r="T43" s="18" t="e">
        <f ca="1">T21*Assumptions!$G$48</f>
        <v>#N/A</v>
      </c>
      <c r="U43" s="18" t="e">
        <f ca="1">U21*Assumptions!$G$48</f>
        <v>#N/A</v>
      </c>
      <c r="V43" s="18" t="e">
        <f ca="1">V21*Assumptions!$G$48</f>
        <v>#N/A</v>
      </c>
      <c r="W43" s="18" t="e">
        <f ca="1">W21*Assumptions!$G$48</f>
        <v>#N/A</v>
      </c>
      <c r="X43" s="18" t="e">
        <f ca="1">X21*Assumptions!$G$48</f>
        <v>#N/A</v>
      </c>
      <c r="Y43" s="18" t="e">
        <f ca="1">Y21*Assumptions!$G$48</f>
        <v>#N/A</v>
      </c>
      <c r="Z43" s="18" t="e">
        <f ca="1">Z21*Assumptions!$G$48</f>
        <v>#N/A</v>
      </c>
      <c r="AA43" s="18" t="e">
        <f ca="1">AA21*Assumptions!$G$48</f>
        <v>#N/A</v>
      </c>
      <c r="AB43" s="18" t="e">
        <f ca="1">AB21*Assumptions!$G$48</f>
        <v>#N/A</v>
      </c>
      <c r="AC43" s="18" t="e">
        <f ca="1">AC21*Assumptions!$G$48</f>
        <v>#N/A</v>
      </c>
      <c r="AD43" s="18" t="e">
        <f ca="1">AD21*Assumptions!$G$48</f>
        <v>#N/A</v>
      </c>
      <c r="AE43" s="18" t="e">
        <f ca="1">AE21*Assumptions!$G$48</f>
        <v>#N/A</v>
      </c>
      <c r="AF43" s="18" t="e">
        <f ca="1">AF21*Assumptions!$G$48</f>
        <v>#N/A</v>
      </c>
      <c r="AG43" s="18" t="e">
        <f ca="1">AG21*Assumptions!$G$48</f>
        <v>#N/A</v>
      </c>
    </row>
    <row r="44" spans="1:33">
      <c r="A44" s="56" t="s">
        <v>127</v>
      </c>
      <c r="B44" s="296">
        <v>0</v>
      </c>
      <c r="C44" s="296">
        <v>0</v>
      </c>
      <c r="D44" s="296">
        <f>IF(Assumptions!$H$19='Returns Analysis'!D32,Assumptions!$H$23*IS!D32*Assumptions!$G$48,0)</f>
        <v>0</v>
      </c>
      <c r="E44" s="296">
        <f>IF(Assumptions!$H$19='Returns Analysis'!E32,Assumptions!$H$23*IS!E32*Assumptions!$G$48,0)</f>
        <v>0</v>
      </c>
      <c r="F44" s="296">
        <f>IF(Assumptions!$H$19='Returns Analysis'!F32,Assumptions!$H$23*IS!F32*Assumptions!$G$48,0)</f>
        <v>0</v>
      </c>
      <c r="G44" s="296">
        <f>IF(Assumptions!$H$19='Returns Analysis'!G32,Assumptions!$H$23*IS!G32*Assumptions!$G$48,0)</f>
        <v>0</v>
      </c>
      <c r="H44" s="296">
        <f>IF(Assumptions!$H$19='Returns Analysis'!H32,Assumptions!$H$23*IS!H32*Assumptions!$G$48,0)</f>
        <v>0</v>
      </c>
      <c r="I44" s="296">
        <f>IF(Assumptions!$H$19='Returns Analysis'!I32,Assumptions!$H$23*IS!I32*Assumptions!$G$48,0)</f>
        <v>0</v>
      </c>
      <c r="J44" s="296">
        <f>IF(Assumptions!$H$19='Returns Analysis'!J32,Assumptions!$H$23*IS!J32*Assumptions!$G$48,0)</f>
        <v>0</v>
      </c>
      <c r="K44" s="296">
        <f>IF(Assumptions!$H$19='Returns Analysis'!K32,Assumptions!$H$23*IS!K32*Assumptions!$G$48,0)</f>
        <v>0</v>
      </c>
      <c r="L44" s="296">
        <f>IF(Assumptions!$H$19='Returns Analysis'!L32,Assumptions!$H$23*IS!L32*Assumptions!$G$48,0)</f>
        <v>0</v>
      </c>
      <c r="M44" s="296">
        <f>IF(Assumptions!$H$19='Returns Analysis'!M32,Assumptions!$H$23*IS!M32*Assumptions!$G$48,0)</f>
        <v>0</v>
      </c>
      <c r="N44" s="296">
        <f>IF(Assumptions!$H$19='Returns Analysis'!N32,Assumptions!$H$23*IS!N32*Assumptions!$G$48,0)</f>
        <v>0</v>
      </c>
      <c r="O44" s="296">
        <f>IF(Assumptions!$H$19='Returns Analysis'!O32,Assumptions!$H$23*IS!O32*Assumptions!$G$48,0)</f>
        <v>0</v>
      </c>
      <c r="P44" s="296">
        <f>IF(Assumptions!$H$19='Returns Analysis'!P32,Assumptions!$H$23*IS!P32*Assumptions!$G$48,0)</f>
        <v>0</v>
      </c>
      <c r="Q44" s="296">
        <f>IF(Assumptions!$H$19='Returns Analysis'!Q32,Assumptions!$H$23*IS!Q32*Assumptions!$G$48,0)</f>
        <v>0</v>
      </c>
      <c r="R44" s="296">
        <f>IF(Assumptions!$H$19='Returns Analysis'!R32,Assumptions!$H$23*IS!R32*Assumptions!$G$48,0)</f>
        <v>0</v>
      </c>
      <c r="S44" s="296">
        <f>IF(Assumptions!$H$19='Returns Analysis'!S32,Assumptions!$H$23*IS!S32*Assumptions!$G$48,0)</f>
        <v>0</v>
      </c>
      <c r="T44" s="296">
        <f>IF(Assumptions!$H$19='Returns Analysis'!T32,Assumptions!$H$23*IS!T32*Assumptions!$G$48,0)</f>
        <v>0</v>
      </c>
      <c r="U44" s="296">
        <f>IF(Assumptions!$H$19='Returns Analysis'!U32,Assumptions!$H$23*IS!U32*Assumptions!$G$48,0)</f>
        <v>0</v>
      </c>
      <c r="V44" s="296">
        <f>IF(Assumptions!$H$19='Returns Analysis'!V32,Assumptions!$H$23*IS!V32*Assumptions!$G$48,0)</f>
        <v>0</v>
      </c>
      <c r="W44" s="296" t="e">
        <f ca="1">IF(Assumptions!$H$19='Returns Analysis'!W32,Assumptions!$H$23*IS!W32*Assumptions!$G$48,0)</f>
        <v>#N/A</v>
      </c>
      <c r="X44" s="296">
        <f>IF(Assumptions!$H$19='Returns Analysis'!X32,Assumptions!$H$23*IS!X32*Assumptions!$G$48,0)</f>
        <v>0</v>
      </c>
      <c r="Y44" s="296">
        <f>IF(Assumptions!$H$19='Returns Analysis'!Y32,Assumptions!$H$23*IS!Y32*Assumptions!$G$48,0)</f>
        <v>0</v>
      </c>
      <c r="Z44" s="296">
        <f>IF(Assumptions!$H$19='Returns Analysis'!Z32,Assumptions!$H$23*IS!Z32*Assumptions!$G$48,0)</f>
        <v>0</v>
      </c>
      <c r="AA44" s="296">
        <f>IF(Assumptions!$H$19='Returns Analysis'!AA32,Assumptions!$H$23*IS!AA32*Assumptions!$G$48,0)</f>
        <v>0</v>
      </c>
      <c r="AB44" s="296">
        <f>IF(Assumptions!$H$19='Returns Analysis'!AB32,Assumptions!$H$23*IS!AB32*Assumptions!$G$48,0)</f>
        <v>0</v>
      </c>
      <c r="AC44" s="296">
        <f>IF(Assumptions!$H$19='Returns Analysis'!AC32,Assumptions!$H$23*IS!AC32*Assumptions!$G$48,0)</f>
        <v>0</v>
      </c>
      <c r="AD44" s="296">
        <f>IF(Assumptions!$H$19='Returns Analysis'!AD32,Assumptions!$H$23*IS!AD32*Assumptions!$G$48,0)</f>
        <v>0</v>
      </c>
      <c r="AE44" s="296">
        <f>IF(Assumptions!$H$19='Returns Analysis'!AE32,Assumptions!$H$23*IS!AE32*Assumptions!$G$48,0)</f>
        <v>0</v>
      </c>
      <c r="AF44" s="296">
        <f>IF(Assumptions!$H$19='Returns Analysis'!AF32,Assumptions!$H$23*IS!AF32*Assumptions!$G$48,0)</f>
        <v>0</v>
      </c>
      <c r="AG44" s="296">
        <f>IF(Assumptions!$H$19='Returns Analysis'!AG32,Assumptions!$H$23*IS!AG32*Assumptions!$G$48,0)</f>
        <v>0</v>
      </c>
    </row>
    <row r="45" spans="1:33">
      <c r="A45" s="56" t="s">
        <v>358</v>
      </c>
      <c r="B45" s="18" t="e">
        <f t="shared" ref="B45:AG45" si="13">SUM(B42:B44)</f>
        <v>#N/A</v>
      </c>
      <c r="C45" s="18" t="e">
        <f t="shared" ca="1" si="13"/>
        <v>#N/A</v>
      </c>
      <c r="D45" s="18" t="e">
        <f t="shared" ca="1" si="13"/>
        <v>#N/A</v>
      </c>
      <c r="E45" s="18" t="e">
        <f t="shared" ca="1" si="13"/>
        <v>#N/A</v>
      </c>
      <c r="F45" s="18" t="e">
        <f t="shared" ca="1" si="13"/>
        <v>#N/A</v>
      </c>
      <c r="G45" s="18" t="e">
        <f t="shared" ca="1" si="13"/>
        <v>#N/A</v>
      </c>
      <c r="H45" s="18" t="e">
        <f t="shared" ca="1" si="13"/>
        <v>#N/A</v>
      </c>
      <c r="I45" s="18" t="e">
        <f t="shared" ca="1" si="13"/>
        <v>#N/A</v>
      </c>
      <c r="J45" s="18" t="e">
        <f t="shared" ca="1" si="13"/>
        <v>#N/A</v>
      </c>
      <c r="K45" s="18" t="e">
        <f t="shared" ca="1" si="13"/>
        <v>#N/A</v>
      </c>
      <c r="L45" s="18" t="e">
        <f t="shared" ca="1" si="13"/>
        <v>#N/A</v>
      </c>
      <c r="M45" s="18" t="e">
        <f t="shared" ca="1" si="13"/>
        <v>#N/A</v>
      </c>
      <c r="N45" s="18" t="e">
        <f t="shared" ca="1" si="13"/>
        <v>#N/A</v>
      </c>
      <c r="O45" s="18" t="e">
        <f t="shared" ca="1" si="13"/>
        <v>#N/A</v>
      </c>
      <c r="P45" s="18" t="e">
        <f t="shared" ca="1" si="13"/>
        <v>#N/A</v>
      </c>
      <c r="Q45" s="18" t="e">
        <f t="shared" ca="1" si="13"/>
        <v>#N/A</v>
      </c>
      <c r="R45" s="18" t="e">
        <f t="shared" ca="1" si="13"/>
        <v>#N/A</v>
      </c>
      <c r="S45" s="18" t="e">
        <f t="shared" ca="1" si="13"/>
        <v>#N/A</v>
      </c>
      <c r="T45" s="18" t="e">
        <f t="shared" ca="1" si="13"/>
        <v>#N/A</v>
      </c>
      <c r="U45" s="18" t="e">
        <f t="shared" ca="1" si="13"/>
        <v>#N/A</v>
      </c>
      <c r="V45" s="18" t="e">
        <f t="shared" ca="1" si="13"/>
        <v>#N/A</v>
      </c>
      <c r="W45" s="18" t="e">
        <f t="shared" ca="1" si="13"/>
        <v>#N/A</v>
      </c>
      <c r="X45" s="18" t="e">
        <f t="shared" ca="1" si="13"/>
        <v>#N/A</v>
      </c>
      <c r="Y45" s="18" t="e">
        <f t="shared" ca="1" si="13"/>
        <v>#N/A</v>
      </c>
      <c r="Z45" s="18" t="e">
        <f t="shared" ca="1" si="13"/>
        <v>#N/A</v>
      </c>
      <c r="AA45" s="18" t="e">
        <f t="shared" ca="1" si="13"/>
        <v>#N/A</v>
      </c>
      <c r="AB45" s="18" t="e">
        <f t="shared" ca="1" si="13"/>
        <v>#N/A</v>
      </c>
      <c r="AC45" s="18" t="e">
        <f t="shared" ca="1" si="13"/>
        <v>#N/A</v>
      </c>
      <c r="AD45" s="18" t="e">
        <f t="shared" ca="1" si="13"/>
        <v>#N/A</v>
      </c>
      <c r="AE45" s="18" t="e">
        <f t="shared" ca="1" si="13"/>
        <v>#N/A</v>
      </c>
      <c r="AF45" s="18" t="e">
        <f t="shared" ca="1" si="13"/>
        <v>#N/A</v>
      </c>
      <c r="AG45" s="18" t="e">
        <f t="shared" ca="1" si="13"/>
        <v>#N/A</v>
      </c>
    </row>
    <row r="46" spans="1:33">
      <c r="A46" s="13"/>
      <c r="B46" s="426" t="s">
        <v>1</v>
      </c>
      <c r="C46" s="432" t="e">
        <f>XIRR(B45:AG45,B8:AG8)</f>
        <v>#N/A</v>
      </c>
    </row>
    <row r="47" spans="1:33">
      <c r="A47" s="56"/>
      <c r="B47" s="428"/>
    </row>
    <row r="48" spans="1:33">
      <c r="A48" s="43" t="str">
        <f>CONCATENATE("With ",Assumptions!H24*100,"% Initial Project Cost")</f>
        <v>With 20% Initial Project Cost</v>
      </c>
    </row>
    <row r="49" spans="1:33" s="18" customFormat="1">
      <c r="A49" s="56" t="s">
        <v>360</v>
      </c>
      <c r="B49" s="18" t="e">
        <f>-Assumptions!C11*Assumptions!G48</f>
        <v>#N/A</v>
      </c>
    </row>
    <row r="50" spans="1:33" s="18" customFormat="1">
      <c r="A50" s="56" t="s">
        <v>359</v>
      </c>
      <c r="B50" s="18">
        <f>+B21*Assumptions!$G$48</f>
        <v>0</v>
      </c>
      <c r="C50" s="18" t="e">
        <f ca="1">+C21*Assumptions!$G$48</f>
        <v>#N/A</v>
      </c>
      <c r="D50" s="18" t="e">
        <f ca="1">+D21*Assumptions!$G$48</f>
        <v>#N/A</v>
      </c>
      <c r="E50" s="18" t="e">
        <f ca="1">+E21*Assumptions!$G$48</f>
        <v>#N/A</v>
      </c>
      <c r="F50" s="18" t="e">
        <f ca="1">+F21*Assumptions!$G$48</f>
        <v>#N/A</v>
      </c>
      <c r="G50" s="18" t="e">
        <f ca="1">+G21*Assumptions!$G$48</f>
        <v>#N/A</v>
      </c>
      <c r="H50" s="18" t="e">
        <f ca="1">+H21*Assumptions!$G$48</f>
        <v>#N/A</v>
      </c>
      <c r="I50" s="18" t="e">
        <f ca="1">+I21*Assumptions!$G$48</f>
        <v>#N/A</v>
      </c>
      <c r="J50" s="18" t="e">
        <f ca="1">+J21*Assumptions!$G$48</f>
        <v>#N/A</v>
      </c>
      <c r="K50" s="18" t="e">
        <f ca="1">+K21*Assumptions!$G$48</f>
        <v>#N/A</v>
      </c>
      <c r="L50" s="18" t="e">
        <f ca="1">+L21*Assumptions!$G$48</f>
        <v>#N/A</v>
      </c>
      <c r="M50" s="18" t="e">
        <f ca="1">+M21*Assumptions!$G$48</f>
        <v>#N/A</v>
      </c>
      <c r="N50" s="18" t="e">
        <f ca="1">+N21*Assumptions!$G$48</f>
        <v>#N/A</v>
      </c>
      <c r="O50" s="18" t="e">
        <f ca="1">+O21*Assumptions!$G$48</f>
        <v>#N/A</v>
      </c>
      <c r="P50" s="18" t="e">
        <f ca="1">+P21*Assumptions!$G$48</f>
        <v>#N/A</v>
      </c>
      <c r="Q50" s="18" t="e">
        <f ca="1">+Q21*Assumptions!$G$48</f>
        <v>#N/A</v>
      </c>
      <c r="R50" s="18" t="e">
        <f ca="1">+R21*Assumptions!$G$48</f>
        <v>#N/A</v>
      </c>
      <c r="S50" s="18" t="e">
        <f ca="1">+S21*Assumptions!$G$48</f>
        <v>#N/A</v>
      </c>
      <c r="T50" s="18" t="e">
        <f ca="1">+T21*Assumptions!$G$48</f>
        <v>#N/A</v>
      </c>
      <c r="U50" s="18" t="e">
        <f ca="1">+U21*Assumptions!$G$48</f>
        <v>#N/A</v>
      </c>
      <c r="V50" s="18" t="e">
        <f ca="1">+V21*Assumptions!$G$48</f>
        <v>#N/A</v>
      </c>
      <c r="W50" s="18" t="e">
        <f ca="1">+W21*Assumptions!$G$48</f>
        <v>#N/A</v>
      </c>
      <c r="X50" s="18" t="e">
        <f ca="1">+X21*Assumptions!$G$48</f>
        <v>#N/A</v>
      </c>
      <c r="Y50" s="18" t="e">
        <f ca="1">+Y21*Assumptions!$G$48</f>
        <v>#N/A</v>
      </c>
      <c r="Z50" s="18" t="e">
        <f ca="1">+Z21*Assumptions!$G$48</f>
        <v>#N/A</v>
      </c>
      <c r="AA50" s="18" t="e">
        <f ca="1">+AA21*Assumptions!$G$48</f>
        <v>#N/A</v>
      </c>
      <c r="AB50" s="18" t="e">
        <f ca="1">+AB21*Assumptions!$G$48</f>
        <v>#N/A</v>
      </c>
      <c r="AC50" s="18" t="e">
        <f ca="1">+AC21*Assumptions!$G$48</f>
        <v>#N/A</v>
      </c>
      <c r="AD50" s="18" t="e">
        <f ca="1">+AD21*Assumptions!$G$48</f>
        <v>#N/A</v>
      </c>
      <c r="AE50" s="18" t="e">
        <f ca="1">+AE21*Assumptions!$G$48</f>
        <v>#N/A</v>
      </c>
      <c r="AF50" s="18" t="e">
        <f ca="1">+AF21*Assumptions!$G$48</f>
        <v>#N/A</v>
      </c>
      <c r="AG50" s="18" t="e">
        <f ca="1">+AG21*Assumptions!$G$48</f>
        <v>#N/A</v>
      </c>
    </row>
    <row r="51" spans="1:33" s="18" customFormat="1">
      <c r="A51" s="56" t="s">
        <v>127</v>
      </c>
      <c r="B51" s="296">
        <v>0</v>
      </c>
      <c r="C51" s="296">
        <v>0</v>
      </c>
      <c r="D51" s="296">
        <f>IF(Assumptions!$H$19='Returns Analysis'!D32,Assumptions!$H$24*Assumptions!$C$58*Assumptions!$G$48,0)</f>
        <v>0</v>
      </c>
      <c r="E51" s="296">
        <f>IF(Assumptions!$H$19='Returns Analysis'!E32,Assumptions!$H$24*Assumptions!$C$58*Assumptions!$G$48,0)</f>
        <v>0</v>
      </c>
      <c r="F51" s="296">
        <f>IF(Assumptions!$H$19='Returns Analysis'!F32,Assumptions!$H$24*Assumptions!$C$58*Assumptions!$G$48,0)</f>
        <v>0</v>
      </c>
      <c r="G51" s="296">
        <f>IF(Assumptions!$H$19='Returns Analysis'!G32,Assumptions!$H$24*Assumptions!$C$58*Assumptions!$G$48,0)</f>
        <v>0</v>
      </c>
      <c r="H51" s="296">
        <f>IF(Assumptions!$H$19='Returns Analysis'!H32,Assumptions!$H$24*Assumptions!$C$58*Assumptions!$G$48,0)</f>
        <v>0</v>
      </c>
      <c r="I51" s="296">
        <f>IF(Assumptions!$H$19='Returns Analysis'!I32,Assumptions!$H$24*Assumptions!$C$58*Assumptions!$G$48,0)</f>
        <v>0</v>
      </c>
      <c r="J51" s="296">
        <f>IF(Assumptions!$H$19='Returns Analysis'!J32,Assumptions!$H$24*Assumptions!$C$58*Assumptions!$G$48,0)</f>
        <v>0</v>
      </c>
      <c r="K51" s="296">
        <f>IF(Assumptions!$H$19='Returns Analysis'!K32,Assumptions!$H$24*Assumptions!$C$58*Assumptions!$G$48,0)</f>
        <v>0</v>
      </c>
      <c r="L51" s="296">
        <f>IF(Assumptions!$H$19='Returns Analysis'!L32,Assumptions!$H$24*Assumptions!$C$58*Assumptions!$G$48,0)</f>
        <v>0</v>
      </c>
      <c r="M51" s="296">
        <f>IF(Assumptions!$H$19='Returns Analysis'!M32,Assumptions!$H$24*Assumptions!$C$58*Assumptions!$G$48,0)</f>
        <v>0</v>
      </c>
      <c r="N51" s="296">
        <f>IF(Assumptions!$H$19='Returns Analysis'!N32,Assumptions!$H$24*Assumptions!$C$58*Assumptions!$G$48,0)</f>
        <v>0</v>
      </c>
      <c r="O51" s="296">
        <f>IF(Assumptions!$H$19='Returns Analysis'!O32,Assumptions!$H$24*Assumptions!$C$58*Assumptions!$G$48,0)</f>
        <v>0</v>
      </c>
      <c r="P51" s="296">
        <f>IF(Assumptions!$H$19='Returns Analysis'!P32,Assumptions!$H$24*Assumptions!$C$58*Assumptions!$G$48,0)</f>
        <v>0</v>
      </c>
      <c r="Q51" s="296">
        <f>IF(Assumptions!$H$19='Returns Analysis'!Q32,Assumptions!$H$24*Assumptions!$C$58*Assumptions!$G$48,0)</f>
        <v>0</v>
      </c>
      <c r="R51" s="296">
        <f>IF(Assumptions!$H$19='Returns Analysis'!R32,Assumptions!$H$24*Assumptions!$C$58*Assumptions!$G$48,0)</f>
        <v>0</v>
      </c>
      <c r="S51" s="296">
        <f>IF(Assumptions!$H$19='Returns Analysis'!S32,Assumptions!$H$24*Assumptions!$C$58*Assumptions!$G$48,0)</f>
        <v>0</v>
      </c>
      <c r="T51" s="296">
        <f>IF(Assumptions!$H$19='Returns Analysis'!T32,Assumptions!$H$24*Assumptions!$C$58*Assumptions!$G$48,0)</f>
        <v>0</v>
      </c>
      <c r="U51" s="296">
        <f>IF(Assumptions!$H$19='Returns Analysis'!U32,Assumptions!$H$24*Assumptions!$C$58*Assumptions!$G$48,0)</f>
        <v>0</v>
      </c>
      <c r="V51" s="296">
        <f>IF(Assumptions!$H$19='Returns Analysis'!V32,Assumptions!$H$24*Assumptions!$C$58*Assumptions!$G$48,0)</f>
        <v>0</v>
      </c>
      <c r="W51" s="296" t="e">
        <f>IF(Assumptions!$H$19='Returns Analysis'!W32,Assumptions!$H$24*Assumptions!$C$58*Assumptions!$G$48,0)</f>
        <v>#N/A</v>
      </c>
      <c r="X51" s="296">
        <f>IF(Assumptions!$H$19='Returns Analysis'!X32,Assumptions!$H$24*Assumptions!$C$58*Assumptions!$G$48,0)</f>
        <v>0</v>
      </c>
      <c r="Y51" s="296">
        <f>IF(Assumptions!$H$19='Returns Analysis'!Y32,Assumptions!$H$24*Assumptions!$C$58*Assumptions!$G$48,0)</f>
        <v>0</v>
      </c>
      <c r="Z51" s="296">
        <f>IF(Assumptions!$H$19='Returns Analysis'!Z32,Assumptions!$H$24*Assumptions!$C$58*Assumptions!$G$48,0)</f>
        <v>0</v>
      </c>
      <c r="AA51" s="296">
        <f>IF(Assumptions!$H$19='Returns Analysis'!AA32,Assumptions!$H$24*Assumptions!$C$58*Assumptions!$G$48,0)</f>
        <v>0</v>
      </c>
      <c r="AB51" s="296">
        <f>IF(Assumptions!$H$19='Returns Analysis'!AB32,Assumptions!$H$24*Assumptions!$C$58*Assumptions!$G$48,0)</f>
        <v>0</v>
      </c>
      <c r="AC51" s="296">
        <f>IF(Assumptions!$H$19='Returns Analysis'!AC32,Assumptions!$H$24*Assumptions!$C$58*Assumptions!$G$48,0)</f>
        <v>0</v>
      </c>
      <c r="AD51" s="296">
        <f>IF(Assumptions!$H$19='Returns Analysis'!AD32,Assumptions!$H$24*Assumptions!$C$58*Assumptions!$G$48,0)</f>
        <v>0</v>
      </c>
      <c r="AE51" s="296">
        <f>IF(Assumptions!$H$19='Returns Analysis'!AE32,Assumptions!$H$24*Assumptions!$C$58*Assumptions!$G$48,0)</f>
        <v>0</v>
      </c>
      <c r="AF51" s="296">
        <f>IF(Assumptions!$H$19='Returns Analysis'!AF32,Assumptions!$H$24*Assumptions!$C$58*Assumptions!$G$48,0)</f>
        <v>0</v>
      </c>
      <c r="AG51" s="296">
        <f>IF(Assumptions!$H$19='Returns Analysis'!AG32,Assumptions!$H$24*Assumptions!$C$58*Assumptions!$G$48,0)</f>
        <v>0</v>
      </c>
    </row>
    <row r="52" spans="1:33" s="18" customFormat="1">
      <c r="A52" s="56" t="s">
        <v>358</v>
      </c>
      <c r="B52" s="18" t="e">
        <f>SUM(B49:B51)</f>
        <v>#N/A</v>
      </c>
      <c r="C52" s="18" t="e">
        <f t="shared" ref="C52:AG52" ca="1" si="14">SUM(C49:C51)</f>
        <v>#N/A</v>
      </c>
      <c r="D52" s="18" t="e">
        <f t="shared" ca="1" si="14"/>
        <v>#N/A</v>
      </c>
      <c r="E52" s="18" t="e">
        <f t="shared" ca="1" si="14"/>
        <v>#N/A</v>
      </c>
      <c r="F52" s="18" t="e">
        <f t="shared" ca="1" si="14"/>
        <v>#N/A</v>
      </c>
      <c r="G52" s="18" t="e">
        <f t="shared" ca="1" si="14"/>
        <v>#N/A</v>
      </c>
      <c r="H52" s="18" t="e">
        <f t="shared" ca="1" si="14"/>
        <v>#N/A</v>
      </c>
      <c r="I52" s="18" t="e">
        <f t="shared" ca="1" si="14"/>
        <v>#N/A</v>
      </c>
      <c r="J52" s="18" t="e">
        <f t="shared" ca="1" si="14"/>
        <v>#N/A</v>
      </c>
      <c r="K52" s="18" t="e">
        <f t="shared" ca="1" si="14"/>
        <v>#N/A</v>
      </c>
      <c r="L52" s="18" t="e">
        <f t="shared" ca="1" si="14"/>
        <v>#N/A</v>
      </c>
      <c r="M52" s="18" t="e">
        <f t="shared" ca="1" si="14"/>
        <v>#N/A</v>
      </c>
      <c r="N52" s="18" t="e">
        <f t="shared" ca="1" si="14"/>
        <v>#N/A</v>
      </c>
      <c r="O52" s="18" t="e">
        <f t="shared" ca="1" si="14"/>
        <v>#N/A</v>
      </c>
      <c r="P52" s="18" t="e">
        <f t="shared" ca="1" si="14"/>
        <v>#N/A</v>
      </c>
      <c r="Q52" s="18" t="e">
        <f t="shared" ca="1" si="14"/>
        <v>#N/A</v>
      </c>
      <c r="R52" s="18" t="e">
        <f t="shared" ca="1" si="14"/>
        <v>#N/A</v>
      </c>
      <c r="S52" s="18" t="e">
        <f t="shared" ca="1" si="14"/>
        <v>#N/A</v>
      </c>
      <c r="T52" s="18" t="e">
        <f t="shared" ca="1" si="14"/>
        <v>#N/A</v>
      </c>
      <c r="U52" s="18" t="e">
        <f t="shared" ca="1" si="14"/>
        <v>#N/A</v>
      </c>
      <c r="V52" s="18" t="e">
        <f t="shared" ca="1" si="14"/>
        <v>#N/A</v>
      </c>
      <c r="W52" s="18" t="e">
        <f t="shared" ca="1" si="14"/>
        <v>#N/A</v>
      </c>
      <c r="X52" s="18" t="e">
        <f t="shared" ca="1" si="14"/>
        <v>#N/A</v>
      </c>
      <c r="Y52" s="18" t="e">
        <f t="shared" ca="1" si="14"/>
        <v>#N/A</v>
      </c>
      <c r="Z52" s="18" t="e">
        <f t="shared" ca="1" si="14"/>
        <v>#N/A</v>
      </c>
      <c r="AA52" s="18" t="e">
        <f t="shared" ca="1" si="14"/>
        <v>#N/A</v>
      </c>
      <c r="AB52" s="18" t="e">
        <f t="shared" ca="1" si="14"/>
        <v>#N/A</v>
      </c>
      <c r="AC52" s="18" t="e">
        <f t="shared" ca="1" si="14"/>
        <v>#N/A</v>
      </c>
      <c r="AD52" s="18" t="e">
        <f t="shared" ca="1" si="14"/>
        <v>#N/A</v>
      </c>
      <c r="AE52" s="18" t="e">
        <f t="shared" ca="1" si="14"/>
        <v>#N/A</v>
      </c>
      <c r="AF52" s="18" t="e">
        <f t="shared" ca="1" si="14"/>
        <v>#N/A</v>
      </c>
      <c r="AG52" s="18" t="e">
        <f t="shared" ca="1" si="14"/>
        <v>#N/A</v>
      </c>
    </row>
    <row r="53" spans="1:33">
      <c r="A53" s="13"/>
      <c r="B53" s="426" t="s">
        <v>1</v>
      </c>
      <c r="C53" s="432" t="e">
        <f>XIRR(B52:AG52,B8:AG8)</f>
        <v>#N/A</v>
      </c>
    </row>
    <row r="54" spans="1:33">
      <c r="A54" s="56"/>
      <c r="B54" s="428"/>
    </row>
    <row r="55" spans="1:33">
      <c r="A55" s="43" t="str">
        <f>CONCATENATE("With $",Assumptions!H25,"/kW")</f>
        <v>With $200/kW</v>
      </c>
    </row>
    <row r="56" spans="1:33" s="18" customFormat="1">
      <c r="A56" s="56" t="s">
        <v>360</v>
      </c>
      <c r="B56" s="18" t="e">
        <f>-Assumptions!C11*Assumptions!G48</f>
        <v>#N/A</v>
      </c>
    </row>
    <row r="57" spans="1:33" s="18" customFormat="1">
      <c r="A57" s="56" t="s">
        <v>359</v>
      </c>
      <c r="B57" s="429">
        <f>B21*Assumptions!$G$48</f>
        <v>0</v>
      </c>
      <c r="C57" s="18" t="e">
        <f ca="1">C21*Assumptions!$G$48</f>
        <v>#N/A</v>
      </c>
      <c r="D57" s="18" t="e">
        <f ca="1">D21*Assumptions!$G$48</f>
        <v>#N/A</v>
      </c>
      <c r="E57" s="18" t="e">
        <f ca="1">E21*Assumptions!$G$48</f>
        <v>#N/A</v>
      </c>
      <c r="F57" s="18" t="e">
        <f ca="1">F21*Assumptions!$G$48</f>
        <v>#N/A</v>
      </c>
      <c r="G57" s="18" t="e">
        <f ca="1">G21*Assumptions!$G$48</f>
        <v>#N/A</v>
      </c>
      <c r="H57" s="18" t="e">
        <f ca="1">H21*Assumptions!$G$48</f>
        <v>#N/A</v>
      </c>
      <c r="I57" s="18" t="e">
        <f ca="1">I21*Assumptions!$G$48</f>
        <v>#N/A</v>
      </c>
      <c r="J57" s="18" t="e">
        <f ca="1">J21*Assumptions!$G$48</f>
        <v>#N/A</v>
      </c>
      <c r="K57" s="18" t="e">
        <f ca="1">K21*Assumptions!$G$48</f>
        <v>#N/A</v>
      </c>
      <c r="L57" s="18" t="e">
        <f ca="1">L21*Assumptions!$G$48</f>
        <v>#N/A</v>
      </c>
      <c r="M57" s="18" t="e">
        <f ca="1">M21*Assumptions!$G$48</f>
        <v>#N/A</v>
      </c>
      <c r="N57" s="18" t="e">
        <f ca="1">N21*Assumptions!$G$48</f>
        <v>#N/A</v>
      </c>
      <c r="O57" s="18" t="e">
        <f ca="1">O21*Assumptions!$G$48</f>
        <v>#N/A</v>
      </c>
      <c r="P57" s="18" t="e">
        <f ca="1">P21*Assumptions!$G$48</f>
        <v>#N/A</v>
      </c>
      <c r="Q57" s="18" t="e">
        <f ca="1">Q21*Assumptions!$G$48</f>
        <v>#N/A</v>
      </c>
      <c r="R57" s="18" t="e">
        <f ca="1">R21*Assumptions!$G$48</f>
        <v>#N/A</v>
      </c>
      <c r="S57" s="18" t="e">
        <f ca="1">S21*Assumptions!$G$48</f>
        <v>#N/A</v>
      </c>
      <c r="T57" s="18" t="e">
        <f ca="1">T21*Assumptions!$G$48</f>
        <v>#N/A</v>
      </c>
      <c r="U57" s="18" t="e">
        <f ca="1">U21*Assumptions!$G$48</f>
        <v>#N/A</v>
      </c>
      <c r="V57" s="18" t="e">
        <f ca="1">V21*Assumptions!$G$48</f>
        <v>#N/A</v>
      </c>
      <c r="W57" s="18" t="e">
        <f ca="1">W21*Assumptions!$G$48</f>
        <v>#N/A</v>
      </c>
      <c r="X57" s="18" t="e">
        <f ca="1">X21*Assumptions!$G$48</f>
        <v>#N/A</v>
      </c>
      <c r="Y57" s="18" t="e">
        <f ca="1">Y21*Assumptions!$G$48</f>
        <v>#N/A</v>
      </c>
      <c r="Z57" s="18" t="e">
        <f ca="1">Z21*Assumptions!$G$48</f>
        <v>#N/A</v>
      </c>
      <c r="AA57" s="18" t="e">
        <f ca="1">AA21*Assumptions!$G$48</f>
        <v>#N/A</v>
      </c>
      <c r="AB57" s="18" t="e">
        <f ca="1">AB21*Assumptions!$G$48</f>
        <v>#N/A</v>
      </c>
      <c r="AC57" s="18" t="e">
        <f ca="1">AC21*Assumptions!$G$48</f>
        <v>#N/A</v>
      </c>
      <c r="AD57" s="18" t="e">
        <f ca="1">AD21*Assumptions!$G$48</f>
        <v>#N/A</v>
      </c>
      <c r="AE57" s="18" t="e">
        <f ca="1">AE21*Assumptions!$G$48</f>
        <v>#N/A</v>
      </c>
      <c r="AF57" s="18" t="e">
        <f ca="1">AF21*Assumptions!$G$48</f>
        <v>#N/A</v>
      </c>
      <c r="AG57" s="18" t="e">
        <f ca="1">AG21*Assumptions!$G$48</f>
        <v>#N/A</v>
      </c>
    </row>
    <row r="58" spans="1:33" s="18" customFormat="1">
      <c r="A58" s="56" t="s">
        <v>127</v>
      </c>
      <c r="B58" s="296">
        <v>0</v>
      </c>
      <c r="C58" s="296">
        <v>0</v>
      </c>
      <c r="D58" s="296">
        <f>IF(Assumptions!$H$19='Returns Analysis'!D32,Assumptions!$H$25*Assumptions!$H$68*Assumptions!$G$48,0)</f>
        <v>0</v>
      </c>
      <c r="E58" s="296">
        <f>IF(Assumptions!$H$19='Returns Analysis'!E32,Assumptions!$H$25*Assumptions!$H$68*Assumptions!$G$48,0)</f>
        <v>0</v>
      </c>
      <c r="F58" s="296">
        <f>IF(Assumptions!$H$19='Returns Analysis'!F32,Assumptions!$H$25*Assumptions!$H$68*Assumptions!$G$48,0)</f>
        <v>0</v>
      </c>
      <c r="G58" s="296">
        <f>IF(Assumptions!$H$19='Returns Analysis'!G32,Assumptions!$H$25*Assumptions!$H$68*Assumptions!$G$48,0)</f>
        <v>0</v>
      </c>
      <c r="H58" s="296">
        <f>IF(Assumptions!$H$19='Returns Analysis'!H32,Assumptions!$H$25*Assumptions!$H$68*Assumptions!$G$48,0)</f>
        <v>0</v>
      </c>
      <c r="I58" s="296">
        <f>IF(Assumptions!$H$19='Returns Analysis'!I32,Assumptions!$H$25*Assumptions!$H$68*Assumptions!$G$48,0)</f>
        <v>0</v>
      </c>
      <c r="J58" s="296">
        <f>IF(Assumptions!$H$19='Returns Analysis'!J32,Assumptions!$H$25*Assumptions!$H$68*Assumptions!$G$48,0)</f>
        <v>0</v>
      </c>
      <c r="K58" s="296">
        <f>IF(Assumptions!$H$19='Returns Analysis'!K32,Assumptions!$H$25*Assumptions!$H$68*Assumptions!$G$48,0)</f>
        <v>0</v>
      </c>
      <c r="L58" s="296">
        <f>IF(Assumptions!$H$19='Returns Analysis'!L32,Assumptions!$H$25*Assumptions!$H$68*Assumptions!$G$48,0)</f>
        <v>0</v>
      </c>
      <c r="M58" s="296">
        <f>IF(Assumptions!$H$19='Returns Analysis'!M32,Assumptions!$H$25*Assumptions!$H$68*Assumptions!$G$48,0)</f>
        <v>0</v>
      </c>
      <c r="N58" s="296">
        <f>IF(Assumptions!$H$19='Returns Analysis'!N32,Assumptions!$H$25*Assumptions!$H$68*Assumptions!$G$48,0)</f>
        <v>0</v>
      </c>
      <c r="O58" s="296">
        <f>IF(Assumptions!$H$19='Returns Analysis'!O32,Assumptions!$H$25*Assumptions!$H$68*Assumptions!$G$48,0)</f>
        <v>0</v>
      </c>
      <c r="P58" s="296">
        <f>IF(Assumptions!$H$19='Returns Analysis'!P32,Assumptions!$H$25*Assumptions!$H$68*Assumptions!$G$48,0)</f>
        <v>0</v>
      </c>
      <c r="Q58" s="296">
        <f>IF(Assumptions!$H$19='Returns Analysis'!Q32,Assumptions!$H$25*Assumptions!$H$68*Assumptions!$G$48,0)</f>
        <v>0</v>
      </c>
      <c r="R58" s="296">
        <f>IF(Assumptions!$H$19='Returns Analysis'!R32,Assumptions!$H$25*Assumptions!$H$68*Assumptions!$G$48,0)</f>
        <v>0</v>
      </c>
      <c r="S58" s="296">
        <f>IF(Assumptions!$H$19='Returns Analysis'!S32,Assumptions!$H$25*Assumptions!$H$68*Assumptions!$G$48,0)</f>
        <v>0</v>
      </c>
      <c r="T58" s="296">
        <f>IF(Assumptions!$H$19='Returns Analysis'!T32,Assumptions!$H$25*Assumptions!$H$68*Assumptions!$G$48,0)</f>
        <v>0</v>
      </c>
      <c r="U58" s="296">
        <f>IF(Assumptions!$H$19='Returns Analysis'!U32,Assumptions!$H$25*Assumptions!$H$68*Assumptions!$G$48,0)</f>
        <v>0</v>
      </c>
      <c r="V58" s="296">
        <f>IF(Assumptions!$H$19='Returns Analysis'!V32,Assumptions!$H$25*Assumptions!$H$68*Assumptions!$G$48,0)</f>
        <v>0</v>
      </c>
      <c r="W58" s="296">
        <f>IF(Assumptions!$H$19='Returns Analysis'!W32,Assumptions!$H$25*Assumptions!$H$68*Assumptions!$G$48,0)</f>
        <v>0</v>
      </c>
      <c r="X58" s="296">
        <f>IF(Assumptions!$H$19='Returns Analysis'!X32,Assumptions!$H$25*Assumptions!$H$68*Assumptions!$G$48,0)</f>
        <v>0</v>
      </c>
      <c r="Y58" s="296">
        <f>IF(Assumptions!$H$19='Returns Analysis'!Y32,Assumptions!$H$25*Assumptions!$H$68*Assumptions!$G$48,0)</f>
        <v>0</v>
      </c>
      <c r="Z58" s="296">
        <f>IF(Assumptions!$H$19='Returns Analysis'!Z32,Assumptions!$H$25*Assumptions!$H$68*Assumptions!$G$48,0)</f>
        <v>0</v>
      </c>
      <c r="AA58" s="296">
        <f>IF(Assumptions!$H$19='Returns Analysis'!AA32,Assumptions!$H$25*Assumptions!$H$68*Assumptions!$G$48,0)</f>
        <v>0</v>
      </c>
      <c r="AB58" s="296">
        <f>IF(Assumptions!$H$19='Returns Analysis'!AB32,Assumptions!$H$25*Assumptions!$H$68*Assumptions!$G$48,0)</f>
        <v>0</v>
      </c>
      <c r="AC58" s="296">
        <f>IF(Assumptions!$H$19='Returns Analysis'!AC32,Assumptions!$H$25*Assumptions!$H$68*Assumptions!$G$48,0)</f>
        <v>0</v>
      </c>
      <c r="AD58" s="296">
        <f>IF(Assumptions!$H$19='Returns Analysis'!AD32,Assumptions!$H$25*Assumptions!$H$68*Assumptions!$G$48,0)</f>
        <v>0</v>
      </c>
      <c r="AE58" s="296">
        <f>IF(Assumptions!$H$19='Returns Analysis'!AE32,Assumptions!$H$25*Assumptions!$H$68*Assumptions!$G$48,0)</f>
        <v>0</v>
      </c>
      <c r="AF58" s="296">
        <f>IF(Assumptions!$H$19='Returns Analysis'!AF32,Assumptions!$H$25*Assumptions!$H$68*Assumptions!$G$48,0)</f>
        <v>0</v>
      </c>
      <c r="AG58" s="296">
        <f>IF(Assumptions!$H$19='Returns Analysis'!AG32,Assumptions!$H$25*Assumptions!$H$68*Assumptions!$G$48,0)</f>
        <v>0</v>
      </c>
    </row>
    <row r="59" spans="1:33" s="18" customFormat="1" ht="12" customHeight="1">
      <c r="A59" s="56" t="s">
        <v>358</v>
      </c>
      <c r="B59" s="18" t="e">
        <f>SUM(B56:B58)</f>
        <v>#N/A</v>
      </c>
      <c r="C59" s="18" t="e">
        <f t="shared" ref="C59:AG59" ca="1" si="15">SUM(C56:C58)</f>
        <v>#N/A</v>
      </c>
      <c r="D59" s="18" t="e">
        <f t="shared" ca="1" si="15"/>
        <v>#N/A</v>
      </c>
      <c r="E59" s="18" t="e">
        <f t="shared" ca="1" si="15"/>
        <v>#N/A</v>
      </c>
      <c r="F59" s="18" t="e">
        <f t="shared" ca="1" si="15"/>
        <v>#N/A</v>
      </c>
      <c r="G59" s="18" t="e">
        <f t="shared" ca="1" si="15"/>
        <v>#N/A</v>
      </c>
      <c r="H59" s="18" t="e">
        <f t="shared" ca="1" si="15"/>
        <v>#N/A</v>
      </c>
      <c r="I59" s="18" t="e">
        <f t="shared" ca="1" si="15"/>
        <v>#N/A</v>
      </c>
      <c r="J59" s="18" t="e">
        <f t="shared" ca="1" si="15"/>
        <v>#N/A</v>
      </c>
      <c r="K59" s="18" t="e">
        <f t="shared" ca="1" si="15"/>
        <v>#N/A</v>
      </c>
      <c r="L59" s="18" t="e">
        <f t="shared" ca="1" si="15"/>
        <v>#N/A</v>
      </c>
      <c r="M59" s="18" t="e">
        <f t="shared" ca="1" si="15"/>
        <v>#N/A</v>
      </c>
      <c r="N59" s="18" t="e">
        <f t="shared" ca="1" si="15"/>
        <v>#N/A</v>
      </c>
      <c r="O59" s="18" t="e">
        <f t="shared" ca="1" si="15"/>
        <v>#N/A</v>
      </c>
      <c r="P59" s="18" t="e">
        <f t="shared" ca="1" si="15"/>
        <v>#N/A</v>
      </c>
      <c r="Q59" s="18" t="e">
        <f t="shared" ca="1" si="15"/>
        <v>#N/A</v>
      </c>
      <c r="R59" s="18" t="e">
        <f t="shared" ca="1" si="15"/>
        <v>#N/A</v>
      </c>
      <c r="S59" s="18" t="e">
        <f t="shared" ca="1" si="15"/>
        <v>#N/A</v>
      </c>
      <c r="T59" s="18" t="e">
        <f t="shared" ca="1" si="15"/>
        <v>#N/A</v>
      </c>
      <c r="U59" s="18" t="e">
        <f t="shared" ca="1" si="15"/>
        <v>#N/A</v>
      </c>
      <c r="V59" s="18" t="e">
        <f t="shared" ca="1" si="15"/>
        <v>#N/A</v>
      </c>
      <c r="W59" s="18" t="e">
        <f t="shared" ca="1" si="15"/>
        <v>#N/A</v>
      </c>
      <c r="X59" s="18" t="e">
        <f t="shared" ca="1" si="15"/>
        <v>#N/A</v>
      </c>
      <c r="Y59" s="18" t="e">
        <f t="shared" ca="1" si="15"/>
        <v>#N/A</v>
      </c>
      <c r="Z59" s="18" t="e">
        <f t="shared" ca="1" si="15"/>
        <v>#N/A</v>
      </c>
      <c r="AA59" s="18" t="e">
        <f t="shared" ca="1" si="15"/>
        <v>#N/A</v>
      </c>
      <c r="AB59" s="18" t="e">
        <f t="shared" ca="1" si="15"/>
        <v>#N/A</v>
      </c>
      <c r="AC59" s="18" t="e">
        <f t="shared" ca="1" si="15"/>
        <v>#N/A</v>
      </c>
      <c r="AD59" s="18" t="e">
        <f t="shared" ca="1" si="15"/>
        <v>#N/A</v>
      </c>
      <c r="AE59" s="18" t="e">
        <f t="shared" ca="1" si="15"/>
        <v>#N/A</v>
      </c>
      <c r="AF59" s="18" t="e">
        <f t="shared" ca="1" si="15"/>
        <v>#N/A</v>
      </c>
      <c r="AG59" s="18" t="e">
        <f t="shared" ca="1" si="15"/>
        <v>#N/A</v>
      </c>
    </row>
    <row r="60" spans="1:33">
      <c r="A60" s="13"/>
      <c r="B60" s="426" t="s">
        <v>1</v>
      </c>
      <c r="C60" s="432" t="e">
        <f>XIRR(B59:AG59,B8:AG8)</f>
        <v>#N/A</v>
      </c>
    </row>
    <row r="61" spans="1:33">
      <c r="A61" s="56"/>
      <c r="B61" s="428"/>
    </row>
    <row r="62" spans="1:33">
      <c r="A62" s="45"/>
    </row>
  </sheetData>
  <pageMargins left="0.75" right="0.75" top="1" bottom="1" header="0.5" footer="0.5"/>
  <pageSetup scale="54" fitToWidth="2" orientation="landscape" horizontalDpi="0" verticalDpi="300" r:id="rId1"/>
  <headerFooter alignWithMargins="0"/>
  <colBreaks count="1" manualBreakCount="1">
    <brk id="17" max="1048575" man="1"/>
  </col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topLeftCell="A15" zoomScale="75" zoomScaleNormal="75" workbookViewId="0">
      <selection activeCell="B19" sqref="B19"/>
    </sheetView>
  </sheetViews>
  <sheetFormatPr defaultRowHeight="12.75"/>
  <cols>
    <col min="1" max="1" width="36" style="12" customWidth="1"/>
    <col min="2" max="26" width="14.5703125" style="12" customWidth="1"/>
    <col min="27" max="28" width="14.5703125" style="6" customWidth="1"/>
    <col min="29" max="37" width="14.5703125" style="12" customWidth="1"/>
    <col min="38" max="42" width="14.42578125" style="12" customWidth="1"/>
    <col min="43" max="16384" width="9.140625" style="12"/>
  </cols>
  <sheetData>
    <row r="2" spans="1:40" ht="18.75">
      <c r="A2" s="178" t="str">
        <f>Assumptions!A3</f>
        <v>PROJECT NAME:</v>
      </c>
      <c r="C2" s="62"/>
      <c r="D2" s="56"/>
      <c r="E2" s="56"/>
      <c r="F2" s="93"/>
      <c r="G2" s="5"/>
      <c r="H2" s="5"/>
      <c r="I2" s="2"/>
      <c r="J2" s="2"/>
      <c r="K2" s="2"/>
      <c r="L2" s="93"/>
      <c r="M2" s="5"/>
      <c r="N2" s="5"/>
      <c r="O2" s="2"/>
      <c r="P2" s="2"/>
      <c r="Q2" s="2"/>
      <c r="R2" s="93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3"/>
      <c r="G3" s="5"/>
      <c r="H3" s="5"/>
      <c r="I3" s="2"/>
      <c r="J3" s="2"/>
      <c r="K3" s="2"/>
      <c r="L3" s="93"/>
      <c r="M3" s="5"/>
      <c r="N3" s="5"/>
      <c r="O3" s="2"/>
      <c r="P3" s="2"/>
      <c r="Q3" s="2"/>
      <c r="R3" s="93"/>
      <c r="S3" s="5"/>
      <c r="T3" s="5"/>
      <c r="U3" s="5"/>
      <c r="V3" s="5"/>
      <c r="W3" s="5"/>
      <c r="X3" s="5"/>
      <c r="AG3"/>
    </row>
    <row r="4" spans="1:40" ht="18.75">
      <c r="A4" s="60" t="s">
        <v>94</v>
      </c>
      <c r="B4" s="498" t="s">
        <v>410</v>
      </c>
      <c r="C4" s="62"/>
      <c r="D4" s="56"/>
      <c r="E4" s="56"/>
      <c r="F4" s="93"/>
      <c r="I4" s="62"/>
      <c r="J4" s="62"/>
      <c r="K4" s="62"/>
      <c r="L4" s="93"/>
      <c r="O4" s="62"/>
      <c r="P4" s="62"/>
      <c r="Q4" s="62"/>
      <c r="R4" s="93"/>
      <c r="AG4"/>
      <c r="AN4" s="18"/>
    </row>
    <row r="5" spans="1:40" s="13" customFormat="1"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6"/>
      <c r="AB5" s="6"/>
      <c r="AG5"/>
    </row>
    <row r="6" spans="1:40" s="142" customFormat="1" ht="13.5">
      <c r="A6" s="47"/>
      <c r="B6" s="213"/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3"/>
      <c r="S6" s="213"/>
      <c r="T6" s="213"/>
      <c r="U6" s="213"/>
      <c r="V6" s="213"/>
      <c r="W6" s="213"/>
      <c r="X6" s="213"/>
      <c r="Y6" s="213"/>
      <c r="Z6" s="213"/>
      <c r="AA6" s="213"/>
      <c r="AB6" s="213"/>
      <c r="AC6" s="213"/>
      <c r="AD6" s="213"/>
      <c r="AE6" s="213"/>
      <c r="AF6" s="213"/>
      <c r="AG6"/>
    </row>
    <row r="7" spans="1:40" ht="13.5" thickBot="1">
      <c r="A7" s="123" t="s">
        <v>40</v>
      </c>
      <c r="B7" s="214">
        <f>IS!C7</f>
        <v>2001</v>
      </c>
      <c r="C7" s="214">
        <f>B7+1</f>
        <v>2002</v>
      </c>
      <c r="D7" s="214">
        <f t="shared" ref="D7:AF7" si="0">C7+1</f>
        <v>2003</v>
      </c>
      <c r="E7" s="214">
        <f t="shared" si="0"/>
        <v>2004</v>
      </c>
      <c r="F7" s="214">
        <f t="shared" si="0"/>
        <v>2005</v>
      </c>
      <c r="G7" s="214">
        <f t="shared" si="0"/>
        <v>2006</v>
      </c>
      <c r="H7" s="214">
        <f t="shared" si="0"/>
        <v>2007</v>
      </c>
      <c r="I7" s="214">
        <f t="shared" si="0"/>
        <v>2008</v>
      </c>
      <c r="J7" s="214">
        <f t="shared" si="0"/>
        <v>2009</v>
      </c>
      <c r="K7" s="214">
        <f t="shared" si="0"/>
        <v>2010</v>
      </c>
      <c r="L7" s="214">
        <f t="shared" si="0"/>
        <v>2011</v>
      </c>
      <c r="M7" s="214">
        <f t="shared" si="0"/>
        <v>2012</v>
      </c>
      <c r="N7" s="214">
        <f t="shared" si="0"/>
        <v>2013</v>
      </c>
      <c r="O7" s="214">
        <f t="shared" si="0"/>
        <v>2014</v>
      </c>
      <c r="P7" s="214">
        <f t="shared" si="0"/>
        <v>2015</v>
      </c>
      <c r="Q7" s="214">
        <f t="shared" si="0"/>
        <v>2016</v>
      </c>
      <c r="R7" s="214">
        <f t="shared" si="0"/>
        <v>2017</v>
      </c>
      <c r="S7" s="214">
        <f t="shared" si="0"/>
        <v>2018</v>
      </c>
      <c r="T7" s="214">
        <f t="shared" si="0"/>
        <v>2019</v>
      </c>
      <c r="U7" s="214">
        <f t="shared" si="0"/>
        <v>2020</v>
      </c>
      <c r="V7" s="214">
        <f t="shared" si="0"/>
        <v>2021</v>
      </c>
      <c r="W7" s="214">
        <f t="shared" si="0"/>
        <v>2022</v>
      </c>
      <c r="X7" s="214">
        <f t="shared" si="0"/>
        <v>2023</v>
      </c>
      <c r="Y7" s="214">
        <f t="shared" si="0"/>
        <v>2024</v>
      </c>
      <c r="Z7" s="214">
        <f t="shared" si="0"/>
        <v>2025</v>
      </c>
      <c r="AA7" s="214">
        <f t="shared" si="0"/>
        <v>2026</v>
      </c>
      <c r="AB7" s="214">
        <f t="shared" si="0"/>
        <v>2027</v>
      </c>
      <c r="AC7" s="214">
        <f t="shared" si="0"/>
        <v>2028</v>
      </c>
      <c r="AD7" s="214">
        <f t="shared" si="0"/>
        <v>2029</v>
      </c>
      <c r="AE7" s="214">
        <f t="shared" si="0"/>
        <v>2030</v>
      </c>
      <c r="AF7" s="214">
        <f t="shared" si="0"/>
        <v>2031</v>
      </c>
      <c r="AG7"/>
      <c r="AH7" s="11"/>
    </row>
    <row r="8" spans="1:40" s="50" customFormat="1">
      <c r="A8" s="377"/>
      <c r="B8" s="376">
        <f>IS!C8</f>
        <v>37256</v>
      </c>
      <c r="C8" s="376">
        <f>IS!D8</f>
        <v>37621</v>
      </c>
      <c r="D8" s="376">
        <f>IS!E8</f>
        <v>37986</v>
      </c>
      <c r="E8" s="376">
        <f>IS!F8</f>
        <v>38352</v>
      </c>
      <c r="F8" s="376">
        <f>IS!G8</f>
        <v>38717</v>
      </c>
      <c r="G8" s="376">
        <f>IS!H8</f>
        <v>39082</v>
      </c>
      <c r="H8" s="376">
        <f>IS!I8</f>
        <v>39447</v>
      </c>
      <c r="I8" s="376">
        <f>IS!J8</f>
        <v>39813</v>
      </c>
      <c r="J8" s="376">
        <f>IS!K8</f>
        <v>40178</v>
      </c>
      <c r="K8" s="376">
        <f>IS!L8</f>
        <v>40543</v>
      </c>
      <c r="L8" s="376">
        <f>IS!M8</f>
        <v>40908</v>
      </c>
      <c r="M8" s="376">
        <f>IS!N8</f>
        <v>41274</v>
      </c>
      <c r="N8" s="376">
        <f>IS!O8</f>
        <v>41639</v>
      </c>
      <c r="O8" s="376">
        <f>IS!P8</f>
        <v>42004</v>
      </c>
      <c r="P8" s="376">
        <f>IS!Q8</f>
        <v>42369</v>
      </c>
      <c r="Q8" s="376">
        <f>IS!R8</f>
        <v>42735</v>
      </c>
      <c r="R8" s="376">
        <f>IS!S8</f>
        <v>43100</v>
      </c>
      <c r="S8" s="376">
        <f>IS!T8</f>
        <v>43465</v>
      </c>
      <c r="T8" s="376">
        <f>IS!U8</f>
        <v>43830</v>
      </c>
      <c r="U8" s="376">
        <f>IS!V8</f>
        <v>44196</v>
      </c>
      <c r="V8" s="376">
        <f>IS!W8</f>
        <v>44561</v>
      </c>
      <c r="W8" s="376">
        <f>IS!X8</f>
        <v>44926</v>
      </c>
      <c r="X8" s="376">
        <f>IS!Y8</f>
        <v>45291</v>
      </c>
      <c r="Y8" s="376">
        <f>IS!Z8</f>
        <v>45657</v>
      </c>
      <c r="Z8" s="376">
        <f>IS!AA8</f>
        <v>46022</v>
      </c>
      <c r="AA8" s="376">
        <f>IS!AB8</f>
        <v>46387</v>
      </c>
      <c r="AB8" s="376">
        <f>IS!AC8</f>
        <v>46752</v>
      </c>
      <c r="AC8" s="376">
        <f>IS!AD8</f>
        <v>47118</v>
      </c>
      <c r="AD8" s="376">
        <f>IS!AE8</f>
        <v>47483</v>
      </c>
      <c r="AE8" s="376">
        <f>IS!AF8</f>
        <v>47848</v>
      </c>
      <c r="AF8" s="376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69" t="s">
        <v>392</v>
      </c>
      <c r="B11" s="370" t="e">
        <f ca="1">B29+B38</f>
        <v>#N/A</v>
      </c>
      <c r="C11" s="370" t="e">
        <f t="shared" ref="C11:AF11" ca="1" si="1">C29+C38</f>
        <v>#N/A</v>
      </c>
      <c r="D11" s="370" t="e">
        <f t="shared" ca="1" si="1"/>
        <v>#N/A</v>
      </c>
      <c r="E11" s="370" t="e">
        <f t="shared" ca="1" si="1"/>
        <v>#N/A</v>
      </c>
      <c r="F11" s="370" t="e">
        <f t="shared" ca="1" si="1"/>
        <v>#N/A</v>
      </c>
      <c r="G11" s="370" t="e">
        <f t="shared" ca="1" si="1"/>
        <v>#N/A</v>
      </c>
      <c r="H11" s="370" t="e">
        <f t="shared" ca="1" si="1"/>
        <v>#N/A</v>
      </c>
      <c r="I11" s="370" t="e">
        <f t="shared" ca="1" si="1"/>
        <v>#N/A</v>
      </c>
      <c r="J11" s="370" t="e">
        <f t="shared" ca="1" si="1"/>
        <v>#N/A</v>
      </c>
      <c r="K11" s="370" t="e">
        <f t="shared" ca="1" si="1"/>
        <v>#N/A</v>
      </c>
      <c r="L11" s="370" t="e">
        <f t="shared" ca="1" si="1"/>
        <v>#N/A</v>
      </c>
      <c r="M11" s="370" t="e">
        <f t="shared" ca="1" si="1"/>
        <v>#N/A</v>
      </c>
      <c r="N11" s="370" t="e">
        <f t="shared" ca="1" si="1"/>
        <v>#N/A</v>
      </c>
      <c r="O11" s="370" t="e">
        <f t="shared" ca="1" si="1"/>
        <v>#N/A</v>
      </c>
      <c r="P11" s="443" t="e">
        <f t="shared" ca="1" si="1"/>
        <v>#N/A</v>
      </c>
      <c r="Q11" s="370" t="e">
        <f t="shared" ca="1" si="1"/>
        <v>#N/A</v>
      </c>
      <c r="R11" s="370" t="e">
        <f t="shared" ca="1" si="1"/>
        <v>#N/A</v>
      </c>
      <c r="S11" s="370" t="e">
        <f t="shared" ca="1" si="1"/>
        <v>#N/A</v>
      </c>
      <c r="T11" s="370" t="e">
        <f t="shared" ca="1" si="1"/>
        <v>#N/A</v>
      </c>
      <c r="U11" s="370" t="e">
        <f t="shared" ca="1" si="1"/>
        <v>#N/A</v>
      </c>
      <c r="V11" s="370" t="e">
        <f t="shared" ca="1" si="1"/>
        <v>#N/A</v>
      </c>
      <c r="W11" s="370" t="e">
        <f t="shared" ca="1" si="1"/>
        <v>#N/A</v>
      </c>
      <c r="X11" s="370" t="e">
        <f t="shared" ca="1" si="1"/>
        <v>#N/A</v>
      </c>
      <c r="Y11" s="370" t="e">
        <f t="shared" ca="1" si="1"/>
        <v>#N/A</v>
      </c>
      <c r="Z11" s="370" t="e">
        <f t="shared" ca="1" si="1"/>
        <v>#N/A</v>
      </c>
      <c r="AA11" s="370" t="e">
        <f t="shared" ca="1" si="1"/>
        <v>#N/A</v>
      </c>
      <c r="AB11" s="370" t="e">
        <f t="shared" ca="1" si="1"/>
        <v>#N/A</v>
      </c>
      <c r="AC11" s="370" t="e">
        <f t="shared" ca="1" si="1"/>
        <v>#N/A</v>
      </c>
      <c r="AD11" s="370" t="e">
        <f t="shared" ca="1" si="1"/>
        <v>#N/A</v>
      </c>
      <c r="AE11" s="370" t="e">
        <f t="shared" ca="1" si="1"/>
        <v>#N/A</v>
      </c>
      <c r="AF11" s="443" t="e">
        <f t="shared" ca="1" si="1"/>
        <v>#N/A</v>
      </c>
      <c r="AG11"/>
      <c r="AN11" s="503">
        <f>IF(MONTH(C23)=MONTH(Assumptions!G34),1,2)</f>
        <v>1</v>
      </c>
    </row>
    <row r="12" spans="1:40">
      <c r="A12" s="371" t="s">
        <v>0</v>
      </c>
      <c r="B12" s="367">
        <v>1.3</v>
      </c>
      <c r="C12" s="367">
        <v>1.3</v>
      </c>
      <c r="D12" s="367">
        <v>1.3</v>
      </c>
      <c r="E12" s="367">
        <v>1.3</v>
      </c>
      <c r="F12" s="367">
        <v>1.3</v>
      </c>
      <c r="G12" s="367">
        <v>1.3</v>
      </c>
      <c r="H12" s="367">
        <v>1.3</v>
      </c>
      <c r="I12" s="367">
        <v>1.3</v>
      </c>
      <c r="J12" s="367">
        <v>1.3</v>
      </c>
      <c r="K12" s="367">
        <v>1.3</v>
      </c>
      <c r="L12" s="367">
        <v>1.3</v>
      </c>
      <c r="M12" s="367">
        <v>1.3</v>
      </c>
      <c r="N12" s="367">
        <v>1.3</v>
      </c>
      <c r="O12" s="367">
        <v>1.3</v>
      </c>
      <c r="P12" s="372">
        <v>1.3</v>
      </c>
      <c r="Q12" s="367">
        <v>1.3</v>
      </c>
      <c r="R12" s="367">
        <v>1.3</v>
      </c>
      <c r="S12" s="367">
        <v>1.3</v>
      </c>
      <c r="T12" s="367">
        <v>1.3</v>
      </c>
      <c r="U12" s="367">
        <v>1.3</v>
      </c>
      <c r="V12" s="367">
        <v>1.3</v>
      </c>
      <c r="W12" s="367">
        <v>1.3</v>
      </c>
      <c r="X12" s="367">
        <v>1.3</v>
      </c>
      <c r="Y12" s="367">
        <v>1.3</v>
      </c>
      <c r="Z12" s="367">
        <v>1.3</v>
      </c>
      <c r="AA12" s="367">
        <v>1.3</v>
      </c>
      <c r="AB12" s="367">
        <v>1.3</v>
      </c>
      <c r="AC12" s="367">
        <v>1.3</v>
      </c>
      <c r="AD12" s="367">
        <v>1.3</v>
      </c>
      <c r="AE12" s="367">
        <v>1.3</v>
      </c>
      <c r="AF12" s="372">
        <v>1.3</v>
      </c>
      <c r="AG12"/>
      <c r="AN12" s="503">
        <f>IF(AN11=1,6,15)</f>
        <v>6</v>
      </c>
    </row>
    <row r="13" spans="1:40">
      <c r="A13" s="373" t="s">
        <v>327</v>
      </c>
      <c r="B13" s="293" t="e">
        <f ca="1">B11/B12</f>
        <v>#N/A</v>
      </c>
      <c r="C13" s="293" t="e">
        <f t="shared" ref="C13:AF13" ca="1" si="2">C11/C12</f>
        <v>#N/A</v>
      </c>
      <c r="D13" s="293" t="e">
        <f t="shared" ca="1" si="2"/>
        <v>#N/A</v>
      </c>
      <c r="E13" s="293" t="e">
        <f t="shared" ca="1" si="2"/>
        <v>#N/A</v>
      </c>
      <c r="F13" s="293" t="e">
        <f t="shared" ca="1" si="2"/>
        <v>#N/A</v>
      </c>
      <c r="G13" s="293" t="e">
        <f t="shared" ca="1" si="2"/>
        <v>#N/A</v>
      </c>
      <c r="H13" s="293" t="e">
        <f t="shared" ca="1" si="2"/>
        <v>#N/A</v>
      </c>
      <c r="I13" s="293" t="e">
        <f t="shared" ca="1" si="2"/>
        <v>#N/A</v>
      </c>
      <c r="J13" s="293" t="e">
        <f t="shared" ca="1" si="2"/>
        <v>#N/A</v>
      </c>
      <c r="K13" s="293" t="e">
        <f t="shared" ca="1" si="2"/>
        <v>#N/A</v>
      </c>
      <c r="L13" s="293" t="e">
        <f t="shared" ca="1" si="2"/>
        <v>#N/A</v>
      </c>
      <c r="M13" s="293" t="e">
        <f t="shared" ca="1" si="2"/>
        <v>#N/A</v>
      </c>
      <c r="N13" s="293" t="e">
        <f t="shared" ca="1" si="2"/>
        <v>#N/A</v>
      </c>
      <c r="O13" s="293" t="e">
        <f t="shared" ca="1" si="2"/>
        <v>#N/A</v>
      </c>
      <c r="P13" s="374" t="e">
        <f t="shared" ca="1" si="2"/>
        <v>#N/A</v>
      </c>
      <c r="Q13" s="293" t="e">
        <f t="shared" ca="1" si="2"/>
        <v>#N/A</v>
      </c>
      <c r="R13" s="293" t="e">
        <f t="shared" ca="1" si="2"/>
        <v>#N/A</v>
      </c>
      <c r="S13" s="293" t="e">
        <f t="shared" ca="1" si="2"/>
        <v>#N/A</v>
      </c>
      <c r="T13" s="293" t="e">
        <f t="shared" ca="1" si="2"/>
        <v>#N/A</v>
      </c>
      <c r="U13" s="293" t="e">
        <f t="shared" ca="1" si="2"/>
        <v>#N/A</v>
      </c>
      <c r="V13" s="293" t="e">
        <f t="shared" ca="1" si="2"/>
        <v>#N/A</v>
      </c>
      <c r="W13" s="293" t="e">
        <f t="shared" ca="1" si="2"/>
        <v>#N/A</v>
      </c>
      <c r="X13" s="293" t="e">
        <f t="shared" ca="1" si="2"/>
        <v>#N/A</v>
      </c>
      <c r="Y13" s="293" t="e">
        <f t="shared" ca="1" si="2"/>
        <v>#N/A</v>
      </c>
      <c r="Z13" s="293" t="e">
        <f t="shared" ca="1" si="2"/>
        <v>#N/A</v>
      </c>
      <c r="AA13" s="293" t="e">
        <f t="shared" ca="1" si="2"/>
        <v>#N/A</v>
      </c>
      <c r="AB13" s="293" t="e">
        <f t="shared" ca="1" si="2"/>
        <v>#N/A</v>
      </c>
      <c r="AC13" s="293" t="e">
        <f t="shared" ca="1" si="2"/>
        <v>#N/A</v>
      </c>
      <c r="AD13" s="293" t="e">
        <f t="shared" ca="1" si="2"/>
        <v>#N/A</v>
      </c>
      <c r="AE13" s="293" t="e">
        <f t="shared" ca="1" si="2"/>
        <v>#N/A</v>
      </c>
      <c r="AF13" s="374" t="e">
        <f t="shared" ca="1" si="2"/>
        <v>#N/A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4"/>
      <c r="C16" s="65"/>
      <c r="AG16"/>
    </row>
    <row r="17" spans="1:33">
      <c r="A17" s="53"/>
      <c r="B17" s="224"/>
      <c r="C17" s="505"/>
      <c r="AG17"/>
    </row>
    <row r="18" spans="1:33">
      <c r="A18" s="53"/>
      <c r="B18" s="224"/>
      <c r="AG18"/>
    </row>
    <row r="19" spans="1:33">
      <c r="A19" s="11" t="s">
        <v>350</v>
      </c>
      <c r="B19" s="380">
        <v>59653.800966475392</v>
      </c>
      <c r="S19" s="18"/>
      <c r="AF19" s="65"/>
      <c r="AG19"/>
    </row>
    <row r="20" spans="1:33">
      <c r="A20" s="11" t="s">
        <v>349</v>
      </c>
      <c r="B20" s="385" t="e">
        <f ca="1">HLOOKUP(Assumptions!G34,B23:AF39,AN12)</f>
        <v>#N/A</v>
      </c>
      <c r="AF20" s="505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75">
        <v>36982</v>
      </c>
      <c r="C23" s="375">
        <v>37347</v>
      </c>
      <c r="D23" s="375">
        <v>37712</v>
      </c>
      <c r="E23" s="375">
        <v>38078</v>
      </c>
      <c r="F23" s="375">
        <v>38443</v>
      </c>
      <c r="G23" s="375">
        <v>38808</v>
      </c>
      <c r="H23" s="375">
        <v>39173</v>
      </c>
      <c r="I23" s="375">
        <v>39539</v>
      </c>
      <c r="J23" s="375">
        <v>39904</v>
      </c>
      <c r="K23" s="375">
        <v>40269</v>
      </c>
      <c r="L23" s="375">
        <v>40634</v>
      </c>
      <c r="M23" s="375">
        <v>41000</v>
      </c>
      <c r="N23" s="375">
        <v>41365</v>
      </c>
      <c r="O23" s="375">
        <v>41730</v>
      </c>
      <c r="P23" s="375">
        <v>42095</v>
      </c>
      <c r="Q23" s="375">
        <v>42461</v>
      </c>
      <c r="R23" s="375">
        <v>42826</v>
      </c>
      <c r="S23" s="375">
        <v>43191</v>
      </c>
      <c r="T23" s="375">
        <v>43556</v>
      </c>
      <c r="U23" s="375">
        <v>43922</v>
      </c>
      <c r="V23" s="375">
        <v>44287</v>
      </c>
      <c r="W23" s="375">
        <v>44652</v>
      </c>
      <c r="X23" s="375">
        <v>45017</v>
      </c>
      <c r="Y23" s="375">
        <v>45383</v>
      </c>
      <c r="Z23" s="375">
        <v>45748</v>
      </c>
      <c r="AA23" s="375">
        <v>46113</v>
      </c>
      <c r="AB23" s="375">
        <v>46478</v>
      </c>
      <c r="AC23" s="375">
        <v>46844</v>
      </c>
      <c r="AD23" s="375">
        <v>47209</v>
      </c>
      <c r="AE23" s="375">
        <v>47574</v>
      </c>
      <c r="AF23" s="375">
        <v>47939</v>
      </c>
      <c r="AG23" s="506">
        <v>47969</v>
      </c>
    </row>
    <row r="24" spans="1:33">
      <c r="A24" s="48" t="s">
        <v>56</v>
      </c>
      <c r="B24"/>
      <c r="C24" s="48" t="e">
        <f ca="1">B45</f>
        <v>#N/A</v>
      </c>
      <c r="D24" s="48" t="e">
        <f t="shared" ref="D24:AF24" ca="1" si="3">C45</f>
        <v>#N/A</v>
      </c>
      <c r="E24" s="48" t="e">
        <f t="shared" ca="1" si="3"/>
        <v>#N/A</v>
      </c>
      <c r="F24" s="48" t="e">
        <f t="shared" ca="1" si="3"/>
        <v>#N/A</v>
      </c>
      <c r="G24" s="48" t="e">
        <f t="shared" ca="1" si="3"/>
        <v>#N/A</v>
      </c>
      <c r="H24" s="48" t="e">
        <f t="shared" ca="1" si="3"/>
        <v>#N/A</v>
      </c>
      <c r="I24" s="48" t="e">
        <f t="shared" ca="1" si="3"/>
        <v>#N/A</v>
      </c>
      <c r="J24" s="48" t="e">
        <f t="shared" ca="1" si="3"/>
        <v>#N/A</v>
      </c>
      <c r="K24" s="48" t="e">
        <f t="shared" ca="1" si="3"/>
        <v>#N/A</v>
      </c>
      <c r="L24" s="48" t="e">
        <f t="shared" ca="1" si="3"/>
        <v>#N/A</v>
      </c>
      <c r="M24" s="48" t="e">
        <f t="shared" ca="1" si="3"/>
        <v>#N/A</v>
      </c>
      <c r="N24" s="48" t="e">
        <f t="shared" ca="1" si="3"/>
        <v>#N/A</v>
      </c>
      <c r="O24" s="48" t="e">
        <f t="shared" ca="1" si="3"/>
        <v>#N/A</v>
      </c>
      <c r="P24" s="48" t="e">
        <f t="shared" ca="1" si="3"/>
        <v>#N/A</v>
      </c>
      <c r="Q24" s="48" t="e">
        <f t="shared" ca="1" si="3"/>
        <v>#N/A</v>
      </c>
      <c r="R24" s="48" t="e">
        <f t="shared" ca="1" si="3"/>
        <v>#N/A</v>
      </c>
      <c r="S24" s="48" t="e">
        <f t="shared" ca="1" si="3"/>
        <v>#N/A</v>
      </c>
      <c r="T24" s="48" t="e">
        <f t="shared" ca="1" si="3"/>
        <v>#N/A</v>
      </c>
      <c r="U24" s="48" t="e">
        <f t="shared" ca="1" si="3"/>
        <v>#N/A</v>
      </c>
      <c r="V24" s="48" t="e">
        <f t="shared" ca="1" si="3"/>
        <v>#N/A</v>
      </c>
      <c r="W24" s="48" t="e">
        <f t="shared" ca="1" si="3"/>
        <v>#N/A</v>
      </c>
      <c r="X24" s="48" t="e">
        <f t="shared" ca="1" si="3"/>
        <v>#N/A</v>
      </c>
      <c r="Y24" s="48" t="e">
        <f t="shared" ca="1" si="3"/>
        <v>#N/A</v>
      </c>
      <c r="Z24" s="48" t="e">
        <f t="shared" ca="1" si="3"/>
        <v>#N/A</v>
      </c>
      <c r="AA24" s="48" t="e">
        <f t="shared" ca="1" si="3"/>
        <v>#N/A</v>
      </c>
      <c r="AB24" s="48" t="e">
        <f t="shared" ca="1" si="3"/>
        <v>#N/A</v>
      </c>
      <c r="AC24" s="48" t="e">
        <f t="shared" ca="1" si="3"/>
        <v>#N/A</v>
      </c>
      <c r="AD24" s="48" t="e">
        <f t="shared" ca="1" si="3"/>
        <v>#N/A</v>
      </c>
      <c r="AE24" s="48" t="e">
        <f t="shared" ca="1" si="3"/>
        <v>#N/A</v>
      </c>
      <c r="AF24" s="48" t="e">
        <f t="shared" ca="1" si="3"/>
        <v>#N/A</v>
      </c>
      <c r="AG24"/>
    </row>
    <row r="25" spans="1:33">
      <c r="A25" s="48" t="s">
        <v>328</v>
      </c>
      <c r="B25"/>
      <c r="C25" s="365">
        <v>0</v>
      </c>
      <c r="D25" s="365">
        <v>0</v>
      </c>
      <c r="E25" s="365">
        <v>0</v>
      </c>
      <c r="F25" s="365">
        <v>0</v>
      </c>
      <c r="G25" s="365">
        <v>0</v>
      </c>
      <c r="H25" s="365">
        <v>0</v>
      </c>
      <c r="I25" s="365">
        <v>0</v>
      </c>
      <c r="J25" s="365">
        <v>0</v>
      </c>
      <c r="K25" s="365">
        <v>0</v>
      </c>
      <c r="L25" s="365">
        <v>0</v>
      </c>
      <c r="M25" s="365">
        <v>0</v>
      </c>
      <c r="N25" s="365">
        <v>0</v>
      </c>
      <c r="O25" s="365">
        <v>0</v>
      </c>
      <c r="P25" s="365">
        <v>0</v>
      </c>
      <c r="Q25" s="365">
        <v>0</v>
      </c>
      <c r="R25" s="365">
        <v>0</v>
      </c>
      <c r="S25" s="365">
        <v>0</v>
      </c>
      <c r="T25" s="365">
        <v>0</v>
      </c>
      <c r="U25" s="365">
        <v>0</v>
      </c>
      <c r="V25" s="365">
        <v>0</v>
      </c>
      <c r="W25" s="365">
        <v>0</v>
      </c>
      <c r="X25" s="365">
        <v>0</v>
      </c>
      <c r="Y25" s="365">
        <v>0</v>
      </c>
      <c r="Z25" s="365">
        <v>0</v>
      </c>
      <c r="AA25" s="365">
        <v>0</v>
      </c>
      <c r="AB25" s="365">
        <v>0</v>
      </c>
      <c r="AC25" s="365">
        <v>0</v>
      </c>
      <c r="AD25" s="365">
        <v>0</v>
      </c>
      <c r="AE25" s="365">
        <v>0</v>
      </c>
      <c r="AF25" s="365">
        <v>0</v>
      </c>
      <c r="AG25"/>
    </row>
    <row r="26" spans="1:33">
      <c r="A26" s="48" t="s">
        <v>57</v>
      </c>
      <c r="B26"/>
      <c r="C26" s="48" t="e">
        <f t="shared" ref="C26:AF26" ca="1" si="4">C24-C28</f>
        <v>#N/A</v>
      </c>
      <c r="D26" s="48" t="e">
        <f t="shared" ca="1" si="4"/>
        <v>#N/A</v>
      </c>
      <c r="E26" s="48" t="e">
        <f t="shared" ca="1" si="4"/>
        <v>#N/A</v>
      </c>
      <c r="F26" s="48" t="e">
        <f t="shared" ca="1" si="4"/>
        <v>#N/A</v>
      </c>
      <c r="G26" s="48" t="e">
        <f t="shared" ca="1" si="4"/>
        <v>#N/A</v>
      </c>
      <c r="H26" s="48" t="e">
        <f t="shared" ca="1" si="4"/>
        <v>#N/A</v>
      </c>
      <c r="I26" s="48" t="e">
        <f t="shared" ca="1" si="4"/>
        <v>#N/A</v>
      </c>
      <c r="J26" s="48" t="e">
        <f t="shared" ca="1" si="4"/>
        <v>#N/A</v>
      </c>
      <c r="K26" s="48" t="e">
        <f t="shared" ca="1" si="4"/>
        <v>#N/A</v>
      </c>
      <c r="L26" s="48" t="e">
        <f t="shared" ca="1" si="4"/>
        <v>#N/A</v>
      </c>
      <c r="M26" s="48" t="e">
        <f t="shared" ca="1" si="4"/>
        <v>#N/A</v>
      </c>
      <c r="N26" s="48" t="e">
        <f t="shared" ca="1" si="4"/>
        <v>#N/A</v>
      </c>
      <c r="O26" s="48" t="e">
        <f t="shared" ca="1" si="4"/>
        <v>#N/A</v>
      </c>
      <c r="P26" s="48" t="e">
        <f t="shared" ca="1" si="4"/>
        <v>#N/A</v>
      </c>
      <c r="Q26" s="48" t="e">
        <f t="shared" ca="1" si="4"/>
        <v>#N/A</v>
      </c>
      <c r="R26" s="48" t="e">
        <f t="shared" ca="1" si="4"/>
        <v>#N/A</v>
      </c>
      <c r="S26" s="48" t="e">
        <f t="shared" ca="1" si="4"/>
        <v>#N/A</v>
      </c>
      <c r="T26" s="48" t="e">
        <f t="shared" ca="1" si="4"/>
        <v>#N/A</v>
      </c>
      <c r="U26" s="48" t="e">
        <f t="shared" ca="1" si="4"/>
        <v>#N/A</v>
      </c>
      <c r="V26" s="48" t="e">
        <f t="shared" ca="1" si="4"/>
        <v>#N/A</v>
      </c>
      <c r="W26" s="48" t="e">
        <f t="shared" ca="1" si="4"/>
        <v>#N/A</v>
      </c>
      <c r="X26" s="48" t="e">
        <f t="shared" ca="1" si="4"/>
        <v>#N/A</v>
      </c>
      <c r="Y26" s="48" t="e">
        <f t="shared" ca="1" si="4"/>
        <v>#N/A</v>
      </c>
      <c r="Z26" s="48" t="e">
        <f t="shared" ca="1" si="4"/>
        <v>#N/A</v>
      </c>
      <c r="AA26" s="48" t="e">
        <f t="shared" ca="1" si="4"/>
        <v>#N/A</v>
      </c>
      <c r="AB26" s="48" t="e">
        <f t="shared" ca="1" si="4"/>
        <v>#N/A</v>
      </c>
      <c r="AC26" s="48" t="e">
        <f t="shared" ca="1" si="4"/>
        <v>#N/A</v>
      </c>
      <c r="AD26" s="48" t="e">
        <f t="shared" ca="1" si="4"/>
        <v>#N/A</v>
      </c>
      <c r="AE26" s="48" t="e">
        <f t="shared" ca="1" si="4"/>
        <v>#N/A</v>
      </c>
      <c r="AF26" s="48" t="e">
        <f t="shared" ca="1" si="4"/>
        <v>#N/A</v>
      </c>
      <c r="AG26"/>
    </row>
    <row r="27" spans="1:33">
      <c r="A27" s="48" t="s">
        <v>58</v>
      </c>
      <c r="B27"/>
      <c r="C27" s="368" t="e">
        <f t="shared" ref="C27:AF27" ca="1" si="5">C24*(C23-B41)/(C41-B41)*$E$64</f>
        <v>#N/A</v>
      </c>
      <c r="D27" s="368" t="e">
        <f t="shared" ca="1" si="5"/>
        <v>#N/A</v>
      </c>
      <c r="E27" s="368" t="e">
        <f t="shared" ca="1" si="5"/>
        <v>#N/A</v>
      </c>
      <c r="F27" s="368" t="e">
        <f t="shared" ca="1" si="5"/>
        <v>#N/A</v>
      </c>
      <c r="G27" s="368" t="e">
        <f t="shared" ca="1" si="5"/>
        <v>#N/A</v>
      </c>
      <c r="H27" s="368" t="e">
        <f t="shared" ca="1" si="5"/>
        <v>#N/A</v>
      </c>
      <c r="I27" s="368" t="e">
        <f t="shared" ca="1" si="5"/>
        <v>#N/A</v>
      </c>
      <c r="J27" s="368" t="e">
        <f t="shared" ca="1" si="5"/>
        <v>#N/A</v>
      </c>
      <c r="K27" s="368" t="e">
        <f t="shared" ca="1" si="5"/>
        <v>#N/A</v>
      </c>
      <c r="L27" s="368" t="e">
        <f t="shared" ca="1" si="5"/>
        <v>#N/A</v>
      </c>
      <c r="M27" s="368" t="e">
        <f t="shared" ca="1" si="5"/>
        <v>#N/A</v>
      </c>
      <c r="N27" s="368" t="e">
        <f t="shared" ca="1" si="5"/>
        <v>#N/A</v>
      </c>
      <c r="O27" s="368" t="e">
        <f t="shared" ca="1" si="5"/>
        <v>#N/A</v>
      </c>
      <c r="P27" s="368" t="e">
        <f t="shared" ca="1" si="5"/>
        <v>#N/A</v>
      </c>
      <c r="Q27" s="368" t="e">
        <f t="shared" ca="1" si="5"/>
        <v>#N/A</v>
      </c>
      <c r="R27" s="368" t="e">
        <f t="shared" ca="1" si="5"/>
        <v>#N/A</v>
      </c>
      <c r="S27" s="368" t="e">
        <f t="shared" ca="1" si="5"/>
        <v>#N/A</v>
      </c>
      <c r="T27" s="368" t="e">
        <f t="shared" ca="1" si="5"/>
        <v>#N/A</v>
      </c>
      <c r="U27" s="368" t="e">
        <f t="shared" ca="1" si="5"/>
        <v>#N/A</v>
      </c>
      <c r="V27" s="368" t="e">
        <f t="shared" ca="1" si="5"/>
        <v>#N/A</v>
      </c>
      <c r="W27" s="368" t="e">
        <f t="shared" ca="1" si="5"/>
        <v>#N/A</v>
      </c>
      <c r="X27" s="368" t="e">
        <f t="shared" ca="1" si="5"/>
        <v>#N/A</v>
      </c>
      <c r="Y27" s="368" t="e">
        <f t="shared" ca="1" si="5"/>
        <v>#N/A</v>
      </c>
      <c r="Z27" s="368" t="e">
        <f t="shared" ca="1" si="5"/>
        <v>#N/A</v>
      </c>
      <c r="AA27" s="368" t="e">
        <f t="shared" ca="1" si="5"/>
        <v>#N/A</v>
      </c>
      <c r="AB27" s="368" t="e">
        <f t="shared" ca="1" si="5"/>
        <v>#N/A</v>
      </c>
      <c r="AC27" s="368" t="e">
        <f t="shared" ca="1" si="5"/>
        <v>#N/A</v>
      </c>
      <c r="AD27" s="368" t="e">
        <f t="shared" ca="1" si="5"/>
        <v>#N/A</v>
      </c>
      <c r="AE27" s="368" t="e">
        <f t="shared" ca="1" si="5"/>
        <v>#N/A</v>
      </c>
      <c r="AF27" s="368" t="e">
        <f t="shared" ca="1" si="5"/>
        <v>#N/A</v>
      </c>
      <c r="AG27"/>
    </row>
    <row r="28" spans="1:33">
      <c r="A28" s="48" t="s">
        <v>59</v>
      </c>
      <c r="B28"/>
      <c r="C28" s="163" t="e">
        <f t="shared" ref="C28:AF28" ca="1" si="6">MAX(C24+C25+B44+C27-0.5*C13,0)</f>
        <v>#N/A</v>
      </c>
      <c r="D28" s="163" t="e">
        <f t="shared" ca="1" si="6"/>
        <v>#N/A</v>
      </c>
      <c r="E28" s="163" t="e">
        <f t="shared" ca="1" si="6"/>
        <v>#N/A</v>
      </c>
      <c r="F28" s="163" t="e">
        <f t="shared" ca="1" si="6"/>
        <v>#N/A</v>
      </c>
      <c r="G28" s="163" t="e">
        <f t="shared" ca="1" si="6"/>
        <v>#N/A</v>
      </c>
      <c r="H28" s="163" t="e">
        <f t="shared" ca="1" si="6"/>
        <v>#N/A</v>
      </c>
      <c r="I28" s="163" t="e">
        <f t="shared" ca="1" si="6"/>
        <v>#N/A</v>
      </c>
      <c r="J28" s="163" t="e">
        <f t="shared" ca="1" si="6"/>
        <v>#N/A</v>
      </c>
      <c r="K28" s="163" t="e">
        <f t="shared" ca="1" si="6"/>
        <v>#N/A</v>
      </c>
      <c r="L28" s="163" t="e">
        <f t="shared" ca="1" si="6"/>
        <v>#N/A</v>
      </c>
      <c r="M28" s="163" t="e">
        <f t="shared" ca="1" si="6"/>
        <v>#N/A</v>
      </c>
      <c r="N28" s="163" t="e">
        <f t="shared" ca="1" si="6"/>
        <v>#N/A</v>
      </c>
      <c r="O28" s="163" t="e">
        <f t="shared" ca="1" si="6"/>
        <v>#N/A</v>
      </c>
      <c r="P28" s="163" t="e">
        <f t="shared" ca="1" si="6"/>
        <v>#N/A</v>
      </c>
      <c r="Q28" s="163" t="e">
        <f t="shared" ca="1" si="6"/>
        <v>#N/A</v>
      </c>
      <c r="R28" s="163" t="e">
        <f t="shared" ca="1" si="6"/>
        <v>#N/A</v>
      </c>
      <c r="S28" s="163" t="e">
        <f t="shared" ca="1" si="6"/>
        <v>#N/A</v>
      </c>
      <c r="T28" s="163" t="e">
        <f t="shared" ca="1" si="6"/>
        <v>#N/A</v>
      </c>
      <c r="U28" s="163" t="e">
        <f t="shared" ca="1" si="6"/>
        <v>#N/A</v>
      </c>
      <c r="V28" s="163" t="e">
        <f t="shared" ca="1" si="6"/>
        <v>#N/A</v>
      </c>
      <c r="W28" s="163" t="e">
        <f t="shared" ca="1" si="6"/>
        <v>#N/A</v>
      </c>
      <c r="X28" s="163" t="e">
        <f t="shared" ca="1" si="6"/>
        <v>#N/A</v>
      </c>
      <c r="Y28" s="163" t="e">
        <f t="shared" ca="1" si="6"/>
        <v>#N/A</v>
      </c>
      <c r="Z28" s="163" t="e">
        <f t="shared" ca="1" si="6"/>
        <v>#N/A</v>
      </c>
      <c r="AA28" s="163" t="e">
        <f t="shared" ca="1" si="6"/>
        <v>#N/A</v>
      </c>
      <c r="AB28" s="163" t="e">
        <f t="shared" ca="1" si="6"/>
        <v>#N/A</v>
      </c>
      <c r="AC28" s="163" t="e">
        <f t="shared" ca="1" si="6"/>
        <v>#N/A</v>
      </c>
      <c r="AD28" s="163" t="e">
        <f t="shared" ca="1" si="6"/>
        <v>#N/A</v>
      </c>
      <c r="AE28" s="163" t="e">
        <f t="shared" ca="1" si="6"/>
        <v>#N/A</v>
      </c>
      <c r="AF28" s="163" t="e">
        <f t="shared" ca="1" si="6"/>
        <v>#N/A</v>
      </c>
      <c r="AG28"/>
    </row>
    <row r="29" spans="1:33">
      <c r="A29" s="48" t="s">
        <v>330</v>
      </c>
      <c r="B29"/>
      <c r="C29" s="163" t="e">
        <f ca="1">(C23-B41)/(C41-B41)*IS!D32+(B41-B32)/(B41-Assumptions!H17)*IS!C32</f>
        <v>#N/A</v>
      </c>
      <c r="D29" s="163" t="e">
        <f ca="1">(D23-C41)/(D41-C41)*IS!E32+(C41-C32)/(C41-B41)*IS!D32</f>
        <v>#N/A</v>
      </c>
      <c r="E29" s="163" t="e">
        <f ca="1">(E23-D41)/(E41-D41)*IS!F32+(D41-D32)/(D41-C41)*IS!E32</f>
        <v>#N/A</v>
      </c>
      <c r="F29" s="163" t="e">
        <f ca="1">(F23-E41)/(F41-E41)*IS!G32+(E41-E32)/(E41-D41)*IS!F32</f>
        <v>#N/A</v>
      </c>
      <c r="G29" s="163" t="e">
        <f ca="1">(G23-F41)/(G41-F41)*IS!H32+(F41-F32)/(F41-E41)*IS!G32</f>
        <v>#N/A</v>
      </c>
      <c r="H29" s="163" t="e">
        <f ca="1">(H23-G41)/(H41-G41)*IS!I32+(G41-G32)/(G41-F41)*IS!H32</f>
        <v>#N/A</v>
      </c>
      <c r="I29" s="163" t="e">
        <f ca="1">(I23-H41)/(I41-H41)*IS!J32+(H41-H32)/(H41-G41)*IS!I32</f>
        <v>#N/A</v>
      </c>
      <c r="J29" s="163" t="e">
        <f ca="1">(J23-I41)/(J41-I41)*IS!K32+(I41-I32)/(I41-H41)*IS!J32</f>
        <v>#N/A</v>
      </c>
      <c r="K29" s="163" t="e">
        <f ca="1">(K23-J41)/(K41-J41)*IS!L32+(J41-J32)/(J41-I41)*IS!K32</f>
        <v>#N/A</v>
      </c>
      <c r="L29" s="163" t="e">
        <f ca="1">(L23-K41)/(L41-K41)*IS!M32+(K41-K32)/(K41-J41)*IS!L32</f>
        <v>#N/A</v>
      </c>
      <c r="M29" s="163" t="e">
        <f ca="1">(M23-L41)/(M41-L41)*IS!N32+(L41-L32)/(L41-K41)*IS!M32</f>
        <v>#N/A</v>
      </c>
      <c r="N29" s="163" t="e">
        <f ca="1">(N23-M41)/(N41-M41)*IS!O32+(M41-M32)/(M41-L41)*IS!N32</f>
        <v>#N/A</v>
      </c>
      <c r="O29" s="163" t="e">
        <f ca="1">(O23-N41)/(O41-N41)*IS!P32+(N41-N32)/(N41-M41)*IS!O32</f>
        <v>#N/A</v>
      </c>
      <c r="P29" s="163" t="e">
        <f ca="1">(P23-O41)/(P41-O41)*IS!Q32+(O41-O32)/(O41-N41)*IS!P32</f>
        <v>#N/A</v>
      </c>
      <c r="Q29" s="163" t="e">
        <f ca="1">(Q23-P41)/(Q41-P41)*IS!R32+(P41-P32)/(P41-O41)*IS!Q32</f>
        <v>#N/A</v>
      </c>
      <c r="R29" s="163" t="e">
        <f ca="1">(R23-Q41)/(R41-Q41)*IS!S32+(Q41-Q32)/(Q41-P41)*IS!R32</f>
        <v>#N/A</v>
      </c>
      <c r="S29" s="163" t="e">
        <f ca="1">(S23-R41)/(S41-R41)*IS!T32+(R41-R32)/(R41-Q41)*IS!S32</f>
        <v>#N/A</v>
      </c>
      <c r="T29" s="163" t="e">
        <f ca="1">(T23-S41)/(T41-S41)*IS!U32+(S41-S32)/(S41-R41)*IS!T32</f>
        <v>#N/A</v>
      </c>
      <c r="U29" s="163" t="e">
        <f ca="1">(U23-T41)/(U41-T41)*IS!V32+(T41-T32)/(T41-S41)*IS!U32</f>
        <v>#N/A</v>
      </c>
      <c r="V29" s="163" t="e">
        <f ca="1">(V23-U41)/(V41-U41)*IS!W32+(U41-U32)/(U41-T41)*IS!V32</f>
        <v>#N/A</v>
      </c>
      <c r="W29" s="163" t="e">
        <f ca="1">(W23-V41)/(W41-V41)*IS!X32+(V41-V32)/(V41-U41)*IS!W32</f>
        <v>#N/A</v>
      </c>
      <c r="X29" s="163" t="e">
        <f ca="1">(X23-W41)/(X41-W41)*IS!Y32+(W41-W32)/(W41-V41)*IS!X32</f>
        <v>#N/A</v>
      </c>
      <c r="Y29" s="163" t="e">
        <f ca="1">(Y23-X41)/(Y41-X41)*IS!Z32+(X41-X32)/(X41-W41)*IS!Y32</f>
        <v>#N/A</v>
      </c>
      <c r="Z29" s="163" t="e">
        <f ca="1">(Z23-Y41)/(Z41-Y41)*IS!AA32+(Y41-Y32)/(Y41-X41)*IS!Z32</f>
        <v>#N/A</v>
      </c>
      <c r="AA29" s="163" t="e">
        <f ca="1">(AA23-Z41)/(AA41-Z41)*IS!AB32+(Z41-Z32)/(Z41-Y41)*IS!AA32</f>
        <v>#N/A</v>
      </c>
      <c r="AB29" s="163" t="e">
        <f ca="1">(AB23-AA41)/(AB41-AA41)*IS!AC32+(AA41-AA32)/(AA41-Z41)*IS!AB32</f>
        <v>#N/A</v>
      </c>
      <c r="AC29" s="163" t="e">
        <f ca="1">(AC23-AB41)/(AC41-AB41)*IS!AD32+(AB41-AB32)/(AB41-AA41)*IS!AC32</f>
        <v>#N/A</v>
      </c>
      <c r="AD29" s="163" t="e">
        <f ca="1">(AD23-AC41)/(AD41-AC41)*IS!AE32+(AC41-AC32)/(AC41-AB41)*IS!AD32</f>
        <v>#N/A</v>
      </c>
      <c r="AE29" s="163" t="e">
        <f ca="1">(AE23-AD41)/(AE41-AD41)*IS!AF32+(AD41-AD32)/(AD41-AC41)*IS!AE32</f>
        <v>#N/A</v>
      </c>
      <c r="AF29" s="163" t="e">
        <f ca="1">(AF23-AE41)/(AG23-AE41)*IS!AG32+(AE41-AE32)/(AE41-AD41)*IS!AF32</f>
        <v>#N/A</v>
      </c>
      <c r="AG29"/>
    </row>
    <row r="30" spans="1:33">
      <c r="A30" s="388" t="s">
        <v>0</v>
      </c>
      <c r="B30" s="390"/>
      <c r="C30" s="389" t="e">
        <f ca="1">IF(C28&gt;0.1,C29/(C27+C26+B44)," ")</f>
        <v>#N/A</v>
      </c>
      <c r="D30" s="389" t="e">
        <f t="shared" ref="D30:AF30" ca="1" si="7">IF(D28&gt;0.1,D29/(D27+D26+C44)," ")</f>
        <v>#N/A</v>
      </c>
      <c r="E30" s="389" t="e">
        <f t="shared" ca="1" si="7"/>
        <v>#N/A</v>
      </c>
      <c r="F30" s="389" t="e">
        <f t="shared" ca="1" si="7"/>
        <v>#N/A</v>
      </c>
      <c r="G30" s="389" t="e">
        <f t="shared" ca="1" si="7"/>
        <v>#N/A</v>
      </c>
      <c r="H30" s="389" t="e">
        <f t="shared" ca="1" si="7"/>
        <v>#N/A</v>
      </c>
      <c r="I30" s="389" t="e">
        <f t="shared" ca="1" si="7"/>
        <v>#N/A</v>
      </c>
      <c r="J30" s="389" t="e">
        <f t="shared" ca="1" si="7"/>
        <v>#N/A</v>
      </c>
      <c r="K30" s="389" t="e">
        <f t="shared" ca="1" si="7"/>
        <v>#N/A</v>
      </c>
      <c r="L30" s="389" t="e">
        <f t="shared" ca="1" si="7"/>
        <v>#N/A</v>
      </c>
      <c r="M30" s="389" t="e">
        <f t="shared" ca="1" si="7"/>
        <v>#N/A</v>
      </c>
      <c r="N30" s="389" t="e">
        <f t="shared" ca="1" si="7"/>
        <v>#N/A</v>
      </c>
      <c r="O30" s="389" t="e">
        <f t="shared" ca="1" si="7"/>
        <v>#N/A</v>
      </c>
      <c r="P30" s="389" t="e">
        <f t="shared" ca="1" si="7"/>
        <v>#N/A</v>
      </c>
      <c r="Q30" s="389" t="e">
        <f t="shared" ca="1" si="7"/>
        <v>#N/A</v>
      </c>
      <c r="R30" s="389" t="e">
        <f t="shared" ca="1" si="7"/>
        <v>#N/A</v>
      </c>
      <c r="S30" s="389" t="e">
        <f t="shared" ca="1" si="7"/>
        <v>#N/A</v>
      </c>
      <c r="T30" s="389" t="e">
        <f t="shared" ca="1" si="7"/>
        <v>#N/A</v>
      </c>
      <c r="U30" s="389" t="e">
        <f t="shared" ca="1" si="7"/>
        <v>#N/A</v>
      </c>
      <c r="V30" s="389" t="e">
        <f t="shared" ca="1" si="7"/>
        <v>#N/A</v>
      </c>
      <c r="W30" s="389" t="e">
        <f t="shared" ca="1" si="7"/>
        <v>#N/A</v>
      </c>
      <c r="X30" s="389" t="e">
        <f t="shared" ca="1" si="7"/>
        <v>#N/A</v>
      </c>
      <c r="Y30" s="389" t="e">
        <f t="shared" ca="1" si="7"/>
        <v>#N/A</v>
      </c>
      <c r="Z30" s="389" t="e">
        <f t="shared" ca="1" si="7"/>
        <v>#N/A</v>
      </c>
      <c r="AA30" s="389" t="e">
        <f t="shared" ca="1" si="7"/>
        <v>#N/A</v>
      </c>
      <c r="AB30" s="389" t="e">
        <f t="shared" ca="1" si="7"/>
        <v>#N/A</v>
      </c>
      <c r="AC30" s="389" t="e">
        <f t="shared" ca="1" si="7"/>
        <v>#N/A</v>
      </c>
      <c r="AD30" s="389" t="e">
        <f t="shared" ca="1" si="7"/>
        <v>#N/A</v>
      </c>
      <c r="AE30" s="389" t="e">
        <f t="shared" ca="1" si="7"/>
        <v>#N/A</v>
      </c>
      <c r="AF30" s="389" t="e">
        <f t="shared" ca="1" si="7"/>
        <v>#N/A</v>
      </c>
      <c r="AG30"/>
    </row>
    <row r="31" spans="1:33">
      <c r="A31" s="11"/>
      <c r="B31" s="364"/>
      <c r="C31" s="53"/>
      <c r="AG31"/>
    </row>
    <row r="32" spans="1:33">
      <c r="A32" s="387" t="s">
        <v>415</v>
      </c>
      <c r="B32" s="375">
        <v>37165</v>
      </c>
      <c r="C32" s="375">
        <v>37530</v>
      </c>
      <c r="D32" s="375">
        <v>37895</v>
      </c>
      <c r="E32" s="375">
        <v>38261</v>
      </c>
      <c r="F32" s="375">
        <v>38626</v>
      </c>
      <c r="G32" s="375">
        <v>38991</v>
      </c>
      <c r="H32" s="375">
        <v>39356</v>
      </c>
      <c r="I32" s="375">
        <v>39722</v>
      </c>
      <c r="J32" s="375">
        <v>40087</v>
      </c>
      <c r="K32" s="375">
        <v>40452</v>
      </c>
      <c r="L32" s="375">
        <v>40817</v>
      </c>
      <c r="M32" s="375">
        <v>41183</v>
      </c>
      <c r="N32" s="375">
        <v>41548</v>
      </c>
      <c r="O32" s="375">
        <v>41913</v>
      </c>
      <c r="P32" s="375">
        <v>42278</v>
      </c>
      <c r="Q32" s="375">
        <v>42644</v>
      </c>
      <c r="R32" s="375">
        <v>43009</v>
      </c>
      <c r="S32" s="375">
        <v>43374</v>
      </c>
      <c r="T32" s="375">
        <v>43739</v>
      </c>
      <c r="U32" s="375">
        <v>44105</v>
      </c>
      <c r="V32" s="375">
        <v>44470</v>
      </c>
      <c r="W32" s="375">
        <v>44835</v>
      </c>
      <c r="X32" s="375">
        <v>45200</v>
      </c>
      <c r="Y32" s="375">
        <v>45566</v>
      </c>
      <c r="Z32" s="375">
        <v>45931</v>
      </c>
      <c r="AA32" s="375">
        <v>46296</v>
      </c>
      <c r="AB32" s="375">
        <v>46661</v>
      </c>
      <c r="AC32" s="375">
        <v>47027</v>
      </c>
      <c r="AD32" s="375">
        <v>47392</v>
      </c>
      <c r="AE32" s="375">
        <v>47757</v>
      </c>
      <c r="AF32" s="375">
        <v>47969</v>
      </c>
      <c r="AG32"/>
    </row>
    <row r="33" spans="1:39">
      <c r="A33" s="48" t="s">
        <v>56</v>
      </c>
      <c r="B33" s="365">
        <f>B19</f>
        <v>59653.800966475392</v>
      </c>
      <c r="C33" s="48" t="e">
        <f ca="1">C28</f>
        <v>#N/A</v>
      </c>
      <c r="D33" s="48" t="e">
        <f t="shared" ref="D33:AF33" ca="1" si="8">D28</f>
        <v>#N/A</v>
      </c>
      <c r="E33" s="48" t="e">
        <f t="shared" ca="1" si="8"/>
        <v>#N/A</v>
      </c>
      <c r="F33" s="48" t="e">
        <f t="shared" ca="1" si="8"/>
        <v>#N/A</v>
      </c>
      <c r="G33" s="48" t="e">
        <f t="shared" ca="1" si="8"/>
        <v>#N/A</v>
      </c>
      <c r="H33" s="48" t="e">
        <f t="shared" ca="1" si="8"/>
        <v>#N/A</v>
      </c>
      <c r="I33" s="48" t="e">
        <f t="shared" ca="1" si="8"/>
        <v>#N/A</v>
      </c>
      <c r="J33" s="48" t="e">
        <f t="shared" ca="1" si="8"/>
        <v>#N/A</v>
      </c>
      <c r="K33" s="48" t="e">
        <f t="shared" ca="1" si="8"/>
        <v>#N/A</v>
      </c>
      <c r="L33" s="48" t="e">
        <f t="shared" ca="1" si="8"/>
        <v>#N/A</v>
      </c>
      <c r="M33" s="48" t="e">
        <f t="shared" ca="1" si="8"/>
        <v>#N/A</v>
      </c>
      <c r="N33" s="48" t="e">
        <f t="shared" ca="1" si="8"/>
        <v>#N/A</v>
      </c>
      <c r="O33" s="48" t="e">
        <f t="shared" ca="1" si="8"/>
        <v>#N/A</v>
      </c>
      <c r="P33" s="48" t="e">
        <f t="shared" ca="1" si="8"/>
        <v>#N/A</v>
      </c>
      <c r="Q33" s="48" t="e">
        <f t="shared" ca="1" si="8"/>
        <v>#N/A</v>
      </c>
      <c r="R33" s="48" t="e">
        <f t="shared" ca="1" si="8"/>
        <v>#N/A</v>
      </c>
      <c r="S33" s="48" t="e">
        <f t="shared" ca="1" si="8"/>
        <v>#N/A</v>
      </c>
      <c r="T33" s="48" t="e">
        <f t="shared" ca="1" si="8"/>
        <v>#N/A</v>
      </c>
      <c r="U33" s="48" t="e">
        <f t="shared" ca="1" si="8"/>
        <v>#N/A</v>
      </c>
      <c r="V33" s="48" t="e">
        <f t="shared" ca="1" si="8"/>
        <v>#N/A</v>
      </c>
      <c r="W33" s="48" t="e">
        <f t="shared" ca="1" si="8"/>
        <v>#N/A</v>
      </c>
      <c r="X33" s="48" t="e">
        <f t="shared" ca="1" si="8"/>
        <v>#N/A</v>
      </c>
      <c r="Y33" s="48" t="e">
        <f t="shared" ca="1" si="8"/>
        <v>#N/A</v>
      </c>
      <c r="Z33" s="48" t="e">
        <f t="shared" ca="1" si="8"/>
        <v>#N/A</v>
      </c>
      <c r="AA33" s="48" t="e">
        <f t="shared" ca="1" si="8"/>
        <v>#N/A</v>
      </c>
      <c r="AB33" s="48" t="e">
        <f t="shared" ca="1" si="8"/>
        <v>#N/A</v>
      </c>
      <c r="AC33" s="48" t="e">
        <f t="shared" ca="1" si="8"/>
        <v>#N/A</v>
      </c>
      <c r="AD33" s="48" t="e">
        <f t="shared" ca="1" si="8"/>
        <v>#N/A</v>
      </c>
      <c r="AE33" s="48" t="e">
        <f t="shared" ca="1" si="8"/>
        <v>#N/A</v>
      </c>
      <c r="AF33" s="48" t="e">
        <f t="shared" ca="1" si="8"/>
        <v>#N/A</v>
      </c>
      <c r="AG33"/>
    </row>
    <row r="34" spans="1:39">
      <c r="A34" s="48" t="s">
        <v>328</v>
      </c>
      <c r="B34" s="365">
        <v>0</v>
      </c>
      <c r="C34" s="365">
        <v>0</v>
      </c>
      <c r="D34" s="365">
        <v>0</v>
      </c>
      <c r="E34" s="365">
        <v>0</v>
      </c>
      <c r="F34" s="365">
        <v>0</v>
      </c>
      <c r="G34" s="365">
        <v>0</v>
      </c>
      <c r="H34" s="365">
        <v>0</v>
      </c>
      <c r="I34" s="365">
        <v>0</v>
      </c>
      <c r="J34" s="365">
        <v>0</v>
      </c>
      <c r="K34" s="365">
        <v>0</v>
      </c>
      <c r="L34" s="365">
        <v>0</v>
      </c>
      <c r="M34" s="365">
        <v>0</v>
      </c>
      <c r="N34" s="365">
        <v>0</v>
      </c>
      <c r="O34" s="365">
        <v>0</v>
      </c>
      <c r="P34" s="365">
        <v>0</v>
      </c>
      <c r="Q34" s="365">
        <v>0</v>
      </c>
      <c r="R34" s="365">
        <v>0</v>
      </c>
      <c r="S34" s="365">
        <v>0</v>
      </c>
      <c r="T34" s="365">
        <v>0</v>
      </c>
      <c r="U34" s="365">
        <v>0</v>
      </c>
      <c r="V34" s="365">
        <v>0</v>
      </c>
      <c r="W34" s="365">
        <v>0</v>
      </c>
      <c r="X34" s="365">
        <v>0</v>
      </c>
      <c r="Y34" s="365">
        <v>0</v>
      </c>
      <c r="Z34" s="365">
        <v>0</v>
      </c>
      <c r="AA34" s="365">
        <v>0</v>
      </c>
      <c r="AB34" s="365">
        <v>0</v>
      </c>
      <c r="AC34" s="365">
        <v>0</v>
      </c>
      <c r="AD34" s="365">
        <v>0</v>
      </c>
      <c r="AE34" s="365">
        <v>0</v>
      </c>
      <c r="AF34" s="365">
        <v>0</v>
      </c>
      <c r="AG34"/>
    </row>
    <row r="35" spans="1:39">
      <c r="A35" s="48" t="s">
        <v>57</v>
      </c>
      <c r="B35" s="48" t="e">
        <f ca="1">B33-B37</f>
        <v>#N/A</v>
      </c>
      <c r="C35" s="48" t="e">
        <f ca="1">C33-C37</f>
        <v>#N/A</v>
      </c>
      <c r="D35" s="48" t="e">
        <f t="shared" ref="D35:AF35" ca="1" si="9">D33-D37</f>
        <v>#N/A</v>
      </c>
      <c r="E35" s="48" t="e">
        <f t="shared" ca="1" si="9"/>
        <v>#N/A</v>
      </c>
      <c r="F35" s="48" t="e">
        <f t="shared" ca="1" si="9"/>
        <v>#N/A</v>
      </c>
      <c r="G35" s="48" t="e">
        <f t="shared" ca="1" si="9"/>
        <v>#N/A</v>
      </c>
      <c r="H35" s="48" t="e">
        <f t="shared" ca="1" si="9"/>
        <v>#N/A</v>
      </c>
      <c r="I35" s="48" t="e">
        <f t="shared" ca="1" si="9"/>
        <v>#N/A</v>
      </c>
      <c r="J35" s="48" t="e">
        <f t="shared" ca="1" si="9"/>
        <v>#N/A</v>
      </c>
      <c r="K35" s="48" t="e">
        <f t="shared" ca="1" si="9"/>
        <v>#N/A</v>
      </c>
      <c r="L35" s="48" t="e">
        <f t="shared" ca="1" si="9"/>
        <v>#N/A</v>
      </c>
      <c r="M35" s="48" t="e">
        <f t="shared" ca="1" si="9"/>
        <v>#N/A</v>
      </c>
      <c r="N35" s="48" t="e">
        <f t="shared" ca="1" si="9"/>
        <v>#N/A</v>
      </c>
      <c r="O35" s="48" t="e">
        <f t="shared" ca="1" si="9"/>
        <v>#N/A</v>
      </c>
      <c r="P35" s="48" t="e">
        <f t="shared" ca="1" si="9"/>
        <v>#N/A</v>
      </c>
      <c r="Q35" s="48" t="e">
        <f t="shared" ca="1" si="9"/>
        <v>#N/A</v>
      </c>
      <c r="R35" s="48" t="e">
        <f t="shared" ca="1" si="9"/>
        <v>#N/A</v>
      </c>
      <c r="S35" s="48" t="e">
        <f t="shared" ca="1" si="9"/>
        <v>#N/A</v>
      </c>
      <c r="T35" s="48" t="e">
        <f t="shared" ca="1" si="9"/>
        <v>#N/A</v>
      </c>
      <c r="U35" s="48" t="e">
        <f t="shared" ca="1" si="9"/>
        <v>#N/A</v>
      </c>
      <c r="V35" s="48" t="e">
        <f t="shared" ca="1" si="9"/>
        <v>#N/A</v>
      </c>
      <c r="W35" s="48" t="e">
        <f t="shared" ca="1" si="9"/>
        <v>#N/A</v>
      </c>
      <c r="X35" s="48" t="e">
        <f t="shared" ca="1" si="9"/>
        <v>#N/A</v>
      </c>
      <c r="Y35" s="48" t="e">
        <f t="shared" ca="1" si="9"/>
        <v>#N/A</v>
      </c>
      <c r="Z35" s="48" t="e">
        <f t="shared" ca="1" si="9"/>
        <v>#N/A</v>
      </c>
      <c r="AA35" s="48" t="e">
        <f t="shared" ca="1" si="9"/>
        <v>#N/A</v>
      </c>
      <c r="AB35" s="48" t="e">
        <f t="shared" ca="1" si="9"/>
        <v>#N/A</v>
      </c>
      <c r="AC35" s="48" t="e">
        <f t="shared" ca="1" si="9"/>
        <v>#N/A</v>
      </c>
      <c r="AD35" s="48" t="e">
        <f t="shared" ca="1" si="9"/>
        <v>#N/A</v>
      </c>
      <c r="AE35" s="48" t="e">
        <f t="shared" ca="1" si="9"/>
        <v>#N/A</v>
      </c>
      <c r="AF35" s="48" t="e">
        <f t="shared" ca="1" si="9"/>
        <v>#N/A</v>
      </c>
      <c r="AG35"/>
    </row>
    <row r="36" spans="1:39">
      <c r="A36" s="48" t="s">
        <v>58</v>
      </c>
      <c r="B36" s="368">
        <f>B33*(B32-Assumptions!H17)/365.25*$E$64</f>
        <v>1956.5956747386133</v>
      </c>
      <c r="C36" s="368" t="e">
        <f t="shared" ref="C36:AF36" ca="1" si="10">C33*(C32-C23)/(C41-B41)*$E$64</f>
        <v>#N/A</v>
      </c>
      <c r="D36" s="368" t="e">
        <f t="shared" ca="1" si="10"/>
        <v>#N/A</v>
      </c>
      <c r="E36" s="368" t="e">
        <f t="shared" ca="1" si="10"/>
        <v>#N/A</v>
      </c>
      <c r="F36" s="368" t="e">
        <f t="shared" ca="1" si="10"/>
        <v>#N/A</v>
      </c>
      <c r="G36" s="368" t="e">
        <f t="shared" ca="1" si="10"/>
        <v>#N/A</v>
      </c>
      <c r="H36" s="368" t="e">
        <f t="shared" ca="1" si="10"/>
        <v>#N/A</v>
      </c>
      <c r="I36" s="368" t="e">
        <f t="shared" ca="1" si="10"/>
        <v>#N/A</v>
      </c>
      <c r="J36" s="368" t="e">
        <f t="shared" ca="1" si="10"/>
        <v>#N/A</v>
      </c>
      <c r="K36" s="368" t="e">
        <f t="shared" ca="1" si="10"/>
        <v>#N/A</v>
      </c>
      <c r="L36" s="368" t="e">
        <f t="shared" ca="1" si="10"/>
        <v>#N/A</v>
      </c>
      <c r="M36" s="368" t="e">
        <f t="shared" ca="1" si="10"/>
        <v>#N/A</v>
      </c>
      <c r="N36" s="368" t="e">
        <f t="shared" ca="1" si="10"/>
        <v>#N/A</v>
      </c>
      <c r="O36" s="368" t="e">
        <f t="shared" ca="1" si="10"/>
        <v>#N/A</v>
      </c>
      <c r="P36" s="368" t="e">
        <f t="shared" ca="1" si="10"/>
        <v>#N/A</v>
      </c>
      <c r="Q36" s="368" t="e">
        <f t="shared" ca="1" si="10"/>
        <v>#N/A</v>
      </c>
      <c r="R36" s="368" t="e">
        <f t="shared" ca="1" si="10"/>
        <v>#N/A</v>
      </c>
      <c r="S36" s="368" t="e">
        <f t="shared" ca="1" si="10"/>
        <v>#N/A</v>
      </c>
      <c r="T36" s="368" t="e">
        <f t="shared" ca="1" si="10"/>
        <v>#N/A</v>
      </c>
      <c r="U36" s="368" t="e">
        <f t="shared" ca="1" si="10"/>
        <v>#N/A</v>
      </c>
      <c r="V36" s="368" t="e">
        <f t="shared" ca="1" si="10"/>
        <v>#N/A</v>
      </c>
      <c r="W36" s="368" t="e">
        <f t="shared" ca="1" si="10"/>
        <v>#N/A</v>
      </c>
      <c r="X36" s="368" t="e">
        <f t="shared" ca="1" si="10"/>
        <v>#N/A</v>
      </c>
      <c r="Y36" s="368" t="e">
        <f t="shared" ca="1" si="10"/>
        <v>#N/A</v>
      </c>
      <c r="Z36" s="368" t="e">
        <f t="shared" ca="1" si="10"/>
        <v>#N/A</v>
      </c>
      <c r="AA36" s="368" t="e">
        <f t="shared" ca="1" si="10"/>
        <v>#N/A</v>
      </c>
      <c r="AB36" s="368" t="e">
        <f t="shared" ca="1" si="10"/>
        <v>#N/A</v>
      </c>
      <c r="AC36" s="368" t="e">
        <f t="shared" ca="1" si="10"/>
        <v>#N/A</v>
      </c>
      <c r="AD36" s="368" t="e">
        <f t="shared" ca="1" si="10"/>
        <v>#N/A</v>
      </c>
      <c r="AE36" s="368" t="e">
        <f t="shared" ca="1" si="10"/>
        <v>#N/A</v>
      </c>
      <c r="AF36" s="368" t="e">
        <f t="shared" ca="1" si="10"/>
        <v>#N/A</v>
      </c>
      <c r="AG36"/>
    </row>
    <row r="37" spans="1:39">
      <c r="A37" s="48" t="s">
        <v>59</v>
      </c>
      <c r="B37" s="163" t="e">
        <f ca="1">MAX(B33+B34+B36-B13,0)</f>
        <v>#N/A</v>
      </c>
      <c r="C37" s="163" t="e">
        <f ca="1">MAX(C33+C34+C36-0.5*C13,0)</f>
        <v>#N/A</v>
      </c>
      <c r="D37" s="163" t="e">
        <f t="shared" ref="D37:AF37" ca="1" si="11">MAX(D33+D34+D36-0.5*D13,0)</f>
        <v>#N/A</v>
      </c>
      <c r="E37" s="163" t="e">
        <f t="shared" ca="1" si="11"/>
        <v>#N/A</v>
      </c>
      <c r="F37" s="163" t="e">
        <f t="shared" ca="1" si="11"/>
        <v>#N/A</v>
      </c>
      <c r="G37" s="163" t="e">
        <f t="shared" ca="1" si="11"/>
        <v>#N/A</v>
      </c>
      <c r="H37" s="163" t="e">
        <f t="shared" ca="1" si="11"/>
        <v>#N/A</v>
      </c>
      <c r="I37" s="163" t="e">
        <f t="shared" ca="1" si="11"/>
        <v>#N/A</v>
      </c>
      <c r="J37" s="163" t="e">
        <f t="shared" ca="1" si="11"/>
        <v>#N/A</v>
      </c>
      <c r="K37" s="163" t="e">
        <f t="shared" ca="1" si="11"/>
        <v>#N/A</v>
      </c>
      <c r="L37" s="163" t="e">
        <f t="shared" ca="1" si="11"/>
        <v>#N/A</v>
      </c>
      <c r="M37" s="163" t="e">
        <f t="shared" ca="1" si="11"/>
        <v>#N/A</v>
      </c>
      <c r="N37" s="163" t="e">
        <f t="shared" ca="1" si="11"/>
        <v>#N/A</v>
      </c>
      <c r="O37" s="163" t="e">
        <f t="shared" ca="1" si="11"/>
        <v>#N/A</v>
      </c>
      <c r="P37" s="163" t="e">
        <f t="shared" ca="1" si="11"/>
        <v>#N/A</v>
      </c>
      <c r="Q37" s="163" t="e">
        <f t="shared" ca="1" si="11"/>
        <v>#N/A</v>
      </c>
      <c r="R37" s="163" t="e">
        <f t="shared" ca="1" si="11"/>
        <v>#N/A</v>
      </c>
      <c r="S37" s="163" t="e">
        <f t="shared" ca="1" si="11"/>
        <v>#N/A</v>
      </c>
      <c r="T37" s="163" t="e">
        <f t="shared" ca="1" si="11"/>
        <v>#N/A</v>
      </c>
      <c r="U37" s="163" t="e">
        <f t="shared" ca="1" si="11"/>
        <v>#N/A</v>
      </c>
      <c r="V37" s="163" t="e">
        <f t="shared" ca="1" si="11"/>
        <v>#N/A</v>
      </c>
      <c r="W37" s="163" t="e">
        <f t="shared" ca="1" si="11"/>
        <v>#N/A</v>
      </c>
      <c r="X37" s="163" t="e">
        <f t="shared" ca="1" si="11"/>
        <v>#N/A</v>
      </c>
      <c r="Y37" s="163" t="e">
        <f t="shared" ca="1" si="11"/>
        <v>#N/A</v>
      </c>
      <c r="Z37" s="163" t="e">
        <f t="shared" ca="1" si="11"/>
        <v>#N/A</v>
      </c>
      <c r="AA37" s="163" t="e">
        <f t="shared" ca="1" si="11"/>
        <v>#N/A</v>
      </c>
      <c r="AB37" s="163" t="e">
        <f t="shared" ca="1" si="11"/>
        <v>#N/A</v>
      </c>
      <c r="AC37" s="163" t="e">
        <f t="shared" ca="1" si="11"/>
        <v>#N/A</v>
      </c>
      <c r="AD37" s="163" t="e">
        <f t="shared" ca="1" si="11"/>
        <v>#N/A</v>
      </c>
      <c r="AE37" s="163" t="e">
        <f t="shared" ca="1" si="11"/>
        <v>#N/A</v>
      </c>
      <c r="AF37" s="163" t="e">
        <f t="shared" ca="1" si="11"/>
        <v>#N/A</v>
      </c>
      <c r="AG37"/>
    </row>
    <row r="38" spans="1:39">
      <c r="A38" s="48" t="s">
        <v>330</v>
      </c>
      <c r="B38" s="163" t="e">
        <f ca="1">(B32-Assumptions!H17)/(Debt!B41-Assumptions!H17)*IS!C32</f>
        <v>#N/A</v>
      </c>
      <c r="C38" s="163" t="e">
        <f ca="1">(C32-C23)/(C41-B41)*IS!D32</f>
        <v>#N/A</v>
      </c>
      <c r="D38" s="163" t="e">
        <f ca="1">(D32-D23)/(D41-C41)*IS!E32</f>
        <v>#N/A</v>
      </c>
      <c r="E38" s="163" t="e">
        <f ca="1">(E32-E23)/(E41-D41)*IS!F32</f>
        <v>#N/A</v>
      </c>
      <c r="F38" s="163" t="e">
        <f ca="1">(F32-F23)/(F41-E41)*IS!G32</f>
        <v>#N/A</v>
      </c>
      <c r="G38" s="163" t="e">
        <f ca="1">(G32-G23)/(G41-F41)*IS!H32</f>
        <v>#N/A</v>
      </c>
      <c r="H38" s="163" t="e">
        <f ca="1">(H32-H23)/(H41-G41)*IS!I32</f>
        <v>#N/A</v>
      </c>
      <c r="I38" s="163" t="e">
        <f ca="1">(I32-I23)/(I41-H41)*IS!J32</f>
        <v>#N/A</v>
      </c>
      <c r="J38" s="163" t="e">
        <f ca="1">(J32-J23)/(J41-I41)*IS!K32</f>
        <v>#N/A</v>
      </c>
      <c r="K38" s="163" t="e">
        <f ca="1">(K32-K23)/(K41-J41)*IS!L32</f>
        <v>#N/A</v>
      </c>
      <c r="L38" s="163" t="e">
        <f ca="1">(L32-L23)/(L41-K41)*IS!M32</f>
        <v>#N/A</v>
      </c>
      <c r="M38" s="163" t="e">
        <f ca="1">(M32-M23)/(M41-L41)*IS!N32</f>
        <v>#N/A</v>
      </c>
      <c r="N38" s="163" t="e">
        <f ca="1">(N32-N23)/(N41-M41)*IS!O32</f>
        <v>#N/A</v>
      </c>
      <c r="O38" s="163" t="e">
        <f ca="1">(O32-O23)/(O41-N41)*IS!P32</f>
        <v>#N/A</v>
      </c>
      <c r="P38" s="163" t="e">
        <f ca="1">(P32-P23)/(P41-O41)*IS!Q32</f>
        <v>#N/A</v>
      </c>
      <c r="Q38" s="163" t="e">
        <f ca="1">(Q32-Q23)/(Q41-P41)*IS!R32</f>
        <v>#N/A</v>
      </c>
      <c r="R38" s="163" t="e">
        <f ca="1">(R32-R23)/(R41-Q41)*IS!S32</f>
        <v>#N/A</v>
      </c>
      <c r="S38" s="163" t="e">
        <f ca="1">(S32-S23)/(S41-R41)*IS!T32</f>
        <v>#N/A</v>
      </c>
      <c r="T38" s="163" t="e">
        <f ca="1">(T32-T23)/(T41-S41)*IS!U32</f>
        <v>#N/A</v>
      </c>
      <c r="U38" s="163" t="e">
        <f ca="1">(U32-U23)/(U41-T41)*IS!V32</f>
        <v>#N/A</v>
      </c>
      <c r="V38" s="163" t="e">
        <f ca="1">(V32-V23)/(V41-U41)*IS!W32</f>
        <v>#N/A</v>
      </c>
      <c r="W38" s="163" t="e">
        <f ca="1">(W32-W23)/(W41-V41)*IS!X32</f>
        <v>#N/A</v>
      </c>
      <c r="X38" s="163" t="e">
        <f ca="1">(X32-X23)/(X41-W41)*IS!Y32</f>
        <v>#N/A</v>
      </c>
      <c r="Y38" s="163" t="e">
        <f ca="1">(Y32-Y23)/(Y41-X41)*IS!Z32</f>
        <v>#N/A</v>
      </c>
      <c r="Z38" s="163" t="e">
        <f ca="1">(Z32-Z23)/(Z41-Y41)*IS!AA32</f>
        <v>#N/A</v>
      </c>
      <c r="AA38" s="163" t="e">
        <f ca="1">(AA32-AA23)/(AA41-Z41)*IS!AB32</f>
        <v>#N/A</v>
      </c>
      <c r="AB38" s="163" t="e">
        <f ca="1">(AB32-AB23)/(AB41-AA41)*IS!AC32</f>
        <v>#N/A</v>
      </c>
      <c r="AC38" s="163" t="e">
        <f ca="1">(AC32-AC23)/(AC41-AB41)*IS!AD32</f>
        <v>#N/A</v>
      </c>
      <c r="AD38" s="163" t="e">
        <f ca="1">(AD32-AD23)/(AD41-AC41)*IS!AE32</f>
        <v>#N/A</v>
      </c>
      <c r="AE38" s="163" t="e">
        <f ca="1">(AE32-AE23)/(AE41-AD41)*IS!AF32</f>
        <v>#N/A</v>
      </c>
      <c r="AF38" s="163" t="e">
        <f ca="1">(AF32-AF23)/(AG23-AE41)*IS!AG32</f>
        <v>#N/A</v>
      </c>
      <c r="AG38"/>
    </row>
    <row r="39" spans="1:39">
      <c r="A39" s="388" t="s">
        <v>0</v>
      </c>
      <c r="B39" s="389" t="e">
        <f t="shared" ref="B39:AF39" ca="1" si="12">IF(B37&gt;0.1,B38/(B36+B35)," ")</f>
        <v>#N/A</v>
      </c>
      <c r="C39" s="389" t="e">
        <f t="shared" ca="1" si="12"/>
        <v>#N/A</v>
      </c>
      <c r="D39" s="389" t="e">
        <f t="shared" ca="1" si="12"/>
        <v>#N/A</v>
      </c>
      <c r="E39" s="389" t="e">
        <f t="shared" ca="1" si="12"/>
        <v>#N/A</v>
      </c>
      <c r="F39" s="389" t="e">
        <f t="shared" ca="1" si="12"/>
        <v>#N/A</v>
      </c>
      <c r="G39" s="389" t="e">
        <f t="shared" ca="1" si="12"/>
        <v>#N/A</v>
      </c>
      <c r="H39" s="389" t="e">
        <f t="shared" ca="1" si="12"/>
        <v>#N/A</v>
      </c>
      <c r="I39" s="389" t="e">
        <f t="shared" ca="1" si="12"/>
        <v>#N/A</v>
      </c>
      <c r="J39" s="389" t="e">
        <f t="shared" ca="1" si="12"/>
        <v>#N/A</v>
      </c>
      <c r="K39" s="389" t="e">
        <f t="shared" ca="1" si="12"/>
        <v>#N/A</v>
      </c>
      <c r="L39" s="389" t="e">
        <f t="shared" ca="1" si="12"/>
        <v>#N/A</v>
      </c>
      <c r="M39" s="389" t="e">
        <f t="shared" ca="1" si="12"/>
        <v>#N/A</v>
      </c>
      <c r="N39" s="389" t="e">
        <f t="shared" ca="1" si="12"/>
        <v>#N/A</v>
      </c>
      <c r="O39" s="389" t="e">
        <f t="shared" ca="1" si="12"/>
        <v>#N/A</v>
      </c>
      <c r="P39" s="389" t="e">
        <f t="shared" ca="1" si="12"/>
        <v>#N/A</v>
      </c>
      <c r="Q39" s="389" t="e">
        <f t="shared" ca="1" si="12"/>
        <v>#N/A</v>
      </c>
      <c r="R39" s="389" t="e">
        <f t="shared" ca="1" si="12"/>
        <v>#N/A</v>
      </c>
      <c r="S39" s="389" t="e">
        <f t="shared" ca="1" si="12"/>
        <v>#N/A</v>
      </c>
      <c r="T39" s="389" t="e">
        <f t="shared" ca="1" si="12"/>
        <v>#N/A</v>
      </c>
      <c r="U39" s="389" t="e">
        <f t="shared" ca="1" si="12"/>
        <v>#N/A</v>
      </c>
      <c r="V39" s="389" t="e">
        <f t="shared" ca="1" si="12"/>
        <v>#N/A</v>
      </c>
      <c r="W39" s="389" t="e">
        <f t="shared" ca="1" si="12"/>
        <v>#N/A</v>
      </c>
      <c r="X39" s="389" t="e">
        <f t="shared" ca="1" si="12"/>
        <v>#N/A</v>
      </c>
      <c r="Y39" s="389" t="e">
        <f t="shared" ca="1" si="12"/>
        <v>#N/A</v>
      </c>
      <c r="Z39" s="389" t="e">
        <f t="shared" ca="1" si="12"/>
        <v>#N/A</v>
      </c>
      <c r="AA39" s="389" t="e">
        <f t="shared" ca="1" si="12"/>
        <v>#N/A</v>
      </c>
      <c r="AB39" s="389" t="e">
        <f t="shared" ca="1" si="12"/>
        <v>#N/A</v>
      </c>
      <c r="AC39" s="389" t="e">
        <f t="shared" ca="1" si="12"/>
        <v>#N/A</v>
      </c>
      <c r="AD39" s="389" t="e">
        <f t="shared" ca="1" si="12"/>
        <v>#N/A</v>
      </c>
      <c r="AE39" s="389" t="e">
        <f t="shared" ca="1" si="12"/>
        <v>#N/A</v>
      </c>
      <c r="AF39" s="389" t="e">
        <f t="shared" ca="1" si="12"/>
        <v>#N/A</v>
      </c>
    </row>
    <row r="40" spans="1:39">
      <c r="A40" s="48"/>
      <c r="B40" s="163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</row>
    <row r="41" spans="1:39">
      <c r="A41"/>
      <c r="B41" s="378">
        <f>B8</f>
        <v>37256</v>
      </c>
      <c r="C41" s="378">
        <f t="shared" ref="C41:AF41" si="13">C8</f>
        <v>37621</v>
      </c>
      <c r="D41" s="378">
        <f t="shared" si="13"/>
        <v>37986</v>
      </c>
      <c r="E41" s="378">
        <f t="shared" si="13"/>
        <v>38352</v>
      </c>
      <c r="F41" s="378">
        <f t="shared" si="13"/>
        <v>38717</v>
      </c>
      <c r="G41" s="378">
        <f t="shared" si="13"/>
        <v>39082</v>
      </c>
      <c r="H41" s="378">
        <f t="shared" si="13"/>
        <v>39447</v>
      </c>
      <c r="I41" s="378">
        <f t="shared" si="13"/>
        <v>39813</v>
      </c>
      <c r="J41" s="378">
        <f t="shared" si="13"/>
        <v>40178</v>
      </c>
      <c r="K41" s="378">
        <f t="shared" si="13"/>
        <v>40543</v>
      </c>
      <c r="L41" s="378">
        <f t="shared" si="13"/>
        <v>40908</v>
      </c>
      <c r="M41" s="378">
        <f t="shared" si="13"/>
        <v>41274</v>
      </c>
      <c r="N41" s="378">
        <f t="shared" si="13"/>
        <v>41639</v>
      </c>
      <c r="O41" s="378">
        <f t="shared" si="13"/>
        <v>42004</v>
      </c>
      <c r="P41" s="378">
        <f t="shared" si="13"/>
        <v>42369</v>
      </c>
      <c r="Q41" s="378">
        <f t="shared" si="13"/>
        <v>42735</v>
      </c>
      <c r="R41" s="378">
        <f t="shared" si="13"/>
        <v>43100</v>
      </c>
      <c r="S41" s="378">
        <f t="shared" si="13"/>
        <v>43465</v>
      </c>
      <c r="T41" s="378">
        <f t="shared" si="13"/>
        <v>43830</v>
      </c>
      <c r="U41" s="378">
        <f t="shared" si="13"/>
        <v>44196</v>
      </c>
      <c r="V41" s="378">
        <f t="shared" si="13"/>
        <v>44561</v>
      </c>
      <c r="W41" s="378">
        <f t="shared" si="13"/>
        <v>44926</v>
      </c>
      <c r="X41" s="378">
        <f t="shared" si="13"/>
        <v>45291</v>
      </c>
      <c r="Y41" s="378">
        <f t="shared" si="13"/>
        <v>45657</v>
      </c>
      <c r="Z41" s="378">
        <f t="shared" si="13"/>
        <v>46022</v>
      </c>
      <c r="AA41" s="378">
        <f t="shared" si="13"/>
        <v>46387</v>
      </c>
      <c r="AB41" s="378">
        <f t="shared" si="13"/>
        <v>46752</v>
      </c>
      <c r="AC41" s="378">
        <f t="shared" si="13"/>
        <v>47118</v>
      </c>
      <c r="AD41" s="378">
        <f t="shared" si="13"/>
        <v>47483</v>
      </c>
      <c r="AE41" s="378">
        <f t="shared" si="13"/>
        <v>47848</v>
      </c>
      <c r="AF41" s="378">
        <f t="shared" si="13"/>
        <v>48213</v>
      </c>
    </row>
    <row r="42" spans="1:39">
      <c r="A42" s="48" t="s">
        <v>56</v>
      </c>
      <c r="B42" s="48" t="e">
        <f ca="1">B37</f>
        <v>#N/A</v>
      </c>
      <c r="C42" s="48" t="e">
        <f ca="1">C37</f>
        <v>#N/A</v>
      </c>
      <c r="D42" s="48" t="e">
        <f t="shared" ref="D42:AF42" ca="1" si="14">D37</f>
        <v>#N/A</v>
      </c>
      <c r="E42" s="48" t="e">
        <f t="shared" ca="1" si="14"/>
        <v>#N/A</v>
      </c>
      <c r="F42" s="48" t="e">
        <f t="shared" ca="1" si="14"/>
        <v>#N/A</v>
      </c>
      <c r="G42" s="48" t="e">
        <f t="shared" ca="1" si="14"/>
        <v>#N/A</v>
      </c>
      <c r="H42" s="48" t="e">
        <f t="shared" ca="1" si="14"/>
        <v>#N/A</v>
      </c>
      <c r="I42" s="48" t="e">
        <f t="shared" ca="1" si="14"/>
        <v>#N/A</v>
      </c>
      <c r="J42" s="48" t="e">
        <f t="shared" ca="1" si="14"/>
        <v>#N/A</v>
      </c>
      <c r="K42" s="48" t="e">
        <f t="shared" ca="1" si="14"/>
        <v>#N/A</v>
      </c>
      <c r="L42" s="48" t="e">
        <f t="shared" ca="1" si="14"/>
        <v>#N/A</v>
      </c>
      <c r="M42" s="48" t="e">
        <f t="shared" ca="1" si="14"/>
        <v>#N/A</v>
      </c>
      <c r="N42" s="48" t="e">
        <f t="shared" ca="1" si="14"/>
        <v>#N/A</v>
      </c>
      <c r="O42" s="48" t="e">
        <f t="shared" ca="1" si="14"/>
        <v>#N/A</v>
      </c>
      <c r="P42" s="48" t="e">
        <f t="shared" ca="1" si="14"/>
        <v>#N/A</v>
      </c>
      <c r="Q42" s="48" t="e">
        <f t="shared" ca="1" si="14"/>
        <v>#N/A</v>
      </c>
      <c r="R42" s="48" t="e">
        <f t="shared" ca="1" si="14"/>
        <v>#N/A</v>
      </c>
      <c r="S42" s="48" t="e">
        <f t="shared" ca="1" si="14"/>
        <v>#N/A</v>
      </c>
      <c r="T42" s="48" t="e">
        <f t="shared" ca="1" si="14"/>
        <v>#N/A</v>
      </c>
      <c r="U42" s="48" t="e">
        <f t="shared" ca="1" si="14"/>
        <v>#N/A</v>
      </c>
      <c r="V42" s="48" t="e">
        <f t="shared" ca="1" si="14"/>
        <v>#N/A</v>
      </c>
      <c r="W42" s="48" t="e">
        <f t="shared" ca="1" si="14"/>
        <v>#N/A</v>
      </c>
      <c r="X42" s="48" t="e">
        <f t="shared" ca="1" si="14"/>
        <v>#N/A</v>
      </c>
      <c r="Y42" s="48" t="e">
        <f t="shared" ca="1" si="14"/>
        <v>#N/A</v>
      </c>
      <c r="Z42" s="48" t="e">
        <f t="shared" ca="1" si="14"/>
        <v>#N/A</v>
      </c>
      <c r="AA42" s="48" t="e">
        <f t="shared" ca="1" si="14"/>
        <v>#N/A</v>
      </c>
      <c r="AB42" s="48" t="e">
        <f t="shared" ca="1" si="14"/>
        <v>#N/A</v>
      </c>
      <c r="AC42" s="48" t="e">
        <f t="shared" ca="1" si="14"/>
        <v>#N/A</v>
      </c>
      <c r="AD42" s="48" t="e">
        <f t="shared" ca="1" si="14"/>
        <v>#N/A</v>
      </c>
      <c r="AE42" s="48" t="e">
        <f t="shared" ca="1" si="14"/>
        <v>#N/A</v>
      </c>
      <c r="AF42" s="48" t="e">
        <f t="shared" ca="1" si="14"/>
        <v>#N/A</v>
      </c>
    </row>
    <row r="43" spans="1:39">
      <c r="A43" s="48" t="s">
        <v>328</v>
      </c>
      <c r="B43" s="365">
        <v>0</v>
      </c>
      <c r="C43" s="365">
        <v>0</v>
      </c>
      <c r="D43" s="365">
        <v>0</v>
      </c>
      <c r="E43" s="365">
        <v>0</v>
      </c>
      <c r="F43" s="365">
        <v>0</v>
      </c>
      <c r="G43" s="365">
        <v>0</v>
      </c>
      <c r="H43" s="365">
        <v>0</v>
      </c>
      <c r="I43" s="365">
        <v>0</v>
      </c>
      <c r="J43" s="365">
        <v>0</v>
      </c>
      <c r="K43" s="365">
        <v>0</v>
      </c>
      <c r="L43" s="365">
        <v>0</v>
      </c>
      <c r="M43" s="365">
        <v>0</v>
      </c>
      <c r="N43" s="365">
        <v>0</v>
      </c>
      <c r="O43" s="365">
        <v>0</v>
      </c>
      <c r="P43" s="365">
        <v>0</v>
      </c>
      <c r="Q43" s="365">
        <v>0</v>
      </c>
      <c r="R43" s="365">
        <v>0</v>
      </c>
      <c r="S43" s="365">
        <v>0</v>
      </c>
      <c r="T43" s="365">
        <v>0</v>
      </c>
      <c r="U43" s="365">
        <v>0</v>
      </c>
      <c r="V43" s="365">
        <v>0</v>
      </c>
      <c r="W43" s="365">
        <v>0</v>
      </c>
      <c r="X43" s="365">
        <v>0</v>
      </c>
      <c r="Y43" s="365">
        <v>0</v>
      </c>
      <c r="Z43" s="365">
        <v>0</v>
      </c>
      <c r="AA43" s="365">
        <v>0</v>
      </c>
      <c r="AB43" s="365">
        <v>0</v>
      </c>
      <c r="AC43" s="365">
        <v>0</v>
      </c>
      <c r="AD43" s="365">
        <v>0</v>
      </c>
      <c r="AE43" s="365">
        <v>0</v>
      </c>
      <c r="AF43" s="365">
        <v>0</v>
      </c>
    </row>
    <row r="44" spans="1:39">
      <c r="A44" s="48" t="s">
        <v>58</v>
      </c>
      <c r="B44" s="368" t="e">
        <f ca="1">B42*(B41-B32)/365.25*$E$64</f>
        <v>#N/A</v>
      </c>
      <c r="C44" s="368" t="e">
        <f t="shared" ref="C44:AF44" ca="1" si="15">C42*(C41-C32)/(C41-B41)*$E$64</f>
        <v>#N/A</v>
      </c>
      <c r="D44" s="368" t="e">
        <f t="shared" ca="1" si="15"/>
        <v>#N/A</v>
      </c>
      <c r="E44" s="368" t="e">
        <f t="shared" ca="1" si="15"/>
        <v>#N/A</v>
      </c>
      <c r="F44" s="368" t="e">
        <f t="shared" ca="1" si="15"/>
        <v>#N/A</v>
      </c>
      <c r="G44" s="368" t="e">
        <f t="shared" ca="1" si="15"/>
        <v>#N/A</v>
      </c>
      <c r="H44" s="368" t="e">
        <f t="shared" ca="1" si="15"/>
        <v>#N/A</v>
      </c>
      <c r="I44" s="368" t="e">
        <f t="shared" ca="1" si="15"/>
        <v>#N/A</v>
      </c>
      <c r="J44" s="368" t="e">
        <f t="shared" ca="1" si="15"/>
        <v>#N/A</v>
      </c>
      <c r="K44" s="368" t="e">
        <f t="shared" ca="1" si="15"/>
        <v>#N/A</v>
      </c>
      <c r="L44" s="368" t="e">
        <f t="shared" ca="1" si="15"/>
        <v>#N/A</v>
      </c>
      <c r="M44" s="368" t="e">
        <f t="shared" ca="1" si="15"/>
        <v>#N/A</v>
      </c>
      <c r="N44" s="368" t="e">
        <f t="shared" ca="1" si="15"/>
        <v>#N/A</v>
      </c>
      <c r="O44" s="368" t="e">
        <f t="shared" ca="1" si="15"/>
        <v>#N/A</v>
      </c>
      <c r="P44" s="368" t="e">
        <f t="shared" ca="1" si="15"/>
        <v>#N/A</v>
      </c>
      <c r="Q44" s="368" t="e">
        <f t="shared" ca="1" si="15"/>
        <v>#N/A</v>
      </c>
      <c r="R44" s="368" t="e">
        <f t="shared" ca="1" si="15"/>
        <v>#N/A</v>
      </c>
      <c r="S44" s="368" t="e">
        <f t="shared" ca="1" si="15"/>
        <v>#N/A</v>
      </c>
      <c r="T44" s="368" t="e">
        <f t="shared" ca="1" si="15"/>
        <v>#N/A</v>
      </c>
      <c r="U44" s="368" t="e">
        <f t="shared" ca="1" si="15"/>
        <v>#N/A</v>
      </c>
      <c r="V44" s="368" t="e">
        <f t="shared" ca="1" si="15"/>
        <v>#N/A</v>
      </c>
      <c r="W44" s="368" t="e">
        <f t="shared" ca="1" si="15"/>
        <v>#N/A</v>
      </c>
      <c r="X44" s="368" t="e">
        <f t="shared" ca="1" si="15"/>
        <v>#N/A</v>
      </c>
      <c r="Y44" s="368" t="e">
        <f t="shared" ca="1" si="15"/>
        <v>#N/A</v>
      </c>
      <c r="Z44" s="368" t="e">
        <f t="shared" ca="1" si="15"/>
        <v>#N/A</v>
      </c>
      <c r="AA44" s="368" t="e">
        <f t="shared" ca="1" si="15"/>
        <v>#N/A</v>
      </c>
      <c r="AB44" s="368" t="e">
        <f t="shared" ca="1" si="15"/>
        <v>#N/A</v>
      </c>
      <c r="AC44" s="368" t="e">
        <f t="shared" ca="1" si="15"/>
        <v>#N/A</v>
      </c>
      <c r="AD44" s="368" t="e">
        <f t="shared" ca="1" si="15"/>
        <v>#N/A</v>
      </c>
      <c r="AE44" s="368" t="e">
        <f t="shared" ca="1" si="15"/>
        <v>#N/A</v>
      </c>
      <c r="AF44" s="368" t="e">
        <f t="shared" ca="1" si="15"/>
        <v>#N/A</v>
      </c>
    </row>
    <row r="45" spans="1:39">
      <c r="A45" s="48" t="s">
        <v>59</v>
      </c>
      <c r="B45" s="48" t="e">
        <f ca="1">B42+B43</f>
        <v>#N/A</v>
      </c>
      <c r="C45" s="48" t="e">
        <f t="shared" ref="C45:AF45" ca="1" si="16">C42+C43</f>
        <v>#N/A</v>
      </c>
      <c r="D45" s="48" t="e">
        <f t="shared" ca="1" si="16"/>
        <v>#N/A</v>
      </c>
      <c r="E45" s="48" t="e">
        <f t="shared" ca="1" si="16"/>
        <v>#N/A</v>
      </c>
      <c r="F45" s="48" t="e">
        <f t="shared" ca="1" si="16"/>
        <v>#N/A</v>
      </c>
      <c r="G45" s="48" t="e">
        <f t="shared" ca="1" si="16"/>
        <v>#N/A</v>
      </c>
      <c r="H45" s="48" t="e">
        <f t="shared" ca="1" si="16"/>
        <v>#N/A</v>
      </c>
      <c r="I45" s="48" t="e">
        <f t="shared" ca="1" si="16"/>
        <v>#N/A</v>
      </c>
      <c r="J45" s="48" t="e">
        <f t="shared" ca="1" si="16"/>
        <v>#N/A</v>
      </c>
      <c r="K45" s="48" t="e">
        <f t="shared" ca="1" si="16"/>
        <v>#N/A</v>
      </c>
      <c r="L45" s="48" t="e">
        <f t="shared" ca="1" si="16"/>
        <v>#N/A</v>
      </c>
      <c r="M45" s="48" t="e">
        <f t="shared" ca="1" si="16"/>
        <v>#N/A</v>
      </c>
      <c r="N45" s="48" t="e">
        <f t="shared" ca="1" si="16"/>
        <v>#N/A</v>
      </c>
      <c r="O45" s="48" t="e">
        <f t="shared" ca="1" si="16"/>
        <v>#N/A</v>
      </c>
      <c r="P45" s="48" t="e">
        <f t="shared" ca="1" si="16"/>
        <v>#N/A</v>
      </c>
      <c r="Q45" s="48" t="e">
        <f t="shared" ca="1" si="16"/>
        <v>#N/A</v>
      </c>
      <c r="R45" s="48" t="e">
        <f t="shared" ca="1" si="16"/>
        <v>#N/A</v>
      </c>
      <c r="S45" s="48" t="e">
        <f t="shared" ca="1" si="16"/>
        <v>#N/A</v>
      </c>
      <c r="T45" s="48" t="e">
        <f t="shared" ca="1" si="16"/>
        <v>#N/A</v>
      </c>
      <c r="U45" s="48" t="e">
        <f t="shared" ca="1" si="16"/>
        <v>#N/A</v>
      </c>
      <c r="V45" s="48" t="e">
        <f t="shared" ca="1" si="16"/>
        <v>#N/A</v>
      </c>
      <c r="W45" s="48" t="e">
        <f t="shared" ca="1" si="16"/>
        <v>#N/A</v>
      </c>
      <c r="X45" s="48" t="e">
        <f t="shared" ca="1" si="16"/>
        <v>#N/A</v>
      </c>
      <c r="Y45" s="48" t="e">
        <f t="shared" ca="1" si="16"/>
        <v>#N/A</v>
      </c>
      <c r="Z45" s="48" t="e">
        <f t="shared" ca="1" si="16"/>
        <v>#N/A</v>
      </c>
      <c r="AA45" s="48" t="e">
        <f t="shared" ca="1" si="16"/>
        <v>#N/A</v>
      </c>
      <c r="AB45" s="48" t="e">
        <f t="shared" ca="1" si="16"/>
        <v>#N/A</v>
      </c>
      <c r="AC45" s="48" t="e">
        <f t="shared" ca="1" si="16"/>
        <v>#N/A</v>
      </c>
      <c r="AD45" s="48" t="e">
        <f t="shared" ca="1" si="16"/>
        <v>#N/A</v>
      </c>
      <c r="AE45" s="48" t="e">
        <f t="shared" ca="1" si="16"/>
        <v>#N/A</v>
      </c>
      <c r="AF45" s="48" t="e">
        <f t="shared" ca="1" si="16"/>
        <v>#N/A</v>
      </c>
    </row>
    <row r="46" spans="1:39">
      <c r="A46" s="48"/>
      <c r="B46" s="364"/>
      <c r="C46" s="364"/>
      <c r="D46" s="364"/>
      <c r="E46" s="364"/>
      <c r="F46" s="364"/>
      <c r="G46" s="364"/>
      <c r="H46" s="364"/>
      <c r="I46" s="364"/>
      <c r="J46" s="364"/>
      <c r="K46" s="364"/>
      <c r="L46" s="364"/>
      <c r="M46" s="364"/>
      <c r="N46" s="364"/>
      <c r="O46" s="364"/>
      <c r="P46" s="364"/>
      <c r="Q46" s="364"/>
      <c r="R46" s="364"/>
      <c r="S46" s="364"/>
      <c r="T46" s="364"/>
      <c r="U46" s="364"/>
      <c r="V46" s="364"/>
      <c r="W46" s="364"/>
      <c r="X46" s="364"/>
      <c r="Y46" s="364"/>
      <c r="Z46" s="364"/>
      <c r="AA46" s="364"/>
      <c r="AB46" s="364"/>
      <c r="AC46" s="364"/>
      <c r="AD46" s="364"/>
      <c r="AE46" s="364"/>
      <c r="AF46" s="364"/>
    </row>
    <row r="47" spans="1:39">
      <c r="A47" s="379" t="s">
        <v>387</v>
      </c>
      <c r="B47" s="364"/>
      <c r="C47" s="364"/>
      <c r="D47" s="364"/>
      <c r="E47" s="364"/>
      <c r="F47" s="364"/>
      <c r="G47" s="364"/>
      <c r="H47" s="364"/>
      <c r="I47" s="364"/>
      <c r="J47" s="364"/>
      <c r="K47" s="364"/>
      <c r="L47" s="364"/>
      <c r="M47" s="364"/>
      <c r="N47" s="364"/>
      <c r="O47" s="364"/>
      <c r="P47" s="364"/>
      <c r="Q47" s="364"/>
      <c r="R47" s="364"/>
      <c r="S47" s="364"/>
      <c r="T47" s="364"/>
      <c r="U47" s="364"/>
      <c r="V47" s="364"/>
      <c r="W47" s="364"/>
      <c r="X47" s="364"/>
      <c r="Y47" s="364"/>
      <c r="Z47" s="364"/>
      <c r="AA47" s="364"/>
      <c r="AB47" s="364"/>
      <c r="AC47" s="364"/>
      <c r="AD47" s="364"/>
      <c r="AE47" s="364"/>
      <c r="AF47" s="364"/>
      <c r="AG47" s="49"/>
      <c r="AH47" s="49"/>
      <c r="AI47" s="49"/>
      <c r="AJ47" s="49"/>
      <c r="AK47" s="49"/>
      <c r="AL47" s="49"/>
      <c r="AM47" s="49"/>
    </row>
    <row r="48" spans="1:39">
      <c r="A48" s="48" t="s">
        <v>138</v>
      </c>
      <c r="B48" s="163" t="e">
        <f ca="1">SUM(B35,B26)</f>
        <v>#N/A</v>
      </c>
      <c r="C48" s="163" t="e">
        <f t="shared" ref="C48:AF48" ca="1" si="17">SUM(C35,C26)</f>
        <v>#N/A</v>
      </c>
      <c r="D48" s="163" t="e">
        <f t="shared" ca="1" si="17"/>
        <v>#N/A</v>
      </c>
      <c r="E48" s="163" t="e">
        <f t="shared" ca="1" si="17"/>
        <v>#N/A</v>
      </c>
      <c r="F48" s="163" t="e">
        <f t="shared" ca="1" si="17"/>
        <v>#N/A</v>
      </c>
      <c r="G48" s="163" t="e">
        <f t="shared" ca="1" si="17"/>
        <v>#N/A</v>
      </c>
      <c r="H48" s="163" t="e">
        <f t="shared" ca="1" si="17"/>
        <v>#N/A</v>
      </c>
      <c r="I48" s="163" t="e">
        <f t="shared" ca="1" si="17"/>
        <v>#N/A</v>
      </c>
      <c r="J48" s="163" t="e">
        <f t="shared" ca="1" si="17"/>
        <v>#N/A</v>
      </c>
      <c r="K48" s="163" t="e">
        <f t="shared" ca="1" si="17"/>
        <v>#N/A</v>
      </c>
      <c r="L48" s="163" t="e">
        <f t="shared" ca="1" si="17"/>
        <v>#N/A</v>
      </c>
      <c r="M48" s="163" t="e">
        <f t="shared" ca="1" si="17"/>
        <v>#N/A</v>
      </c>
      <c r="N48" s="163" t="e">
        <f t="shared" ca="1" si="17"/>
        <v>#N/A</v>
      </c>
      <c r="O48" s="163" t="e">
        <f t="shared" ca="1" si="17"/>
        <v>#N/A</v>
      </c>
      <c r="P48" s="163" t="e">
        <f t="shared" ca="1" si="17"/>
        <v>#N/A</v>
      </c>
      <c r="Q48" s="163" t="e">
        <f t="shared" ca="1" si="17"/>
        <v>#N/A</v>
      </c>
      <c r="R48" s="163" t="e">
        <f t="shared" ca="1" si="17"/>
        <v>#N/A</v>
      </c>
      <c r="S48" s="163" t="e">
        <f t="shared" ca="1" si="17"/>
        <v>#N/A</v>
      </c>
      <c r="T48" s="163" t="e">
        <f t="shared" ca="1" si="17"/>
        <v>#N/A</v>
      </c>
      <c r="U48" s="163" t="e">
        <f t="shared" ca="1" si="17"/>
        <v>#N/A</v>
      </c>
      <c r="V48" s="163" t="e">
        <f t="shared" ca="1" si="17"/>
        <v>#N/A</v>
      </c>
      <c r="W48" s="163" t="e">
        <f t="shared" ca="1" si="17"/>
        <v>#N/A</v>
      </c>
      <c r="X48" s="163" t="e">
        <f t="shared" ca="1" si="17"/>
        <v>#N/A</v>
      </c>
      <c r="Y48" s="163" t="e">
        <f t="shared" ca="1" si="17"/>
        <v>#N/A</v>
      </c>
      <c r="Z48" s="163" t="e">
        <f t="shared" ca="1" si="17"/>
        <v>#N/A</v>
      </c>
      <c r="AA48" s="163" t="e">
        <f t="shared" ca="1" si="17"/>
        <v>#N/A</v>
      </c>
      <c r="AB48" s="163" t="e">
        <f t="shared" ca="1" si="17"/>
        <v>#N/A</v>
      </c>
      <c r="AC48" s="163" t="e">
        <f t="shared" ca="1" si="17"/>
        <v>#N/A</v>
      </c>
      <c r="AD48" s="163" t="e">
        <f t="shared" ca="1" si="17"/>
        <v>#N/A</v>
      </c>
      <c r="AE48" s="163" t="e">
        <f t="shared" ca="1" si="17"/>
        <v>#N/A</v>
      </c>
      <c r="AF48" s="163" t="e">
        <f t="shared" ca="1" si="17"/>
        <v>#N/A</v>
      </c>
      <c r="AG48" s="49"/>
      <c r="AH48" s="49"/>
      <c r="AI48" s="49"/>
      <c r="AJ48" s="49"/>
      <c r="AK48" s="49"/>
      <c r="AL48" s="49"/>
      <c r="AM48" s="49"/>
    </row>
    <row r="49" spans="1:39">
      <c r="A49" s="379" t="s">
        <v>137</v>
      </c>
      <c r="B49" s="368">
        <f>B36</f>
        <v>1956.5956747386133</v>
      </c>
      <c r="C49" s="368" t="e">
        <f t="shared" ref="C49:AF49" ca="1" si="18">C27+C36+B44</f>
        <v>#N/A</v>
      </c>
      <c r="D49" s="368" t="e">
        <f t="shared" ca="1" si="18"/>
        <v>#N/A</v>
      </c>
      <c r="E49" s="368" t="e">
        <f t="shared" ca="1" si="18"/>
        <v>#N/A</v>
      </c>
      <c r="F49" s="368" t="e">
        <f t="shared" ca="1" si="18"/>
        <v>#N/A</v>
      </c>
      <c r="G49" s="368" t="e">
        <f t="shared" ca="1" si="18"/>
        <v>#N/A</v>
      </c>
      <c r="H49" s="368" t="e">
        <f t="shared" ca="1" si="18"/>
        <v>#N/A</v>
      </c>
      <c r="I49" s="368" t="e">
        <f t="shared" ca="1" si="18"/>
        <v>#N/A</v>
      </c>
      <c r="J49" s="368" t="e">
        <f t="shared" ca="1" si="18"/>
        <v>#N/A</v>
      </c>
      <c r="K49" s="368" t="e">
        <f t="shared" ca="1" si="18"/>
        <v>#N/A</v>
      </c>
      <c r="L49" s="368" t="e">
        <f t="shared" ca="1" si="18"/>
        <v>#N/A</v>
      </c>
      <c r="M49" s="368" t="e">
        <f t="shared" ca="1" si="18"/>
        <v>#N/A</v>
      </c>
      <c r="N49" s="368" t="e">
        <f t="shared" ca="1" si="18"/>
        <v>#N/A</v>
      </c>
      <c r="O49" s="368" t="e">
        <f t="shared" ca="1" si="18"/>
        <v>#N/A</v>
      </c>
      <c r="P49" s="368" t="e">
        <f t="shared" ca="1" si="18"/>
        <v>#N/A</v>
      </c>
      <c r="Q49" s="368" t="e">
        <f t="shared" ca="1" si="18"/>
        <v>#N/A</v>
      </c>
      <c r="R49" s="368" t="e">
        <f t="shared" ca="1" si="18"/>
        <v>#N/A</v>
      </c>
      <c r="S49" s="368" t="e">
        <f t="shared" ca="1" si="18"/>
        <v>#N/A</v>
      </c>
      <c r="T49" s="368" t="e">
        <f t="shared" ca="1" si="18"/>
        <v>#N/A</v>
      </c>
      <c r="U49" s="368" t="e">
        <f t="shared" ca="1" si="18"/>
        <v>#N/A</v>
      </c>
      <c r="V49" s="368" t="e">
        <f t="shared" ca="1" si="18"/>
        <v>#N/A</v>
      </c>
      <c r="W49" s="368" t="e">
        <f t="shared" ca="1" si="18"/>
        <v>#N/A</v>
      </c>
      <c r="X49" s="368" t="e">
        <f t="shared" ca="1" si="18"/>
        <v>#N/A</v>
      </c>
      <c r="Y49" s="368" t="e">
        <f t="shared" ca="1" si="18"/>
        <v>#N/A</v>
      </c>
      <c r="Z49" s="368" t="e">
        <f t="shared" ca="1" si="18"/>
        <v>#N/A</v>
      </c>
      <c r="AA49" s="368" t="e">
        <f t="shared" ca="1" si="18"/>
        <v>#N/A</v>
      </c>
      <c r="AB49" s="368" t="e">
        <f t="shared" ca="1" si="18"/>
        <v>#N/A</v>
      </c>
      <c r="AC49" s="368" t="e">
        <f t="shared" ca="1" si="18"/>
        <v>#N/A</v>
      </c>
      <c r="AD49" s="368" t="e">
        <f t="shared" ca="1" si="18"/>
        <v>#N/A</v>
      </c>
      <c r="AE49" s="368" t="e">
        <f t="shared" ca="1" si="18"/>
        <v>#N/A</v>
      </c>
      <c r="AF49" s="368" t="e">
        <f t="shared" ca="1" si="18"/>
        <v>#N/A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60</v>
      </c>
      <c r="B50" s="49" t="e">
        <f t="shared" ref="B50:AF50" ca="1" si="19">SUM(B48:B49)</f>
        <v>#N/A</v>
      </c>
      <c r="C50" s="49" t="e">
        <f t="shared" ca="1" si="19"/>
        <v>#N/A</v>
      </c>
      <c r="D50" s="49" t="e">
        <f t="shared" ca="1" si="19"/>
        <v>#N/A</v>
      </c>
      <c r="E50" s="49" t="e">
        <f t="shared" ca="1" si="19"/>
        <v>#N/A</v>
      </c>
      <c r="F50" s="49" t="e">
        <f t="shared" ca="1" si="19"/>
        <v>#N/A</v>
      </c>
      <c r="G50" s="49" t="e">
        <f t="shared" ca="1" si="19"/>
        <v>#N/A</v>
      </c>
      <c r="H50" s="49" t="e">
        <f t="shared" ca="1" si="19"/>
        <v>#N/A</v>
      </c>
      <c r="I50" s="49" t="e">
        <f t="shared" ca="1" si="19"/>
        <v>#N/A</v>
      </c>
      <c r="J50" s="49" t="e">
        <f t="shared" ca="1" si="19"/>
        <v>#N/A</v>
      </c>
      <c r="K50" s="49" t="e">
        <f t="shared" ca="1" si="19"/>
        <v>#N/A</v>
      </c>
      <c r="L50" s="49" t="e">
        <f t="shared" ca="1" si="19"/>
        <v>#N/A</v>
      </c>
      <c r="M50" s="49" t="e">
        <f t="shared" ca="1" si="19"/>
        <v>#N/A</v>
      </c>
      <c r="N50" s="49" t="e">
        <f t="shared" ca="1" si="19"/>
        <v>#N/A</v>
      </c>
      <c r="O50" s="49" t="e">
        <f t="shared" ca="1" si="19"/>
        <v>#N/A</v>
      </c>
      <c r="P50" s="49" t="e">
        <f t="shared" ca="1" si="19"/>
        <v>#N/A</v>
      </c>
      <c r="Q50" s="49" t="e">
        <f t="shared" ca="1" si="19"/>
        <v>#N/A</v>
      </c>
      <c r="R50" s="49" t="e">
        <f t="shared" ca="1" si="19"/>
        <v>#N/A</v>
      </c>
      <c r="S50" s="49" t="e">
        <f t="shared" ca="1" si="19"/>
        <v>#N/A</v>
      </c>
      <c r="T50" s="49" t="e">
        <f t="shared" ca="1" si="19"/>
        <v>#N/A</v>
      </c>
      <c r="U50" s="49" t="e">
        <f t="shared" ca="1" si="19"/>
        <v>#N/A</v>
      </c>
      <c r="V50" s="49" t="e">
        <f t="shared" ca="1" si="19"/>
        <v>#N/A</v>
      </c>
      <c r="W50" s="49" t="e">
        <f t="shared" ca="1" si="19"/>
        <v>#N/A</v>
      </c>
      <c r="X50" s="49" t="e">
        <f t="shared" ca="1" si="19"/>
        <v>#N/A</v>
      </c>
      <c r="Y50" s="49" t="e">
        <f t="shared" ca="1" si="19"/>
        <v>#N/A</v>
      </c>
      <c r="Z50" s="49" t="e">
        <f t="shared" ca="1" si="19"/>
        <v>#N/A</v>
      </c>
      <c r="AA50" s="49" t="e">
        <f t="shared" ca="1" si="19"/>
        <v>#N/A</v>
      </c>
      <c r="AB50" s="49" t="e">
        <f t="shared" ca="1" si="19"/>
        <v>#N/A</v>
      </c>
      <c r="AC50" s="49" t="e">
        <f t="shared" ca="1" si="19"/>
        <v>#N/A</v>
      </c>
      <c r="AD50" s="49" t="e">
        <f t="shared" ca="1" si="19"/>
        <v>#N/A</v>
      </c>
      <c r="AE50" s="49" t="e">
        <f t="shared" ca="1" si="19"/>
        <v>#N/A</v>
      </c>
      <c r="AF50" s="49" t="e">
        <f t="shared" ca="1" si="19"/>
        <v>#N/A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5" t="s">
        <v>402</v>
      </c>
      <c r="B52" s="386" t="e">
        <f ca="1">IF(B33&gt;0.1,(B38+B29)/B50," ")</f>
        <v>#N/A</v>
      </c>
      <c r="C52" s="386" t="e">
        <f t="shared" ref="C52:AF52" ca="1" si="20">IF(C33&gt;0.1,(C38+C29)/C50," ")</f>
        <v>#N/A</v>
      </c>
      <c r="D52" s="386" t="e">
        <f t="shared" ca="1" si="20"/>
        <v>#N/A</v>
      </c>
      <c r="E52" s="386" t="e">
        <f t="shared" ca="1" si="20"/>
        <v>#N/A</v>
      </c>
      <c r="F52" s="386" t="e">
        <f t="shared" ca="1" si="20"/>
        <v>#N/A</v>
      </c>
      <c r="G52" s="386" t="e">
        <f t="shared" ca="1" si="20"/>
        <v>#N/A</v>
      </c>
      <c r="H52" s="386" t="e">
        <f t="shared" ca="1" si="20"/>
        <v>#N/A</v>
      </c>
      <c r="I52" s="386" t="e">
        <f t="shared" ca="1" si="20"/>
        <v>#N/A</v>
      </c>
      <c r="J52" s="386" t="e">
        <f t="shared" ca="1" si="20"/>
        <v>#N/A</v>
      </c>
      <c r="K52" s="386" t="e">
        <f t="shared" ca="1" si="20"/>
        <v>#N/A</v>
      </c>
      <c r="L52" s="386" t="e">
        <f t="shared" ca="1" si="20"/>
        <v>#N/A</v>
      </c>
      <c r="M52" s="386" t="e">
        <f t="shared" ca="1" si="20"/>
        <v>#N/A</v>
      </c>
      <c r="N52" s="386" t="e">
        <f t="shared" ca="1" si="20"/>
        <v>#N/A</v>
      </c>
      <c r="O52" s="386" t="e">
        <f t="shared" ca="1" si="20"/>
        <v>#N/A</v>
      </c>
      <c r="P52" s="444" t="e">
        <f t="shared" ca="1" si="20"/>
        <v>#N/A</v>
      </c>
      <c r="Q52" s="386" t="e">
        <f t="shared" ca="1" si="20"/>
        <v>#N/A</v>
      </c>
      <c r="R52" s="386" t="e">
        <f t="shared" ca="1" si="20"/>
        <v>#N/A</v>
      </c>
      <c r="S52" s="386" t="e">
        <f t="shared" ca="1" si="20"/>
        <v>#N/A</v>
      </c>
      <c r="T52" s="386" t="e">
        <f t="shared" ca="1" si="20"/>
        <v>#N/A</v>
      </c>
      <c r="U52" s="386" t="e">
        <f t="shared" ca="1" si="20"/>
        <v>#N/A</v>
      </c>
      <c r="V52" s="386" t="e">
        <f t="shared" ca="1" si="20"/>
        <v>#N/A</v>
      </c>
      <c r="W52" s="386" t="e">
        <f t="shared" ca="1" si="20"/>
        <v>#N/A</v>
      </c>
      <c r="X52" s="386" t="e">
        <f t="shared" ca="1" si="20"/>
        <v>#N/A</v>
      </c>
      <c r="Y52" s="386" t="e">
        <f t="shared" ca="1" si="20"/>
        <v>#N/A</v>
      </c>
      <c r="Z52" s="386" t="e">
        <f t="shared" ca="1" si="20"/>
        <v>#N/A</v>
      </c>
      <c r="AA52" s="386" t="e">
        <f t="shared" ca="1" si="20"/>
        <v>#N/A</v>
      </c>
      <c r="AB52" s="386" t="e">
        <f t="shared" ca="1" si="20"/>
        <v>#N/A</v>
      </c>
      <c r="AC52" s="386" t="e">
        <f t="shared" ca="1" si="20"/>
        <v>#N/A</v>
      </c>
      <c r="AD52" s="386" t="e">
        <f t="shared" ca="1" si="20"/>
        <v>#N/A</v>
      </c>
      <c r="AE52" s="386" t="e">
        <f t="shared" ca="1" si="20"/>
        <v>#N/A</v>
      </c>
      <c r="AF52" s="444" t="e">
        <f t="shared" ca="1" si="20"/>
        <v>#N/A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4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391"/>
      <c r="O53" s="391"/>
      <c r="P53" s="391"/>
      <c r="Q53" s="391"/>
      <c r="R53" s="391"/>
      <c r="S53" s="391"/>
      <c r="T53" s="391"/>
      <c r="U53" s="391"/>
      <c r="V53" s="391"/>
      <c r="W53" s="391"/>
      <c r="X53" s="391"/>
      <c r="Y53" s="391"/>
      <c r="Z53" s="391"/>
      <c r="AA53" s="391"/>
      <c r="AB53" s="391"/>
      <c r="AC53" s="391"/>
      <c r="AD53" s="391"/>
      <c r="AE53" s="391"/>
      <c r="AF53" s="391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4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391"/>
      <c r="O54" s="391"/>
      <c r="P54" s="391"/>
      <c r="Q54" s="391"/>
      <c r="R54" s="391"/>
      <c r="S54" s="391"/>
      <c r="T54" s="391"/>
      <c r="U54" s="391"/>
      <c r="V54" s="391"/>
      <c r="W54" s="391"/>
      <c r="X54" s="391"/>
      <c r="Y54" s="391"/>
      <c r="Z54" s="391"/>
      <c r="AA54" s="391"/>
      <c r="AB54" s="391"/>
      <c r="AC54" s="391"/>
      <c r="AD54" s="391"/>
      <c r="AE54" s="391"/>
      <c r="AF54" s="391"/>
      <c r="AG54" s="50"/>
      <c r="AH54" s="50"/>
      <c r="AI54" s="50"/>
      <c r="AJ54" s="50"/>
      <c r="AK54" s="50"/>
      <c r="AL54" s="50"/>
      <c r="AM54" s="50"/>
    </row>
    <row r="55" spans="1:39">
      <c r="A55" s="379" t="s">
        <v>386</v>
      </c>
      <c r="B55" s="364"/>
      <c r="C55" s="364"/>
      <c r="D55" s="364"/>
      <c r="E55" s="364"/>
      <c r="F55" s="364"/>
      <c r="G55" s="364"/>
      <c r="H55" s="364"/>
      <c r="I55" s="364"/>
      <c r="J55" s="364"/>
      <c r="K55" s="364"/>
      <c r="L55" s="364"/>
      <c r="M55" s="364"/>
      <c r="N55" s="364"/>
      <c r="O55" s="364"/>
      <c r="P55" s="364"/>
      <c r="Q55" s="364"/>
      <c r="R55" s="364"/>
      <c r="S55" s="364"/>
      <c r="T55" s="364"/>
      <c r="U55" s="364"/>
      <c r="V55" s="364"/>
      <c r="W55" s="364"/>
      <c r="X55" s="364"/>
      <c r="Y55" s="364"/>
      <c r="Z55" s="364"/>
      <c r="AA55" s="364"/>
      <c r="AB55" s="364"/>
      <c r="AC55" s="364"/>
      <c r="AD55" s="364"/>
      <c r="AE55" s="364"/>
      <c r="AF55" s="364"/>
    </row>
    <row r="56" spans="1:39">
      <c r="A56" s="48" t="s">
        <v>138</v>
      </c>
      <c r="B56" s="163" t="e">
        <f t="shared" ref="B56:AF56" ca="1" si="21">B35+B26</f>
        <v>#N/A</v>
      </c>
      <c r="C56" s="163" t="e">
        <f t="shared" ca="1" si="21"/>
        <v>#N/A</v>
      </c>
      <c r="D56" s="163" t="e">
        <f t="shared" ca="1" si="21"/>
        <v>#N/A</v>
      </c>
      <c r="E56" s="163" t="e">
        <f t="shared" ca="1" si="21"/>
        <v>#N/A</v>
      </c>
      <c r="F56" s="163" t="e">
        <f t="shared" ca="1" si="21"/>
        <v>#N/A</v>
      </c>
      <c r="G56" s="163" t="e">
        <f t="shared" ca="1" si="21"/>
        <v>#N/A</v>
      </c>
      <c r="H56" s="163" t="e">
        <f t="shared" ca="1" si="21"/>
        <v>#N/A</v>
      </c>
      <c r="I56" s="163" t="e">
        <f t="shared" ca="1" si="21"/>
        <v>#N/A</v>
      </c>
      <c r="J56" s="163" t="e">
        <f t="shared" ca="1" si="21"/>
        <v>#N/A</v>
      </c>
      <c r="K56" s="163" t="e">
        <f t="shared" ca="1" si="21"/>
        <v>#N/A</v>
      </c>
      <c r="L56" s="163" t="e">
        <f t="shared" ca="1" si="21"/>
        <v>#N/A</v>
      </c>
      <c r="M56" s="163" t="e">
        <f t="shared" ca="1" si="21"/>
        <v>#N/A</v>
      </c>
      <c r="N56" s="163" t="e">
        <f t="shared" ca="1" si="21"/>
        <v>#N/A</v>
      </c>
      <c r="O56" s="163" t="e">
        <f t="shared" ca="1" si="21"/>
        <v>#N/A</v>
      </c>
      <c r="P56" s="163" t="e">
        <f t="shared" ca="1" si="21"/>
        <v>#N/A</v>
      </c>
      <c r="Q56" s="163" t="e">
        <f t="shared" ca="1" si="21"/>
        <v>#N/A</v>
      </c>
      <c r="R56" s="163" t="e">
        <f t="shared" ca="1" si="21"/>
        <v>#N/A</v>
      </c>
      <c r="S56" s="163" t="e">
        <f t="shared" ca="1" si="21"/>
        <v>#N/A</v>
      </c>
      <c r="T56" s="163" t="e">
        <f t="shared" ca="1" si="21"/>
        <v>#N/A</v>
      </c>
      <c r="U56" s="163" t="e">
        <f t="shared" ca="1" si="21"/>
        <v>#N/A</v>
      </c>
      <c r="V56" s="163" t="e">
        <f t="shared" ca="1" si="21"/>
        <v>#N/A</v>
      </c>
      <c r="W56" s="163" t="e">
        <f t="shared" ca="1" si="21"/>
        <v>#N/A</v>
      </c>
      <c r="X56" s="163" t="e">
        <f t="shared" ca="1" si="21"/>
        <v>#N/A</v>
      </c>
      <c r="Y56" s="163" t="e">
        <f t="shared" ca="1" si="21"/>
        <v>#N/A</v>
      </c>
      <c r="Z56" s="163" t="e">
        <f t="shared" ca="1" si="21"/>
        <v>#N/A</v>
      </c>
      <c r="AA56" s="163" t="e">
        <f t="shared" ca="1" si="21"/>
        <v>#N/A</v>
      </c>
      <c r="AB56" s="163" t="e">
        <f t="shared" ca="1" si="21"/>
        <v>#N/A</v>
      </c>
      <c r="AC56" s="163" t="e">
        <f t="shared" ca="1" si="21"/>
        <v>#N/A</v>
      </c>
      <c r="AD56" s="163" t="e">
        <f t="shared" ca="1" si="21"/>
        <v>#N/A</v>
      </c>
      <c r="AE56" s="163" t="e">
        <f t="shared" ca="1" si="21"/>
        <v>#N/A</v>
      </c>
      <c r="AF56" s="163" t="e">
        <f t="shared" ca="1" si="21"/>
        <v>#N/A</v>
      </c>
    </row>
    <row r="57" spans="1:39">
      <c r="A57" s="379" t="s">
        <v>137</v>
      </c>
      <c r="B57" s="368" t="e">
        <f t="shared" ref="B57:AF57" ca="1" si="22">B36+B44+B27</f>
        <v>#N/A</v>
      </c>
      <c r="C57" s="368" t="e">
        <f t="shared" ca="1" si="22"/>
        <v>#N/A</v>
      </c>
      <c r="D57" s="368" t="e">
        <f t="shared" ca="1" si="22"/>
        <v>#N/A</v>
      </c>
      <c r="E57" s="368" t="e">
        <f t="shared" ca="1" si="22"/>
        <v>#N/A</v>
      </c>
      <c r="F57" s="368" t="e">
        <f t="shared" ca="1" si="22"/>
        <v>#N/A</v>
      </c>
      <c r="G57" s="368" t="e">
        <f t="shared" ca="1" si="22"/>
        <v>#N/A</v>
      </c>
      <c r="H57" s="368" t="e">
        <f t="shared" ca="1" si="22"/>
        <v>#N/A</v>
      </c>
      <c r="I57" s="368" t="e">
        <f t="shared" ca="1" si="22"/>
        <v>#N/A</v>
      </c>
      <c r="J57" s="368" t="e">
        <f t="shared" ca="1" si="22"/>
        <v>#N/A</v>
      </c>
      <c r="K57" s="368" t="e">
        <f t="shared" ca="1" si="22"/>
        <v>#N/A</v>
      </c>
      <c r="L57" s="368" t="e">
        <f t="shared" ca="1" si="22"/>
        <v>#N/A</v>
      </c>
      <c r="M57" s="368" t="e">
        <f t="shared" ca="1" si="22"/>
        <v>#N/A</v>
      </c>
      <c r="N57" s="368" t="e">
        <f t="shared" ca="1" si="22"/>
        <v>#N/A</v>
      </c>
      <c r="O57" s="368" t="e">
        <f t="shared" ca="1" si="22"/>
        <v>#N/A</v>
      </c>
      <c r="P57" s="368" t="e">
        <f t="shared" ca="1" si="22"/>
        <v>#N/A</v>
      </c>
      <c r="Q57" s="368" t="e">
        <f t="shared" ca="1" si="22"/>
        <v>#N/A</v>
      </c>
      <c r="R57" s="368" t="e">
        <f t="shared" ca="1" si="22"/>
        <v>#N/A</v>
      </c>
      <c r="S57" s="368" t="e">
        <f t="shared" ca="1" si="22"/>
        <v>#N/A</v>
      </c>
      <c r="T57" s="368" t="e">
        <f t="shared" ca="1" si="22"/>
        <v>#N/A</v>
      </c>
      <c r="U57" s="368" t="e">
        <f t="shared" ca="1" si="22"/>
        <v>#N/A</v>
      </c>
      <c r="V57" s="368" t="e">
        <f t="shared" ca="1" si="22"/>
        <v>#N/A</v>
      </c>
      <c r="W57" s="368" t="e">
        <f t="shared" ca="1" si="22"/>
        <v>#N/A</v>
      </c>
      <c r="X57" s="368" t="e">
        <f t="shared" ca="1" si="22"/>
        <v>#N/A</v>
      </c>
      <c r="Y57" s="368" t="e">
        <f t="shared" ca="1" si="22"/>
        <v>#N/A</v>
      </c>
      <c r="Z57" s="368" t="e">
        <f t="shared" ca="1" si="22"/>
        <v>#N/A</v>
      </c>
      <c r="AA57" s="368" t="e">
        <f t="shared" ca="1" si="22"/>
        <v>#N/A</v>
      </c>
      <c r="AB57" s="368" t="e">
        <f t="shared" ca="1" si="22"/>
        <v>#N/A</v>
      </c>
      <c r="AC57" s="368" t="e">
        <f t="shared" ca="1" si="22"/>
        <v>#N/A</v>
      </c>
      <c r="AD57" s="368" t="e">
        <f t="shared" ca="1" si="22"/>
        <v>#N/A</v>
      </c>
      <c r="AE57" s="368" t="e">
        <f t="shared" ca="1" si="22"/>
        <v>#N/A</v>
      </c>
      <c r="AF57" s="368" t="e">
        <f t="shared" ca="1" si="22"/>
        <v>#N/A</v>
      </c>
    </row>
    <row r="58" spans="1:39">
      <c r="A58" s="49" t="s">
        <v>60</v>
      </c>
      <c r="B58" s="49" t="e">
        <f ca="1">SUM(B56:B57)</f>
        <v>#N/A</v>
      </c>
      <c r="C58" s="49" t="e">
        <f t="shared" ref="C58:AF58" ca="1" si="23">SUM(C56:C57)</f>
        <v>#N/A</v>
      </c>
      <c r="D58" s="49" t="e">
        <f t="shared" ca="1" si="23"/>
        <v>#N/A</v>
      </c>
      <c r="E58" s="49" t="e">
        <f t="shared" ca="1" si="23"/>
        <v>#N/A</v>
      </c>
      <c r="F58" s="49" t="e">
        <f t="shared" ca="1" si="23"/>
        <v>#N/A</v>
      </c>
      <c r="G58" s="49" t="e">
        <f t="shared" ca="1" si="23"/>
        <v>#N/A</v>
      </c>
      <c r="H58" s="49" t="e">
        <f t="shared" ca="1" si="23"/>
        <v>#N/A</v>
      </c>
      <c r="I58" s="49" t="e">
        <f t="shared" ca="1" si="23"/>
        <v>#N/A</v>
      </c>
      <c r="J58" s="49" t="e">
        <f t="shared" ca="1" si="23"/>
        <v>#N/A</v>
      </c>
      <c r="K58" s="49" t="e">
        <f t="shared" ca="1" si="23"/>
        <v>#N/A</v>
      </c>
      <c r="L58" s="49" t="e">
        <f t="shared" ca="1" si="23"/>
        <v>#N/A</v>
      </c>
      <c r="M58" s="49" t="e">
        <f t="shared" ca="1" si="23"/>
        <v>#N/A</v>
      </c>
      <c r="N58" s="49" t="e">
        <f t="shared" ca="1" si="23"/>
        <v>#N/A</v>
      </c>
      <c r="O58" s="49" t="e">
        <f t="shared" ca="1" si="23"/>
        <v>#N/A</v>
      </c>
      <c r="P58" s="49" t="e">
        <f t="shared" ca="1" si="23"/>
        <v>#N/A</v>
      </c>
      <c r="Q58" s="49" t="e">
        <f t="shared" ca="1" si="23"/>
        <v>#N/A</v>
      </c>
      <c r="R58" s="49" t="e">
        <f t="shared" ca="1" si="23"/>
        <v>#N/A</v>
      </c>
      <c r="S58" s="49" t="e">
        <f t="shared" ca="1" si="23"/>
        <v>#N/A</v>
      </c>
      <c r="T58" s="49" t="e">
        <f t="shared" ca="1" si="23"/>
        <v>#N/A</v>
      </c>
      <c r="U58" s="49" t="e">
        <f t="shared" ca="1" si="23"/>
        <v>#N/A</v>
      </c>
      <c r="V58" s="49" t="e">
        <f t="shared" ca="1" si="23"/>
        <v>#N/A</v>
      </c>
      <c r="W58" s="49" t="e">
        <f t="shared" ca="1" si="23"/>
        <v>#N/A</v>
      </c>
      <c r="X58" s="49" t="e">
        <f t="shared" ca="1" si="23"/>
        <v>#N/A</v>
      </c>
      <c r="Y58" s="49" t="e">
        <f t="shared" ca="1" si="23"/>
        <v>#N/A</v>
      </c>
      <c r="Z58" s="49" t="e">
        <f t="shared" ca="1" si="23"/>
        <v>#N/A</v>
      </c>
      <c r="AA58" s="49" t="e">
        <f t="shared" ca="1" si="23"/>
        <v>#N/A</v>
      </c>
      <c r="AB58" s="49" t="e">
        <f t="shared" ca="1" si="23"/>
        <v>#N/A</v>
      </c>
      <c r="AC58" s="49" t="e">
        <f t="shared" ca="1" si="23"/>
        <v>#N/A</v>
      </c>
      <c r="AD58" s="49" t="e">
        <f t="shared" ca="1" si="23"/>
        <v>#N/A</v>
      </c>
      <c r="AE58" s="49" t="e">
        <f t="shared" ca="1" si="23"/>
        <v>#N/A</v>
      </c>
      <c r="AF58" s="49" t="e">
        <f t="shared" ca="1" si="23"/>
        <v>#N/A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4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1"/>
      <c r="P59" s="391"/>
      <c r="Q59" s="391"/>
      <c r="R59" s="391"/>
      <c r="S59" s="391"/>
      <c r="T59" s="391"/>
      <c r="U59" s="391"/>
      <c r="V59" s="391"/>
      <c r="W59" s="391"/>
      <c r="X59" s="391"/>
      <c r="Y59" s="391"/>
      <c r="Z59" s="391"/>
      <c r="AA59" s="391"/>
      <c r="AB59" s="391"/>
      <c r="AC59" s="391"/>
      <c r="AD59" s="391"/>
      <c r="AE59" s="391"/>
      <c r="AF59" s="391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392"/>
      <c r="C60" s="392"/>
      <c r="D60" s="392"/>
      <c r="E60" s="392"/>
      <c r="F60" s="392"/>
      <c r="G60" s="392"/>
      <c r="H60" s="392"/>
      <c r="I60" s="392"/>
      <c r="J60" s="392"/>
      <c r="K60" s="392"/>
      <c r="L60" s="392"/>
      <c r="M60" s="392"/>
      <c r="N60" s="392"/>
      <c r="O60" s="392"/>
      <c r="P60" s="392"/>
      <c r="Q60" s="392"/>
      <c r="R60" s="392"/>
      <c r="S60" s="392"/>
      <c r="T60" s="392"/>
      <c r="U60" s="392"/>
      <c r="V60" s="392"/>
      <c r="W60" s="392"/>
      <c r="X60" s="392"/>
      <c r="Y60" s="392"/>
      <c r="Z60" s="392"/>
      <c r="AA60" s="392"/>
      <c r="AB60" s="392"/>
      <c r="AC60" s="392"/>
      <c r="AD60" s="392"/>
      <c r="AE60" s="392"/>
      <c r="AF60" s="392"/>
      <c r="AG60" s="50"/>
      <c r="AH60" s="50"/>
      <c r="AI60" s="50"/>
      <c r="AJ60" s="50"/>
      <c r="AK60" s="50"/>
      <c r="AL60" s="50"/>
      <c r="AM60" s="50"/>
    </row>
    <row r="61" spans="1:39">
      <c r="B61" s="547" t="s">
        <v>329</v>
      </c>
      <c r="C61" s="548"/>
      <c r="D61" s="548"/>
      <c r="E61" s="549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35" t="s">
        <v>390</v>
      </c>
      <c r="C62" s="57"/>
      <c r="D62" s="57"/>
      <c r="E62" s="436">
        <f>Assumptions!G37</f>
        <v>6.83E-2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39">
        <f>Assumptions!G38</f>
        <v>0.01</v>
      </c>
      <c r="AA63" s="12"/>
      <c r="AB63" s="12"/>
    </row>
    <row r="64" spans="1:39">
      <c r="A64" s="48"/>
      <c r="B64" s="319" t="s">
        <v>391</v>
      </c>
      <c r="C64" s="58"/>
      <c r="D64" s="58"/>
      <c r="E64" s="382">
        <f>E63+E62</f>
        <v>7.8299999999999995E-2</v>
      </c>
      <c r="AA64" s="12"/>
      <c r="AB64" s="12"/>
    </row>
    <row r="65" spans="1:43">
      <c r="B65" s="384" t="s">
        <v>389</v>
      </c>
      <c r="C65" s="57"/>
      <c r="D65" s="57"/>
      <c r="E65" s="383">
        <f>Assumptions!G33</f>
        <v>0</v>
      </c>
      <c r="AA65" s="12"/>
      <c r="AB65" s="12"/>
    </row>
    <row r="66" spans="1:43">
      <c r="B66" s="422" t="s">
        <v>388</v>
      </c>
      <c r="C66" s="13"/>
      <c r="D66" s="13"/>
      <c r="E66" s="437" t="e">
        <f ca="1">B77</f>
        <v>#N/A</v>
      </c>
      <c r="AA66" s="12"/>
      <c r="AB66" s="12"/>
    </row>
    <row r="67" spans="1:43">
      <c r="B67" s="319" t="s">
        <v>55</v>
      </c>
      <c r="C67" s="58"/>
      <c r="D67" s="58"/>
      <c r="E67" s="423">
        <f>B19</f>
        <v>59653.800966475392</v>
      </c>
      <c r="AA67" s="12"/>
      <c r="AB67" s="12"/>
    </row>
    <row r="68" spans="1:43">
      <c r="B68" s="316" t="s">
        <v>0</v>
      </c>
      <c r="C68" s="57"/>
      <c r="D68" s="57" t="s">
        <v>384</v>
      </c>
      <c r="E68" s="440" t="e">
        <f ca="1">AVERAGE(B52:AF52)</f>
        <v>#N/A</v>
      </c>
      <c r="AA68" s="12"/>
      <c r="AB68" s="12"/>
    </row>
    <row r="69" spans="1:43">
      <c r="B69" s="438"/>
      <c r="C69" s="58"/>
      <c r="D69" s="58" t="s">
        <v>385</v>
      </c>
      <c r="E69" s="441" t="e">
        <f ca="1">MIN(B52:AF52)</f>
        <v>#N/A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5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97</v>
      </c>
      <c r="B74" s="86">
        <v>0</v>
      </c>
      <c r="C74" s="86">
        <f>(C32-$B$32)/365.25</f>
        <v>0.99931553730321698</v>
      </c>
      <c r="D74" s="86">
        <f t="shared" ref="D74:AF74" si="24">(D32-$B$32)/365.25</f>
        <v>1.998631074606434</v>
      </c>
      <c r="E74" s="86">
        <f t="shared" si="24"/>
        <v>3.0006844626967832</v>
      </c>
      <c r="F74" s="86">
        <f t="shared" si="24"/>
        <v>4</v>
      </c>
      <c r="G74" s="86">
        <f t="shared" si="24"/>
        <v>4.9993155373032172</v>
      </c>
      <c r="H74" s="86">
        <f t="shared" si="24"/>
        <v>5.9986310746064335</v>
      </c>
      <c r="I74" s="86">
        <f t="shared" si="24"/>
        <v>7.0006844626967828</v>
      </c>
      <c r="J74" s="86">
        <f t="shared" si="24"/>
        <v>8</v>
      </c>
      <c r="K74" s="86">
        <f t="shared" si="24"/>
        <v>8.9993155373032163</v>
      </c>
      <c r="L74" s="86">
        <f t="shared" si="24"/>
        <v>9.9986310746064344</v>
      </c>
      <c r="M74" s="86">
        <f t="shared" si="24"/>
        <v>11.000684462696784</v>
      </c>
      <c r="N74" s="86">
        <f t="shared" si="24"/>
        <v>12</v>
      </c>
      <c r="O74" s="86">
        <f t="shared" si="24"/>
        <v>12.999315537303216</v>
      </c>
      <c r="P74" s="86">
        <f t="shared" si="24"/>
        <v>13.998631074606434</v>
      </c>
      <c r="Q74" s="86">
        <f t="shared" si="24"/>
        <v>15.000684462696784</v>
      </c>
      <c r="R74" s="86">
        <f t="shared" si="24"/>
        <v>16</v>
      </c>
      <c r="S74" s="86">
        <f t="shared" si="24"/>
        <v>16.999315537303218</v>
      </c>
      <c r="T74" s="86">
        <f t="shared" si="24"/>
        <v>17.998631074606433</v>
      </c>
      <c r="U74" s="86">
        <f t="shared" si="24"/>
        <v>19.000684462696782</v>
      </c>
      <c r="V74" s="86">
        <f t="shared" si="24"/>
        <v>20</v>
      </c>
      <c r="W74" s="86">
        <f t="shared" si="24"/>
        <v>20.999315537303218</v>
      </c>
      <c r="X74" s="86">
        <f t="shared" si="24"/>
        <v>21.998631074606433</v>
      </c>
      <c r="Y74" s="86">
        <f t="shared" si="24"/>
        <v>23.000684462696782</v>
      </c>
      <c r="Z74" s="86">
        <f t="shared" si="24"/>
        <v>24</v>
      </c>
      <c r="AA74" s="86">
        <f t="shared" si="24"/>
        <v>24.999315537303218</v>
      </c>
      <c r="AB74" s="86">
        <f t="shared" si="24"/>
        <v>25.998631074606433</v>
      </c>
      <c r="AC74" s="86">
        <f t="shared" si="24"/>
        <v>27.000684462696782</v>
      </c>
      <c r="AD74" s="86">
        <f t="shared" si="24"/>
        <v>28</v>
      </c>
      <c r="AE74" s="86">
        <f t="shared" si="24"/>
        <v>28.999315537303218</v>
      </c>
      <c r="AF74" s="86">
        <f t="shared" si="24"/>
        <v>29.579739904175224</v>
      </c>
      <c r="AG74" s="181"/>
      <c r="AH74" s="181"/>
      <c r="AI74" s="181"/>
      <c r="AJ74" s="181"/>
      <c r="AK74" s="181"/>
      <c r="AL74" s="181"/>
      <c r="AM74" s="181"/>
      <c r="AN74" s="181"/>
      <c r="AO74" s="181"/>
      <c r="AP74" s="181"/>
      <c r="AQ74" s="181"/>
    </row>
    <row r="75" spans="1:43">
      <c r="B75" s="86">
        <f>(C23-$B$32)/365.25</f>
        <v>0.49828884325804246</v>
      </c>
      <c r="C75" s="86">
        <f>(D23-$B$32)/365.25</f>
        <v>1.4976043805612593</v>
      </c>
      <c r="D75" s="86">
        <f t="shared" ref="D75:AF75" si="25">(E23-$B$32)/365.25</f>
        <v>2.4996577686516086</v>
      </c>
      <c r="E75" s="86">
        <f t="shared" si="25"/>
        <v>3.4989733059548254</v>
      </c>
      <c r="F75" s="86">
        <f t="shared" si="25"/>
        <v>4.4982888432580426</v>
      </c>
      <c r="G75" s="86">
        <f t="shared" si="25"/>
        <v>5.4976043805612598</v>
      </c>
      <c r="H75" s="86">
        <f t="shared" si="25"/>
        <v>6.4996577686516082</v>
      </c>
      <c r="I75" s="86">
        <f t="shared" si="25"/>
        <v>7.4989733059548254</v>
      </c>
      <c r="J75" s="86">
        <f t="shared" si="25"/>
        <v>8.4982888432580417</v>
      </c>
      <c r="K75" s="86">
        <f t="shared" si="25"/>
        <v>9.4976043805612598</v>
      </c>
      <c r="L75" s="86">
        <f t="shared" si="25"/>
        <v>10.499657768651609</v>
      </c>
      <c r="M75" s="86">
        <f t="shared" si="25"/>
        <v>11.498973305954825</v>
      </c>
      <c r="N75" s="86">
        <f t="shared" si="25"/>
        <v>12.498288843258042</v>
      </c>
      <c r="O75" s="86">
        <f t="shared" si="25"/>
        <v>13.49760438056126</v>
      </c>
      <c r="P75" s="86">
        <f t="shared" si="25"/>
        <v>14.499657768651609</v>
      </c>
      <c r="Q75" s="86">
        <f t="shared" si="25"/>
        <v>15.498973305954825</v>
      </c>
      <c r="R75" s="86">
        <f t="shared" si="25"/>
        <v>16.498288843258042</v>
      </c>
      <c r="S75" s="86">
        <f t="shared" si="25"/>
        <v>17.49760438056126</v>
      </c>
      <c r="T75" s="86">
        <f t="shared" si="25"/>
        <v>18.499657768651609</v>
      </c>
      <c r="U75" s="86">
        <f t="shared" si="25"/>
        <v>19.498973305954827</v>
      </c>
      <c r="V75" s="86">
        <f t="shared" si="25"/>
        <v>20.498288843258042</v>
      </c>
      <c r="W75" s="86">
        <f t="shared" si="25"/>
        <v>21.49760438056126</v>
      </c>
      <c r="X75" s="86">
        <f t="shared" si="25"/>
        <v>22.499657768651609</v>
      </c>
      <c r="Y75" s="86">
        <f t="shared" si="25"/>
        <v>23.498973305954827</v>
      </c>
      <c r="Z75" s="86">
        <f t="shared" si="25"/>
        <v>24.498288843258042</v>
      </c>
      <c r="AA75" s="86">
        <f t="shared" si="25"/>
        <v>25.49760438056126</v>
      </c>
      <c r="AB75" s="86">
        <f t="shared" si="25"/>
        <v>26.499657768651609</v>
      </c>
      <c r="AC75" s="86">
        <f t="shared" si="25"/>
        <v>27.498973305954827</v>
      </c>
      <c r="AD75" s="86">
        <f t="shared" si="25"/>
        <v>28.498288843258042</v>
      </c>
      <c r="AE75" s="86">
        <f t="shared" si="25"/>
        <v>29.49760438056126</v>
      </c>
      <c r="AF75" s="86">
        <f t="shared" si="25"/>
        <v>29.579739904175224</v>
      </c>
      <c r="AG75" s="86"/>
      <c r="AH75" s="86"/>
      <c r="AI75" s="86"/>
      <c r="AJ75" s="86"/>
      <c r="AK75" s="86"/>
      <c r="AL75" s="86"/>
      <c r="AM75" s="86"/>
      <c r="AN75" s="86"/>
      <c r="AO75" s="48"/>
      <c r="AP75" s="48"/>
    </row>
    <row r="76" spans="1:43"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48"/>
      <c r="AP76" s="48"/>
    </row>
    <row r="77" spans="1:43">
      <c r="A77" s="11" t="s">
        <v>83</v>
      </c>
      <c r="B77" s="442" t="e">
        <f ca="1">(SUMPRODUCT(B74:AF74,B35:AF35)+SUMPRODUCT(B75:AF75,B26:AF26))/E67</f>
        <v>#N/A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9"/>
      <c r="AB78" s="89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5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66"/>
      <c r="AB79" s="366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pans="27:28">
      <c r="AA81" s="12"/>
      <c r="AB81" s="12"/>
    </row>
    <row r="82" spans="27:28">
      <c r="AA82" s="12"/>
      <c r="AB82" s="12"/>
    </row>
    <row r="83" spans="27:28">
      <c r="AA83" s="12"/>
      <c r="AB83" s="12"/>
    </row>
    <row r="84" spans="27:28">
      <c r="AA84" s="12"/>
      <c r="AB84" s="12"/>
    </row>
    <row r="85" spans="27:28">
      <c r="AA85" s="12"/>
      <c r="AB85" s="12"/>
    </row>
    <row r="86" spans="27:28">
      <c r="AA86" s="12"/>
      <c r="AB86" s="12"/>
    </row>
    <row r="87" spans="27:28">
      <c r="AA87" s="12"/>
      <c r="AB87" s="12"/>
    </row>
    <row r="88" spans="27:28">
      <c r="AA88" s="12"/>
      <c r="AB88" s="12"/>
    </row>
    <row r="89" spans="27:28">
      <c r="AA89" s="12"/>
      <c r="AB89" s="12"/>
    </row>
    <row r="90" spans="27:28">
      <c r="AA90" s="12"/>
      <c r="AB90" s="12"/>
    </row>
    <row r="91" spans="27:28">
      <c r="AA91" s="12"/>
      <c r="AB91" s="12"/>
    </row>
    <row r="92" spans="27:28">
      <c r="AA92" s="12"/>
      <c r="AB92" s="12"/>
    </row>
    <row r="93" spans="27:28">
      <c r="AA93" s="12"/>
      <c r="AB93" s="12"/>
    </row>
    <row r="94" spans="27:28">
      <c r="AA94" s="12"/>
      <c r="AB94" s="12"/>
    </row>
    <row r="95" spans="27:28">
      <c r="AA95" s="12"/>
      <c r="AB95" s="12"/>
    </row>
    <row r="96" spans="27:28">
      <c r="AA96" s="12"/>
      <c r="AB96" s="12"/>
    </row>
    <row r="97" spans="27:28">
      <c r="AA97" s="12"/>
      <c r="AB97" s="12"/>
    </row>
    <row r="98" spans="27:28">
      <c r="AA98" s="12"/>
      <c r="AB98" s="12"/>
    </row>
    <row r="99" spans="27:28">
      <c r="AA99" s="12"/>
      <c r="AB99" s="12"/>
    </row>
    <row r="100" spans="27:28">
      <c r="AA100" s="12"/>
      <c r="AB100" s="12"/>
    </row>
    <row r="101" spans="27:28">
      <c r="AA101" s="12"/>
      <c r="AB101" s="12"/>
    </row>
    <row r="102" spans="27:28">
      <c r="AA102" s="12"/>
      <c r="AB102" s="12"/>
    </row>
    <row r="103" spans="27:28">
      <c r="AA103" s="12"/>
      <c r="AB103" s="12"/>
    </row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342900</xdr:colOff>
                    <xdr:row>15</xdr:row>
                    <xdr:rowOff>28575</xdr:rowOff>
                  </from>
                  <to>
                    <xdr:col>0</xdr:col>
                    <xdr:colOff>1933575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zoomScale="75" zoomScaleNormal="75" workbookViewId="0">
      <selection activeCell="B7" sqref="B7"/>
    </sheetView>
  </sheetViews>
  <sheetFormatPr defaultRowHeight="12.75"/>
  <cols>
    <col min="1" max="1" width="55.7109375" style="12" customWidth="1"/>
    <col min="2" max="2" width="9.7109375" style="12" customWidth="1"/>
    <col min="3" max="3" width="10" style="24" bestFit="1" customWidth="1"/>
    <col min="4" max="4" width="14.85546875" style="12" customWidth="1"/>
    <col min="5" max="5" width="14.140625" style="12" customWidth="1"/>
    <col min="6" max="6" width="11.140625" style="12" customWidth="1"/>
    <col min="7" max="9" width="11.5703125" style="12" customWidth="1"/>
    <col min="10" max="10" width="11.28515625" style="12" customWidth="1"/>
    <col min="11" max="11" width="11.5703125" style="12" customWidth="1"/>
    <col min="12" max="12" width="11.28515625" style="12" customWidth="1"/>
    <col min="13" max="14" width="11.5703125" style="12" customWidth="1"/>
    <col min="15" max="15" width="11.140625" style="12" customWidth="1"/>
    <col min="16" max="16" width="10.5703125" style="12" customWidth="1"/>
    <col min="17" max="19" width="11.140625" style="12" customWidth="1"/>
    <col min="20" max="20" width="10.85546875" style="12" customWidth="1"/>
    <col min="21" max="21" width="11.140625" style="12" customWidth="1"/>
    <col min="22" max="22" width="10.85546875" style="12" customWidth="1"/>
    <col min="23" max="24" width="11.140625" style="12" customWidth="1"/>
    <col min="25" max="34" width="11.5703125" style="12" customWidth="1"/>
    <col min="35" max="16384" width="9.140625" style="12"/>
  </cols>
  <sheetData>
    <row r="2" spans="1:34" ht="21" customHeight="1">
      <c r="A2" s="87" t="str">
        <f>Assumptions!A3</f>
        <v>PROJECT NAME:</v>
      </c>
    </row>
    <row r="4" spans="1:34" ht="18.75">
      <c r="A4" s="60" t="s">
        <v>95</v>
      </c>
    </row>
    <row r="5" spans="1:34">
      <c r="Z5" s="166"/>
    </row>
    <row r="6" spans="1:34">
      <c r="D6" s="212">
        <f>'Price_Technical Assumption'!D7</f>
        <v>0.66666666666666663</v>
      </c>
      <c r="E6" s="212">
        <f>'Price_Technical Assumption'!E7</f>
        <v>1.6666666666666665</v>
      </c>
      <c r="F6" s="212">
        <f>'Price_Technical Assumption'!F7</f>
        <v>2.6666666666666665</v>
      </c>
      <c r="G6" s="212">
        <f>'Price_Technical Assumption'!G7</f>
        <v>3.6666666666666665</v>
      </c>
      <c r="H6" s="212">
        <f>'Price_Technical Assumption'!H7</f>
        <v>4.6666666666666661</v>
      </c>
      <c r="I6" s="212">
        <f>'Price_Technical Assumption'!I7</f>
        <v>5.6666666666666661</v>
      </c>
      <c r="J6" s="212">
        <f>'Price_Technical Assumption'!J7</f>
        <v>6.6666666666666661</v>
      </c>
      <c r="K6" s="212">
        <f>'Price_Technical Assumption'!K7</f>
        <v>7.6666666666666661</v>
      </c>
      <c r="L6" s="212">
        <f>'Price_Technical Assumption'!L7</f>
        <v>8.6666666666666661</v>
      </c>
      <c r="M6" s="212">
        <f>'Price_Technical Assumption'!M7</f>
        <v>9.6666666666666661</v>
      </c>
      <c r="N6" s="212">
        <f>'Price_Technical Assumption'!N7</f>
        <v>10.666666666666666</v>
      </c>
      <c r="O6" s="212">
        <f>'Price_Technical Assumption'!O7</f>
        <v>11.666666666666666</v>
      </c>
      <c r="P6" s="212">
        <f>'Price_Technical Assumption'!P7</f>
        <v>12.666666666666666</v>
      </c>
      <c r="Q6" s="212">
        <f>'Price_Technical Assumption'!Q7</f>
        <v>13.666666666666666</v>
      </c>
      <c r="R6" s="212">
        <f>'Price_Technical Assumption'!R7</f>
        <v>14.666666666666666</v>
      </c>
      <c r="S6" s="212">
        <f>'Price_Technical Assumption'!S7</f>
        <v>15.666666666666666</v>
      </c>
      <c r="T6" s="212">
        <f>'Price_Technical Assumption'!T7</f>
        <v>16.666666666666664</v>
      </c>
      <c r="U6" s="212">
        <f>'Price_Technical Assumption'!U7</f>
        <v>17.666666666666664</v>
      </c>
      <c r="V6" s="212">
        <f>'Price_Technical Assumption'!V7</f>
        <v>18.666666666666664</v>
      </c>
      <c r="W6" s="212">
        <f>'Price_Technical Assumption'!W7</f>
        <v>19.666666666666664</v>
      </c>
      <c r="X6" s="212">
        <f>'Price_Technical Assumption'!X7</f>
        <v>20.666666666666664</v>
      </c>
      <c r="Y6" s="212">
        <f>'Price_Technical Assumption'!Y7</f>
        <v>21.666666666666664</v>
      </c>
      <c r="Z6" s="212">
        <f>'Price_Technical Assumption'!Z7</f>
        <v>22.666666666666664</v>
      </c>
      <c r="AA6" s="212">
        <f>'Price_Technical Assumption'!AA7</f>
        <v>23.666666666666664</v>
      </c>
      <c r="AB6" s="212">
        <f>'Price_Technical Assumption'!AB7</f>
        <v>24.666666666666664</v>
      </c>
      <c r="AC6" s="212">
        <f>'Price_Technical Assumption'!AC7</f>
        <v>25.666666666666664</v>
      </c>
      <c r="AD6" s="212">
        <f>'Price_Technical Assumption'!AD7</f>
        <v>26.666666666666664</v>
      </c>
      <c r="AE6" s="212">
        <f>'Price_Technical Assumption'!AE7</f>
        <v>27.666666666666664</v>
      </c>
      <c r="AF6" s="212">
        <f>'Price_Technical Assumption'!AF7</f>
        <v>28.666666666666664</v>
      </c>
      <c r="AG6" s="212">
        <f>'Price_Technical Assumption'!AG7</f>
        <v>29.666666666666664</v>
      </c>
      <c r="AH6" s="212">
        <f>'Price_Technical Assumption'!AH7</f>
        <v>30.666666666666664</v>
      </c>
    </row>
    <row r="7" spans="1:34" s="25" customFormat="1" ht="13.5" thickBot="1">
      <c r="A7" s="123" t="s">
        <v>40</v>
      </c>
      <c r="B7" s="143"/>
      <c r="C7" s="143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8"/>
      <c r="B8" s="144"/>
      <c r="C8" s="144"/>
      <c r="D8" s="206">
        <f>IS!C8</f>
        <v>37256</v>
      </c>
      <c r="E8" s="206">
        <f>IS!D8</f>
        <v>37621</v>
      </c>
      <c r="F8" s="206">
        <f>IS!E8</f>
        <v>37986</v>
      </c>
      <c r="G8" s="206">
        <f>IS!F8</f>
        <v>38352</v>
      </c>
      <c r="H8" s="206">
        <f>IS!G8</f>
        <v>38717</v>
      </c>
      <c r="I8" s="206">
        <f>IS!H8</f>
        <v>39082</v>
      </c>
      <c r="J8" s="206">
        <f>IS!I8</f>
        <v>39447</v>
      </c>
      <c r="K8" s="206">
        <f>IS!J8</f>
        <v>39813</v>
      </c>
      <c r="L8" s="206">
        <f>IS!K8</f>
        <v>40178</v>
      </c>
      <c r="M8" s="206">
        <f>IS!L8</f>
        <v>40543</v>
      </c>
      <c r="N8" s="206">
        <f>IS!M8</f>
        <v>40908</v>
      </c>
      <c r="O8" s="206">
        <f>IS!N8</f>
        <v>41274</v>
      </c>
      <c r="P8" s="206">
        <f>IS!O8</f>
        <v>41639</v>
      </c>
      <c r="Q8" s="206">
        <f>IS!P8</f>
        <v>42004</v>
      </c>
      <c r="R8" s="206">
        <f>IS!Q8</f>
        <v>42369</v>
      </c>
      <c r="S8" s="206">
        <f>IS!R8</f>
        <v>42735</v>
      </c>
      <c r="T8" s="206">
        <f>IS!S8</f>
        <v>43100</v>
      </c>
      <c r="U8" s="206">
        <f>IS!T8</f>
        <v>43465</v>
      </c>
      <c r="V8" s="206">
        <f>IS!U8</f>
        <v>43830</v>
      </c>
      <c r="W8" s="206">
        <f>IS!V8</f>
        <v>44196</v>
      </c>
      <c r="X8" s="206">
        <f>IS!W8</f>
        <v>44561</v>
      </c>
      <c r="Y8" s="206">
        <f>IS!X8</f>
        <v>44926</v>
      </c>
      <c r="Z8" s="206">
        <f>IS!Y8</f>
        <v>45291</v>
      </c>
      <c r="AA8" s="206">
        <f>IS!Z8</f>
        <v>45657</v>
      </c>
      <c r="AB8" s="206">
        <f>IS!AA8</f>
        <v>46022</v>
      </c>
      <c r="AC8" s="206">
        <f>IS!AB8</f>
        <v>46387</v>
      </c>
      <c r="AD8" s="206">
        <f>IS!AC8</f>
        <v>46752</v>
      </c>
      <c r="AE8" s="206">
        <f>IS!AD8</f>
        <v>47118</v>
      </c>
      <c r="AF8" s="206">
        <f>IS!AE8</f>
        <v>47483</v>
      </c>
      <c r="AG8" s="206">
        <f>IS!AF8</f>
        <v>47848</v>
      </c>
      <c r="AH8" s="206">
        <f>IS!AG8</f>
        <v>48213</v>
      </c>
    </row>
    <row r="9" spans="1:34" ht="15.75">
      <c r="A9" s="26"/>
    </row>
    <row r="10" spans="1:34" s="10" customFormat="1">
      <c r="A10" s="27" t="s">
        <v>61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62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251</v>
      </c>
      <c r="B12" s="31">
        <f>Assumptions!$N$39</f>
        <v>15</v>
      </c>
      <c r="C12" s="32"/>
      <c r="D12" s="267">
        <v>0.05</v>
      </c>
      <c r="E12" s="267">
        <v>9.5000000000000001E-2</v>
      </c>
      <c r="F12" s="267">
        <v>8.5500000000000007E-2</v>
      </c>
      <c r="G12" s="267">
        <v>7.6999999999999999E-2</v>
      </c>
      <c r="H12" s="267">
        <v>6.93E-2</v>
      </c>
      <c r="I12" s="267">
        <v>6.2300000000000001E-2</v>
      </c>
      <c r="J12" s="267">
        <v>5.8999999999999997E-2</v>
      </c>
      <c r="K12" s="267">
        <v>5.91E-2</v>
      </c>
      <c r="L12" s="267">
        <v>5.8999999999999997E-2</v>
      </c>
      <c r="M12" s="267">
        <v>5.91E-2</v>
      </c>
      <c r="N12" s="267">
        <v>5.8999999999999997E-2</v>
      </c>
      <c r="O12" s="267">
        <v>5.91E-2</v>
      </c>
      <c r="P12" s="267">
        <v>5.8999999999999997E-2</v>
      </c>
      <c r="Q12" s="267">
        <v>5.91E-2</v>
      </c>
      <c r="R12" s="267">
        <v>5.8999999999999997E-2</v>
      </c>
      <c r="S12" s="267">
        <v>2.9499999999999998E-2</v>
      </c>
      <c r="T12" s="267">
        <v>0</v>
      </c>
      <c r="U12" s="267">
        <v>0</v>
      </c>
      <c r="V12" s="267">
        <v>0</v>
      </c>
      <c r="W12" s="267">
        <v>0</v>
      </c>
      <c r="X12" s="267">
        <v>0</v>
      </c>
      <c r="Y12" s="267">
        <v>0</v>
      </c>
      <c r="Z12" s="267">
        <v>0</v>
      </c>
      <c r="AA12" s="267">
        <v>0</v>
      </c>
      <c r="AB12" s="267">
        <v>0</v>
      </c>
      <c r="AC12" s="267">
        <v>0</v>
      </c>
      <c r="AD12" s="267">
        <v>0</v>
      </c>
      <c r="AE12" s="267">
        <v>0</v>
      </c>
      <c r="AF12" s="267">
        <v>0</v>
      </c>
      <c r="AG12" s="267">
        <v>0</v>
      </c>
      <c r="AH12" s="267">
        <v>0</v>
      </c>
    </row>
    <row r="13" spans="1:34" s="10" customFormat="1">
      <c r="A13" s="21" t="s">
        <v>252</v>
      </c>
      <c r="B13" s="31">
        <f>Assumptions!$N$40</f>
        <v>5</v>
      </c>
      <c r="C13" s="32"/>
      <c r="D13" s="267">
        <f>1/$B$13*D6</f>
        <v>0.13333333333333333</v>
      </c>
      <c r="E13" s="267">
        <f>1/$B$13</f>
        <v>0.2</v>
      </c>
      <c r="F13" s="267">
        <f>1/$B$13</f>
        <v>0.2</v>
      </c>
      <c r="G13" s="267">
        <f>1/$B$13</f>
        <v>0.2</v>
      </c>
      <c r="H13" s="267">
        <f>1/$B$13</f>
        <v>0.2</v>
      </c>
      <c r="I13" s="267">
        <f>1/B13-D13</f>
        <v>6.666666666666668E-2</v>
      </c>
      <c r="J13" s="267">
        <v>0</v>
      </c>
      <c r="K13" s="267">
        <v>0</v>
      </c>
      <c r="L13" s="267">
        <v>0</v>
      </c>
      <c r="M13" s="267">
        <v>0</v>
      </c>
      <c r="N13" s="267">
        <v>0</v>
      </c>
      <c r="O13" s="267">
        <v>0</v>
      </c>
      <c r="P13" s="267">
        <v>0</v>
      </c>
      <c r="Q13" s="267">
        <v>0</v>
      </c>
      <c r="R13" s="267">
        <v>0</v>
      </c>
      <c r="S13" s="267">
        <v>0</v>
      </c>
      <c r="T13" s="267">
        <v>0</v>
      </c>
      <c r="U13" s="267">
        <v>0</v>
      </c>
      <c r="V13" s="267">
        <v>0</v>
      </c>
      <c r="W13" s="267">
        <v>0</v>
      </c>
      <c r="X13" s="267">
        <v>0</v>
      </c>
      <c r="Y13" s="267">
        <v>0</v>
      </c>
      <c r="Z13" s="267">
        <v>0</v>
      </c>
      <c r="AA13" s="267">
        <v>0</v>
      </c>
      <c r="AB13" s="267">
        <v>0</v>
      </c>
      <c r="AC13" s="267">
        <v>0</v>
      </c>
      <c r="AD13" s="267">
        <v>0</v>
      </c>
      <c r="AE13" s="267">
        <v>0</v>
      </c>
      <c r="AF13" s="267">
        <v>0</v>
      </c>
      <c r="AG13" s="267">
        <v>0</v>
      </c>
      <c r="AH13" s="267">
        <v>0</v>
      </c>
    </row>
    <row r="14" spans="1:34" s="70" customFormat="1">
      <c r="A14" s="22" t="s">
        <v>319</v>
      </c>
      <c r="B14" s="68">
        <f>Assumptions!$N$41</f>
        <v>20</v>
      </c>
      <c r="C14" s="69"/>
      <c r="D14" s="267">
        <f>1/Assumptions!$N$41*D6</f>
        <v>3.3333333333333333E-2</v>
      </c>
      <c r="E14" s="267">
        <f>IF(AND(E6&gt;=Assumptions!$N$41,D6&lt;Assumptions!$N$41),1/Assumptions!$N$41-Depreciation!$D$14,IF(E6&lt;Assumptions!$N$41,1/Assumptions!$N$41,0))</f>
        <v>0.05</v>
      </c>
      <c r="F14" s="267">
        <f>IF(AND(F6&gt;=Assumptions!$N$41,E6&lt;Assumptions!$N$41),1/Assumptions!$N$41-Depreciation!$D$14,IF(F6&lt;Assumptions!$N$41,1/Assumptions!$N$41,0))</f>
        <v>0.05</v>
      </c>
      <c r="G14" s="267">
        <f>IF(AND(G6&gt;=Assumptions!$N$41,F6&lt;Assumptions!$N$41),1/Assumptions!$N$41-Depreciation!$D$14,IF(G6&lt;Assumptions!$N$41,1/Assumptions!$N$41,0))</f>
        <v>0.05</v>
      </c>
      <c r="H14" s="267">
        <f>IF(AND(H6&gt;=Assumptions!$N$41,G6&lt;Assumptions!$N$41),1/Assumptions!$N$41-Depreciation!$D$14,IF(H6&lt;Assumptions!$N$41,1/Assumptions!$N$41,0))</f>
        <v>0.05</v>
      </c>
      <c r="I14" s="267">
        <f>IF(AND(I6&gt;=Assumptions!$N$41,H6&lt;Assumptions!$N$41),1/Assumptions!$N$41-Depreciation!$D$14,IF(I6&lt;Assumptions!$N$41,1/Assumptions!$N$41,0))</f>
        <v>0.05</v>
      </c>
      <c r="J14" s="267">
        <f>IF(AND(J6&gt;=Assumptions!$N$41,I6&lt;Assumptions!$N$41),1/Assumptions!$N$41-Depreciation!$D$14,IF(J6&lt;Assumptions!$N$41,1/Assumptions!$N$41,0))</f>
        <v>0.05</v>
      </c>
      <c r="K14" s="267">
        <f>IF(AND(K6&gt;=Assumptions!$N$41,J6&lt;Assumptions!$N$41),1/Assumptions!$N$41-Depreciation!$D$14,IF(K6&lt;Assumptions!$N$41,1/Assumptions!$N$41,0))</f>
        <v>0.05</v>
      </c>
      <c r="L14" s="267">
        <f>IF(AND(L6&gt;=Assumptions!$N$41,K6&lt;Assumptions!$N$41),1/Assumptions!$N$41-Depreciation!$D$14,IF(L6&lt;Assumptions!$N$41,1/Assumptions!$N$41,0))</f>
        <v>0.05</v>
      </c>
      <c r="M14" s="267">
        <f>IF(AND(M6&gt;=Assumptions!$N$41,L6&lt;Assumptions!$N$41),1/Assumptions!$N$41-Depreciation!$D$14,IF(M6&lt;Assumptions!$N$41,1/Assumptions!$N$41,0))</f>
        <v>0.05</v>
      </c>
      <c r="N14" s="267">
        <f>IF(AND(N6&gt;=Assumptions!$N$41,M6&lt;Assumptions!$N$41),1/Assumptions!$N$41-Depreciation!$D$14,IF(N6&lt;Assumptions!$N$41,1/Assumptions!$N$41,0))</f>
        <v>0.05</v>
      </c>
      <c r="O14" s="267">
        <f>IF(AND(O6&gt;=Assumptions!$N$41,N6&lt;Assumptions!$N$41),1/Assumptions!$N$41-Depreciation!$D$14,IF(O6&lt;Assumptions!$N$41,1/Assumptions!$N$41,0))</f>
        <v>0.05</v>
      </c>
      <c r="P14" s="267">
        <f>IF(AND(P6&gt;=Assumptions!$N$41,O6&lt;Assumptions!$N$41),1/Assumptions!$N$41-Depreciation!$D$14,IF(P6&lt;Assumptions!$N$41,1/Assumptions!$N$41,0))</f>
        <v>0.05</v>
      </c>
      <c r="Q14" s="267">
        <f>IF(AND(Q6&gt;=Assumptions!$N$41,P6&lt;Assumptions!$N$41),1/Assumptions!$N$41-Depreciation!$D$14,IF(Q6&lt;Assumptions!$N$41,1/Assumptions!$N$41,0))</f>
        <v>0.05</v>
      </c>
      <c r="R14" s="267">
        <f>IF(AND(R6&gt;=Assumptions!$N$41,Q6&lt;Assumptions!$N$41),1/Assumptions!$N$41-Depreciation!$D$14,IF(R6&lt;Assumptions!$N$41,1/Assumptions!$N$41,0))</f>
        <v>0.05</v>
      </c>
      <c r="S14" s="267">
        <f>IF(AND(S6&gt;=Assumptions!$N$41,R6&lt;Assumptions!$N$41),1/Assumptions!$N$41-Depreciation!$D$14,IF(S6&lt;Assumptions!$N$41,1/Assumptions!$N$41,0))</f>
        <v>0.05</v>
      </c>
      <c r="T14" s="267">
        <f>IF(AND(T6&gt;=Assumptions!$N$41,S6&lt;Assumptions!$N$41),1/Assumptions!$N$41-Depreciation!$D$14,IF(T6&lt;Assumptions!$N$41,1/Assumptions!$N$41,0))</f>
        <v>0.05</v>
      </c>
      <c r="U14" s="267">
        <f>IF(AND(U6&gt;=Assumptions!$N$41,T6&lt;Assumptions!$N$41),1/Assumptions!$N$41-Depreciation!$D$14,IF(U6&lt;Assumptions!$N$41,1/Assumptions!$N$41,0))</f>
        <v>0.05</v>
      </c>
      <c r="V14" s="267">
        <f>IF(AND(V6&gt;=Assumptions!$N$41,U6&lt;Assumptions!$N$41),1/Assumptions!$N$41-Depreciation!$D$14,IF(V6&lt;Assumptions!$N$41,1/Assumptions!$N$41,0))</f>
        <v>0.05</v>
      </c>
      <c r="W14" s="267">
        <f>IF(AND(W6&gt;=Assumptions!$N$41,V6&lt;Assumptions!$N$41),1/Assumptions!$N$41-Depreciation!$D$14,IF(W6&lt;Assumptions!$N$41,1/Assumptions!$N$41,0))</f>
        <v>0.05</v>
      </c>
      <c r="X14" s="267">
        <f>IF(AND(X6&gt;=Assumptions!$N$41,W6&lt;Assumptions!$N$41),1/Assumptions!$N$41-Depreciation!$D$14,IF(X6&lt;Assumptions!$N$41,1/Assumptions!$N$41,0))</f>
        <v>1.666666666666667E-2</v>
      </c>
      <c r="Y14" s="267">
        <f>IF(AND(Y6&gt;=Assumptions!$N$41,X6&lt;Assumptions!$N$41),1/Assumptions!$N$41-Depreciation!$D$14,IF(Y6&lt;Assumptions!$N$41,1/Assumptions!$N$41,0))</f>
        <v>0</v>
      </c>
      <c r="Z14" s="267">
        <f>IF(AND(Z6&gt;=Assumptions!$N$41,Y6&lt;Assumptions!$N$41),1/Assumptions!$N$41-Depreciation!$D$14,IF(Z6&lt;Assumptions!$N$41,1/Assumptions!$N$41,0))</f>
        <v>0</v>
      </c>
      <c r="AA14" s="267">
        <f>IF(AND(AA6&gt;=Assumptions!$N$41,Z6&lt;Assumptions!$N$41),1/Assumptions!$N$41-Depreciation!$D$14,IF(AA6&lt;Assumptions!$N$41,1/Assumptions!$N$41,0))</f>
        <v>0</v>
      </c>
      <c r="AB14" s="267">
        <f>IF(AND(AB6&gt;=Assumptions!$N$41,AA6&lt;Assumptions!$N$41),1/Assumptions!$N$41-Depreciation!$D$14,IF(AB6&lt;Assumptions!$N$41,1/Assumptions!$N$41,0))</f>
        <v>0</v>
      </c>
      <c r="AC14" s="267">
        <f>IF(AND(AC6&gt;=Assumptions!$N$41,AB6&lt;Assumptions!$N$41),1/Assumptions!$N$41-Depreciation!$D$14,IF(AC6&lt;Assumptions!$N$41,1/Assumptions!$N$41,0))</f>
        <v>0</v>
      </c>
      <c r="AD14" s="267">
        <f>IF(AND(AD6&gt;=Assumptions!$N$41,AC6&lt;Assumptions!$N$41),1/Assumptions!$N$41-Depreciation!$D$14,IF(AD6&lt;Assumptions!$N$41,1/Assumptions!$N$41,0))</f>
        <v>0</v>
      </c>
      <c r="AE14" s="267">
        <f>IF(AND(AE6&gt;=Assumptions!$N$41,AD6&lt;Assumptions!$N$41),1/Assumptions!$N$41-Depreciation!$D$14,IF(AE6&lt;Assumptions!$N$41,1/Assumptions!$N$41,0))</f>
        <v>0</v>
      </c>
      <c r="AF14" s="267">
        <f>IF(AND(AF6&gt;=Assumptions!$N$41,AE6&lt;Assumptions!$N$41),1/Assumptions!$N$41-Depreciation!$D$14,IF(AF6&lt;Assumptions!$N$41,1/Assumptions!$N$41,0))</f>
        <v>0</v>
      </c>
      <c r="AG14" s="267">
        <f>IF(AND(AG6&gt;=Assumptions!$N$41,AF6&lt;Assumptions!$N$41),1/Assumptions!$N$41-Depreciation!$D$14,IF(AG6&lt;Assumptions!$N$41,1/Assumptions!$N$41,0))</f>
        <v>0</v>
      </c>
      <c r="AH14" s="267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251</v>
      </c>
      <c r="B16" s="356" t="e">
        <f>Assumptions!C34+Assumptions!C46+Assumptions!C38</f>
        <v>#N/A</v>
      </c>
      <c r="C16" s="290"/>
      <c r="D16" s="18" t="e">
        <f>$B$16*D12</f>
        <v>#N/A</v>
      </c>
      <c r="E16" s="18" t="e">
        <f t="shared" ref="E16:Y16" si="0">$B$16*E12</f>
        <v>#N/A</v>
      </c>
      <c r="F16" s="18" t="e">
        <f t="shared" si="0"/>
        <v>#N/A</v>
      </c>
      <c r="G16" s="18" t="e">
        <f t="shared" si="0"/>
        <v>#N/A</v>
      </c>
      <c r="H16" s="18" t="e">
        <f t="shared" si="0"/>
        <v>#N/A</v>
      </c>
      <c r="I16" s="18" t="e">
        <f t="shared" si="0"/>
        <v>#N/A</v>
      </c>
      <c r="J16" s="18" t="e">
        <f t="shared" si="0"/>
        <v>#N/A</v>
      </c>
      <c r="K16" s="18" t="e">
        <f t="shared" si="0"/>
        <v>#N/A</v>
      </c>
      <c r="L16" s="18" t="e">
        <f t="shared" si="0"/>
        <v>#N/A</v>
      </c>
      <c r="M16" s="18" t="e">
        <f t="shared" si="0"/>
        <v>#N/A</v>
      </c>
      <c r="N16" s="18" t="e">
        <f t="shared" si="0"/>
        <v>#N/A</v>
      </c>
      <c r="O16" s="18" t="e">
        <f t="shared" si="0"/>
        <v>#N/A</v>
      </c>
      <c r="P16" s="18" t="e">
        <f t="shared" si="0"/>
        <v>#N/A</v>
      </c>
      <c r="Q16" s="18" t="e">
        <f t="shared" si="0"/>
        <v>#N/A</v>
      </c>
      <c r="R16" s="18" t="e">
        <f t="shared" si="0"/>
        <v>#N/A</v>
      </c>
      <c r="S16" s="18" t="e">
        <f t="shared" si="0"/>
        <v>#N/A</v>
      </c>
      <c r="T16" s="18" t="e">
        <f t="shared" si="0"/>
        <v>#N/A</v>
      </c>
      <c r="U16" s="18" t="e">
        <f t="shared" si="0"/>
        <v>#N/A</v>
      </c>
      <c r="V16" s="18" t="e">
        <f t="shared" si="0"/>
        <v>#N/A</v>
      </c>
      <c r="W16" s="18" t="e">
        <f t="shared" si="0"/>
        <v>#N/A</v>
      </c>
      <c r="X16" s="18" t="e">
        <f t="shared" si="0"/>
        <v>#N/A</v>
      </c>
      <c r="Y16" s="18" t="e">
        <f t="shared" si="0"/>
        <v>#N/A</v>
      </c>
      <c r="Z16" s="18" t="e">
        <f t="shared" ref="Z16:AH16" si="1">$B$16*Z12</f>
        <v>#N/A</v>
      </c>
      <c r="AA16" s="18" t="e">
        <f t="shared" si="1"/>
        <v>#N/A</v>
      </c>
      <c r="AB16" s="18" t="e">
        <f t="shared" si="1"/>
        <v>#N/A</v>
      </c>
      <c r="AC16" s="18" t="e">
        <f t="shared" si="1"/>
        <v>#N/A</v>
      </c>
      <c r="AD16" s="18" t="e">
        <f t="shared" si="1"/>
        <v>#N/A</v>
      </c>
      <c r="AE16" s="18" t="e">
        <f t="shared" si="1"/>
        <v>#N/A</v>
      </c>
      <c r="AF16" s="18" t="e">
        <f t="shared" si="1"/>
        <v>#N/A</v>
      </c>
      <c r="AG16" s="18" t="e">
        <f t="shared" si="1"/>
        <v>#N/A</v>
      </c>
      <c r="AH16" s="18" t="e">
        <f t="shared" si="1"/>
        <v>#N/A</v>
      </c>
    </row>
    <row r="17" spans="1:36" s="10" customFormat="1">
      <c r="A17" s="21" t="s">
        <v>252</v>
      </c>
      <c r="B17" s="289" t="e">
        <f>Assumptions!C50-Assumptions!C46-Assumptions!C47</f>
        <v>#N/A</v>
      </c>
      <c r="C17" s="290"/>
      <c r="D17" s="287" t="e">
        <f>$B$17*D13</f>
        <v>#N/A</v>
      </c>
      <c r="E17" s="287" t="e">
        <f t="shared" ref="E17:AH17" si="2">$B$17*E13</f>
        <v>#N/A</v>
      </c>
      <c r="F17" s="287" t="e">
        <f t="shared" si="2"/>
        <v>#N/A</v>
      </c>
      <c r="G17" s="287" t="e">
        <f t="shared" si="2"/>
        <v>#N/A</v>
      </c>
      <c r="H17" s="287" t="e">
        <f t="shared" si="2"/>
        <v>#N/A</v>
      </c>
      <c r="I17" s="287" t="e">
        <f t="shared" si="2"/>
        <v>#N/A</v>
      </c>
      <c r="J17" s="287" t="e">
        <f t="shared" si="2"/>
        <v>#N/A</v>
      </c>
      <c r="K17" s="287" t="e">
        <f t="shared" si="2"/>
        <v>#N/A</v>
      </c>
      <c r="L17" s="287" t="e">
        <f t="shared" si="2"/>
        <v>#N/A</v>
      </c>
      <c r="M17" s="287" t="e">
        <f t="shared" si="2"/>
        <v>#N/A</v>
      </c>
      <c r="N17" s="287" t="e">
        <f t="shared" si="2"/>
        <v>#N/A</v>
      </c>
      <c r="O17" s="287" t="e">
        <f t="shared" si="2"/>
        <v>#N/A</v>
      </c>
      <c r="P17" s="287" t="e">
        <f t="shared" si="2"/>
        <v>#N/A</v>
      </c>
      <c r="Q17" s="287" t="e">
        <f t="shared" si="2"/>
        <v>#N/A</v>
      </c>
      <c r="R17" s="287" t="e">
        <f t="shared" si="2"/>
        <v>#N/A</v>
      </c>
      <c r="S17" s="287" t="e">
        <f t="shared" si="2"/>
        <v>#N/A</v>
      </c>
      <c r="T17" s="287" t="e">
        <f t="shared" si="2"/>
        <v>#N/A</v>
      </c>
      <c r="U17" s="287" t="e">
        <f t="shared" si="2"/>
        <v>#N/A</v>
      </c>
      <c r="V17" s="287" t="e">
        <f t="shared" si="2"/>
        <v>#N/A</v>
      </c>
      <c r="W17" s="287" t="e">
        <f t="shared" si="2"/>
        <v>#N/A</v>
      </c>
      <c r="X17" s="287" t="e">
        <f t="shared" si="2"/>
        <v>#N/A</v>
      </c>
      <c r="Y17" s="287" t="e">
        <f t="shared" si="2"/>
        <v>#N/A</v>
      </c>
      <c r="Z17" s="287" t="e">
        <f t="shared" si="2"/>
        <v>#N/A</v>
      </c>
      <c r="AA17" s="287" t="e">
        <f t="shared" si="2"/>
        <v>#N/A</v>
      </c>
      <c r="AB17" s="287" t="e">
        <f t="shared" si="2"/>
        <v>#N/A</v>
      </c>
      <c r="AC17" s="287" t="e">
        <f t="shared" si="2"/>
        <v>#N/A</v>
      </c>
      <c r="AD17" s="287" t="e">
        <f t="shared" si="2"/>
        <v>#N/A</v>
      </c>
      <c r="AE17" s="287" t="e">
        <f t="shared" si="2"/>
        <v>#N/A</v>
      </c>
      <c r="AF17" s="287" t="e">
        <f t="shared" si="2"/>
        <v>#N/A</v>
      </c>
      <c r="AG17" s="287" t="e">
        <f t="shared" si="2"/>
        <v>#N/A</v>
      </c>
      <c r="AH17" s="287" t="e">
        <f t="shared" si="2"/>
        <v>#N/A</v>
      </c>
    </row>
    <row r="18" spans="1:36" s="10" customFormat="1" ht="15">
      <c r="A18" s="22" t="s">
        <v>319</v>
      </c>
      <c r="B18" s="357">
        <f>Assumptions!$C$56</f>
        <v>0</v>
      </c>
      <c r="C18" s="290"/>
      <c r="D18" s="358">
        <f>$B$18*D14</f>
        <v>0</v>
      </c>
      <c r="E18" s="358">
        <f t="shared" ref="E18:Y18" si="3">$B$18*E14</f>
        <v>0</v>
      </c>
      <c r="F18" s="358">
        <f t="shared" si="3"/>
        <v>0</v>
      </c>
      <c r="G18" s="358">
        <f t="shared" si="3"/>
        <v>0</v>
      </c>
      <c r="H18" s="358">
        <f t="shared" si="3"/>
        <v>0</v>
      </c>
      <c r="I18" s="358">
        <f t="shared" si="3"/>
        <v>0</v>
      </c>
      <c r="J18" s="358">
        <f t="shared" si="3"/>
        <v>0</v>
      </c>
      <c r="K18" s="358">
        <f t="shared" si="3"/>
        <v>0</v>
      </c>
      <c r="L18" s="358">
        <f t="shared" si="3"/>
        <v>0</v>
      </c>
      <c r="M18" s="358">
        <f t="shared" si="3"/>
        <v>0</v>
      </c>
      <c r="N18" s="358">
        <f t="shared" si="3"/>
        <v>0</v>
      </c>
      <c r="O18" s="358">
        <f t="shared" si="3"/>
        <v>0</v>
      </c>
      <c r="P18" s="358">
        <f t="shared" si="3"/>
        <v>0</v>
      </c>
      <c r="Q18" s="358">
        <f t="shared" si="3"/>
        <v>0</v>
      </c>
      <c r="R18" s="358">
        <f t="shared" si="3"/>
        <v>0</v>
      </c>
      <c r="S18" s="358">
        <f t="shared" si="3"/>
        <v>0</v>
      </c>
      <c r="T18" s="358">
        <f t="shared" si="3"/>
        <v>0</v>
      </c>
      <c r="U18" s="358">
        <f t="shared" si="3"/>
        <v>0</v>
      </c>
      <c r="V18" s="358">
        <f t="shared" si="3"/>
        <v>0</v>
      </c>
      <c r="W18" s="358">
        <f t="shared" si="3"/>
        <v>0</v>
      </c>
      <c r="X18" s="358">
        <f t="shared" si="3"/>
        <v>0</v>
      </c>
      <c r="Y18" s="358">
        <f t="shared" si="3"/>
        <v>0</v>
      </c>
      <c r="Z18" s="358">
        <f t="shared" ref="Z18:AH18" si="4">$B$18*Z14</f>
        <v>0</v>
      </c>
      <c r="AA18" s="358">
        <f t="shared" si="4"/>
        <v>0</v>
      </c>
      <c r="AB18" s="358">
        <f t="shared" si="4"/>
        <v>0</v>
      </c>
      <c r="AC18" s="358">
        <f t="shared" si="4"/>
        <v>0</v>
      </c>
      <c r="AD18" s="358">
        <f t="shared" si="4"/>
        <v>0</v>
      </c>
      <c r="AE18" s="358">
        <f t="shared" si="4"/>
        <v>0</v>
      </c>
      <c r="AF18" s="358">
        <f t="shared" si="4"/>
        <v>0</v>
      </c>
      <c r="AG18" s="358">
        <f t="shared" si="4"/>
        <v>0</v>
      </c>
      <c r="AH18" s="358">
        <f t="shared" si="4"/>
        <v>0</v>
      </c>
    </row>
    <row r="19" spans="1:36" s="10" customFormat="1">
      <c r="A19" s="22" t="s">
        <v>63</v>
      </c>
      <c r="B19" s="18" t="e">
        <f>SUM(B16:B18)</f>
        <v>#N/A</v>
      </c>
      <c r="C19" s="290"/>
      <c r="D19" s="18" t="e">
        <f t="shared" ref="D19:Y19" si="5">SUM(D16:D18)</f>
        <v>#N/A</v>
      </c>
      <c r="E19" s="18" t="e">
        <f t="shared" si="5"/>
        <v>#N/A</v>
      </c>
      <c r="F19" s="18" t="e">
        <f t="shared" si="5"/>
        <v>#N/A</v>
      </c>
      <c r="G19" s="18" t="e">
        <f t="shared" si="5"/>
        <v>#N/A</v>
      </c>
      <c r="H19" s="18" t="e">
        <f t="shared" si="5"/>
        <v>#N/A</v>
      </c>
      <c r="I19" s="18" t="e">
        <f t="shared" si="5"/>
        <v>#N/A</v>
      </c>
      <c r="J19" s="18" t="e">
        <f t="shared" si="5"/>
        <v>#N/A</v>
      </c>
      <c r="K19" s="18" t="e">
        <f t="shared" si="5"/>
        <v>#N/A</v>
      </c>
      <c r="L19" s="18" t="e">
        <f t="shared" si="5"/>
        <v>#N/A</v>
      </c>
      <c r="M19" s="18" t="e">
        <f t="shared" si="5"/>
        <v>#N/A</v>
      </c>
      <c r="N19" s="18" t="e">
        <f t="shared" si="5"/>
        <v>#N/A</v>
      </c>
      <c r="O19" s="18" t="e">
        <f t="shared" si="5"/>
        <v>#N/A</v>
      </c>
      <c r="P19" s="18" t="e">
        <f t="shared" si="5"/>
        <v>#N/A</v>
      </c>
      <c r="Q19" s="18" t="e">
        <f t="shared" si="5"/>
        <v>#N/A</v>
      </c>
      <c r="R19" s="18" t="e">
        <f t="shared" si="5"/>
        <v>#N/A</v>
      </c>
      <c r="S19" s="18" t="e">
        <f t="shared" si="5"/>
        <v>#N/A</v>
      </c>
      <c r="T19" s="18" t="e">
        <f t="shared" si="5"/>
        <v>#N/A</v>
      </c>
      <c r="U19" s="18" t="e">
        <f t="shared" si="5"/>
        <v>#N/A</v>
      </c>
      <c r="V19" s="18" t="e">
        <f t="shared" si="5"/>
        <v>#N/A</v>
      </c>
      <c r="W19" s="18" t="e">
        <f t="shared" si="5"/>
        <v>#N/A</v>
      </c>
      <c r="X19" s="18" t="e">
        <f t="shared" si="5"/>
        <v>#N/A</v>
      </c>
      <c r="Y19" s="18" t="e">
        <f t="shared" si="5"/>
        <v>#N/A</v>
      </c>
      <c r="Z19" s="18" t="e">
        <f t="shared" ref="Z19:AH19" si="6">SUM(Z16:Z18)</f>
        <v>#N/A</v>
      </c>
      <c r="AA19" s="18" t="e">
        <f t="shared" si="6"/>
        <v>#N/A</v>
      </c>
      <c r="AB19" s="18" t="e">
        <f t="shared" si="6"/>
        <v>#N/A</v>
      </c>
      <c r="AC19" s="18" t="e">
        <f t="shared" si="6"/>
        <v>#N/A</v>
      </c>
      <c r="AD19" s="18" t="e">
        <f t="shared" si="6"/>
        <v>#N/A</v>
      </c>
      <c r="AE19" s="18" t="e">
        <f t="shared" si="6"/>
        <v>#N/A</v>
      </c>
      <c r="AF19" s="18" t="e">
        <f t="shared" si="6"/>
        <v>#N/A</v>
      </c>
      <c r="AG19" s="18" t="e">
        <f t="shared" si="6"/>
        <v>#N/A</v>
      </c>
      <c r="AH19" s="18" t="e">
        <f t="shared" si="6"/>
        <v>#N/A</v>
      </c>
    </row>
    <row r="20" spans="1:36" s="10" customFormat="1">
      <c r="B20" s="18"/>
      <c r="C20" s="290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64</v>
      </c>
      <c r="B21" s="291" t="e">
        <f>B19</f>
        <v>#N/A</v>
      </c>
      <c r="C21" s="359"/>
      <c r="D21" s="291" t="e">
        <f>B19-D19</f>
        <v>#N/A</v>
      </c>
      <c r="E21" s="291" t="e">
        <f>D21-E19</f>
        <v>#N/A</v>
      </c>
      <c r="F21" s="291" t="e">
        <f t="shared" ref="F21:X21" si="7">E21-F19</f>
        <v>#N/A</v>
      </c>
      <c r="G21" s="291" t="e">
        <f t="shared" si="7"/>
        <v>#N/A</v>
      </c>
      <c r="H21" s="291" t="e">
        <f t="shared" si="7"/>
        <v>#N/A</v>
      </c>
      <c r="I21" s="291" t="e">
        <f t="shared" si="7"/>
        <v>#N/A</v>
      </c>
      <c r="J21" s="291" t="e">
        <f t="shared" si="7"/>
        <v>#N/A</v>
      </c>
      <c r="K21" s="291" t="e">
        <f t="shared" si="7"/>
        <v>#N/A</v>
      </c>
      <c r="L21" s="291" t="e">
        <f t="shared" si="7"/>
        <v>#N/A</v>
      </c>
      <c r="M21" s="291" t="e">
        <f t="shared" si="7"/>
        <v>#N/A</v>
      </c>
      <c r="N21" s="291" t="e">
        <f t="shared" si="7"/>
        <v>#N/A</v>
      </c>
      <c r="O21" s="291" t="e">
        <f t="shared" si="7"/>
        <v>#N/A</v>
      </c>
      <c r="P21" s="291" t="e">
        <f t="shared" si="7"/>
        <v>#N/A</v>
      </c>
      <c r="Q21" s="291" t="e">
        <f t="shared" si="7"/>
        <v>#N/A</v>
      </c>
      <c r="R21" s="291" t="e">
        <f t="shared" si="7"/>
        <v>#N/A</v>
      </c>
      <c r="S21" s="291" t="e">
        <f t="shared" si="7"/>
        <v>#N/A</v>
      </c>
      <c r="T21" s="291" t="e">
        <f t="shared" si="7"/>
        <v>#N/A</v>
      </c>
      <c r="U21" s="291" t="e">
        <f t="shared" si="7"/>
        <v>#N/A</v>
      </c>
      <c r="V21" s="291" t="e">
        <f t="shared" si="7"/>
        <v>#N/A</v>
      </c>
      <c r="W21" s="291" t="e">
        <f t="shared" si="7"/>
        <v>#N/A</v>
      </c>
      <c r="X21" s="291" t="e">
        <f t="shared" si="7"/>
        <v>#N/A</v>
      </c>
      <c r="Y21" s="291" t="e">
        <f>X21-Y19</f>
        <v>#N/A</v>
      </c>
      <c r="Z21" s="291" t="e">
        <f t="shared" ref="Z21:AH21" si="8">Y21-Z19</f>
        <v>#N/A</v>
      </c>
      <c r="AA21" s="291" t="e">
        <f t="shared" si="8"/>
        <v>#N/A</v>
      </c>
      <c r="AB21" s="291" t="e">
        <f t="shared" si="8"/>
        <v>#N/A</v>
      </c>
      <c r="AC21" s="291" t="e">
        <f t="shared" si="8"/>
        <v>#N/A</v>
      </c>
      <c r="AD21" s="291" t="e">
        <f t="shared" si="8"/>
        <v>#N/A</v>
      </c>
      <c r="AE21" s="291" t="e">
        <f t="shared" si="8"/>
        <v>#N/A</v>
      </c>
      <c r="AF21" s="291" t="e">
        <f t="shared" si="8"/>
        <v>#N/A</v>
      </c>
      <c r="AG21" s="291" t="e">
        <f t="shared" si="8"/>
        <v>#N/A</v>
      </c>
      <c r="AH21" s="291" t="e">
        <f t="shared" si="8"/>
        <v>#N/A</v>
      </c>
      <c r="AI21" s="288"/>
      <c r="AJ21" s="288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65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62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251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252</v>
      </c>
      <c r="B27" s="31">
        <f>Assumptions!$N$40</f>
        <v>5</v>
      </c>
      <c r="C27" s="32"/>
      <c r="D27" s="267">
        <f>D13</f>
        <v>0.13333333333333333</v>
      </c>
      <c r="E27" s="267">
        <f t="shared" ref="E27:AH27" si="11">E13</f>
        <v>0.2</v>
      </c>
      <c r="F27" s="267">
        <f t="shared" si="11"/>
        <v>0.2</v>
      </c>
      <c r="G27" s="267">
        <f t="shared" si="11"/>
        <v>0.2</v>
      </c>
      <c r="H27" s="267">
        <f t="shared" si="11"/>
        <v>0.2</v>
      </c>
      <c r="I27" s="267">
        <f t="shared" si="11"/>
        <v>6.666666666666668E-2</v>
      </c>
      <c r="J27" s="267">
        <f t="shared" si="11"/>
        <v>0</v>
      </c>
      <c r="K27" s="267">
        <f t="shared" si="11"/>
        <v>0</v>
      </c>
      <c r="L27" s="267">
        <f t="shared" si="11"/>
        <v>0</v>
      </c>
      <c r="M27" s="267">
        <f t="shared" si="11"/>
        <v>0</v>
      </c>
      <c r="N27" s="267">
        <f t="shared" si="11"/>
        <v>0</v>
      </c>
      <c r="O27" s="267">
        <f t="shared" si="11"/>
        <v>0</v>
      </c>
      <c r="P27" s="267">
        <f t="shared" si="11"/>
        <v>0</v>
      </c>
      <c r="Q27" s="267">
        <f t="shared" si="11"/>
        <v>0</v>
      </c>
      <c r="R27" s="267">
        <f t="shared" si="11"/>
        <v>0</v>
      </c>
      <c r="S27" s="267">
        <f t="shared" si="11"/>
        <v>0</v>
      </c>
      <c r="T27" s="267">
        <f t="shared" si="11"/>
        <v>0</v>
      </c>
      <c r="U27" s="267">
        <f t="shared" si="11"/>
        <v>0</v>
      </c>
      <c r="V27" s="267">
        <f t="shared" si="11"/>
        <v>0</v>
      </c>
      <c r="W27" s="267">
        <f t="shared" si="11"/>
        <v>0</v>
      </c>
      <c r="X27" s="267">
        <f t="shared" si="11"/>
        <v>0</v>
      </c>
      <c r="Y27" s="267">
        <f t="shared" si="11"/>
        <v>0</v>
      </c>
      <c r="Z27" s="267">
        <f t="shared" si="11"/>
        <v>0</v>
      </c>
      <c r="AA27" s="267">
        <f t="shared" si="11"/>
        <v>0</v>
      </c>
      <c r="AB27" s="267">
        <f t="shared" si="11"/>
        <v>0</v>
      </c>
      <c r="AC27" s="267">
        <f t="shared" si="11"/>
        <v>0</v>
      </c>
      <c r="AD27" s="267">
        <f t="shared" si="11"/>
        <v>0</v>
      </c>
      <c r="AE27" s="267">
        <f t="shared" si="11"/>
        <v>0</v>
      </c>
      <c r="AF27" s="267">
        <f t="shared" si="11"/>
        <v>0</v>
      </c>
      <c r="AG27" s="267">
        <f t="shared" si="11"/>
        <v>0</v>
      </c>
      <c r="AH27" s="267">
        <f t="shared" si="11"/>
        <v>0</v>
      </c>
    </row>
    <row r="28" spans="1:36" s="10" customFormat="1">
      <c r="A28" s="22" t="s">
        <v>319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251</v>
      </c>
      <c r="B31" s="356" t="e">
        <f>B16</f>
        <v>#N/A</v>
      </c>
      <c r="C31" s="290"/>
      <c r="D31" s="18" t="e">
        <f>$B$31*D26</f>
        <v>#N/A</v>
      </c>
      <c r="E31" s="18" t="e">
        <f t="shared" ref="E31:Y31" si="14">$B$31*E26</f>
        <v>#N/A</v>
      </c>
      <c r="F31" s="18" t="e">
        <f t="shared" si="14"/>
        <v>#N/A</v>
      </c>
      <c r="G31" s="18" t="e">
        <f t="shared" si="14"/>
        <v>#N/A</v>
      </c>
      <c r="H31" s="18" t="e">
        <f t="shared" si="14"/>
        <v>#N/A</v>
      </c>
      <c r="I31" s="18" t="e">
        <f t="shared" si="14"/>
        <v>#N/A</v>
      </c>
      <c r="J31" s="18" t="e">
        <f t="shared" si="14"/>
        <v>#N/A</v>
      </c>
      <c r="K31" s="18" t="e">
        <f t="shared" si="14"/>
        <v>#N/A</v>
      </c>
      <c r="L31" s="18" t="e">
        <f t="shared" si="14"/>
        <v>#N/A</v>
      </c>
      <c r="M31" s="18" t="e">
        <f t="shared" si="14"/>
        <v>#N/A</v>
      </c>
      <c r="N31" s="18" t="e">
        <f t="shared" si="14"/>
        <v>#N/A</v>
      </c>
      <c r="O31" s="18" t="e">
        <f t="shared" si="14"/>
        <v>#N/A</v>
      </c>
      <c r="P31" s="18" t="e">
        <f t="shared" si="14"/>
        <v>#N/A</v>
      </c>
      <c r="Q31" s="18" t="e">
        <f t="shared" si="14"/>
        <v>#N/A</v>
      </c>
      <c r="R31" s="18" t="e">
        <f t="shared" si="14"/>
        <v>#N/A</v>
      </c>
      <c r="S31" s="18" t="e">
        <f t="shared" si="14"/>
        <v>#N/A</v>
      </c>
      <c r="T31" s="18" t="e">
        <f t="shared" si="14"/>
        <v>#N/A</v>
      </c>
      <c r="U31" s="18" t="e">
        <f t="shared" si="14"/>
        <v>#N/A</v>
      </c>
      <c r="V31" s="18" t="e">
        <f t="shared" si="14"/>
        <v>#N/A</v>
      </c>
      <c r="W31" s="18" t="e">
        <f t="shared" si="14"/>
        <v>#N/A</v>
      </c>
      <c r="X31" s="18" t="e">
        <f t="shared" si="14"/>
        <v>#N/A</v>
      </c>
      <c r="Y31" s="18" t="e">
        <f t="shared" si="14"/>
        <v>#N/A</v>
      </c>
      <c r="Z31" s="18" t="e">
        <f t="shared" ref="Z31:AH31" si="15">$B$31*Z26</f>
        <v>#N/A</v>
      </c>
      <c r="AA31" s="18" t="e">
        <f t="shared" si="15"/>
        <v>#N/A</v>
      </c>
      <c r="AB31" s="18" t="e">
        <f t="shared" si="15"/>
        <v>#N/A</v>
      </c>
      <c r="AC31" s="18" t="e">
        <f t="shared" si="15"/>
        <v>#N/A</v>
      </c>
      <c r="AD31" s="18" t="e">
        <f t="shared" si="15"/>
        <v>#N/A</v>
      </c>
      <c r="AE31" s="18" t="e">
        <f t="shared" si="15"/>
        <v>#N/A</v>
      </c>
      <c r="AF31" s="18" t="e">
        <f t="shared" si="15"/>
        <v>#N/A</v>
      </c>
      <c r="AG31" s="18" t="e">
        <f t="shared" si="15"/>
        <v>#N/A</v>
      </c>
      <c r="AH31" s="18" t="e">
        <f t="shared" si="15"/>
        <v>#N/A</v>
      </c>
    </row>
    <row r="32" spans="1:36" s="10" customFormat="1">
      <c r="A32" s="21" t="s">
        <v>252</v>
      </c>
      <c r="B32" s="289" t="e">
        <f>B17</f>
        <v>#N/A</v>
      </c>
      <c r="C32" s="290"/>
      <c r="D32" s="287" t="e">
        <f>D27*$B$32</f>
        <v>#N/A</v>
      </c>
      <c r="E32" s="287" t="e">
        <f t="shared" ref="E32:AH32" si="16">E27*$B$32</f>
        <v>#N/A</v>
      </c>
      <c r="F32" s="287" t="e">
        <f t="shared" si="16"/>
        <v>#N/A</v>
      </c>
      <c r="G32" s="287" t="e">
        <f t="shared" si="16"/>
        <v>#N/A</v>
      </c>
      <c r="H32" s="287" t="e">
        <f t="shared" si="16"/>
        <v>#N/A</v>
      </c>
      <c r="I32" s="287" t="e">
        <f t="shared" si="16"/>
        <v>#N/A</v>
      </c>
      <c r="J32" s="287" t="e">
        <f t="shared" si="16"/>
        <v>#N/A</v>
      </c>
      <c r="K32" s="287" t="e">
        <f t="shared" si="16"/>
        <v>#N/A</v>
      </c>
      <c r="L32" s="287" t="e">
        <f t="shared" si="16"/>
        <v>#N/A</v>
      </c>
      <c r="M32" s="287" t="e">
        <f t="shared" si="16"/>
        <v>#N/A</v>
      </c>
      <c r="N32" s="287" t="e">
        <f t="shared" si="16"/>
        <v>#N/A</v>
      </c>
      <c r="O32" s="287" t="e">
        <f t="shared" si="16"/>
        <v>#N/A</v>
      </c>
      <c r="P32" s="287" t="e">
        <f t="shared" si="16"/>
        <v>#N/A</v>
      </c>
      <c r="Q32" s="287" t="e">
        <f t="shared" si="16"/>
        <v>#N/A</v>
      </c>
      <c r="R32" s="287" t="e">
        <f t="shared" si="16"/>
        <v>#N/A</v>
      </c>
      <c r="S32" s="287" t="e">
        <f t="shared" si="16"/>
        <v>#N/A</v>
      </c>
      <c r="T32" s="287" t="e">
        <f t="shared" si="16"/>
        <v>#N/A</v>
      </c>
      <c r="U32" s="287" t="e">
        <f t="shared" si="16"/>
        <v>#N/A</v>
      </c>
      <c r="V32" s="287" t="e">
        <f t="shared" si="16"/>
        <v>#N/A</v>
      </c>
      <c r="W32" s="287" t="e">
        <f t="shared" si="16"/>
        <v>#N/A</v>
      </c>
      <c r="X32" s="287" t="e">
        <f t="shared" si="16"/>
        <v>#N/A</v>
      </c>
      <c r="Y32" s="287" t="e">
        <f t="shared" si="16"/>
        <v>#N/A</v>
      </c>
      <c r="Z32" s="287" t="e">
        <f t="shared" si="16"/>
        <v>#N/A</v>
      </c>
      <c r="AA32" s="287" t="e">
        <f t="shared" si="16"/>
        <v>#N/A</v>
      </c>
      <c r="AB32" s="287" t="e">
        <f t="shared" si="16"/>
        <v>#N/A</v>
      </c>
      <c r="AC32" s="287" t="e">
        <f t="shared" si="16"/>
        <v>#N/A</v>
      </c>
      <c r="AD32" s="287" t="e">
        <f t="shared" si="16"/>
        <v>#N/A</v>
      </c>
      <c r="AE32" s="287" t="e">
        <f t="shared" si="16"/>
        <v>#N/A</v>
      </c>
      <c r="AF32" s="287" t="e">
        <f t="shared" si="16"/>
        <v>#N/A</v>
      </c>
      <c r="AG32" s="287" t="e">
        <f t="shared" si="16"/>
        <v>#N/A</v>
      </c>
      <c r="AH32" s="287" t="e">
        <f t="shared" si="16"/>
        <v>#N/A</v>
      </c>
    </row>
    <row r="33" spans="1:38" s="10" customFormat="1" ht="15">
      <c r="A33" s="22" t="s">
        <v>319</v>
      </c>
      <c r="B33" s="357">
        <f>B18</f>
        <v>0</v>
      </c>
      <c r="C33" s="290"/>
      <c r="D33" s="358">
        <f t="shared" ref="D33:Y33" si="17">$B33*D28</f>
        <v>0</v>
      </c>
      <c r="E33" s="358">
        <f t="shared" si="17"/>
        <v>0</v>
      </c>
      <c r="F33" s="358">
        <f t="shared" si="17"/>
        <v>0</v>
      </c>
      <c r="G33" s="358">
        <f t="shared" si="17"/>
        <v>0</v>
      </c>
      <c r="H33" s="358">
        <f t="shared" si="17"/>
        <v>0</v>
      </c>
      <c r="I33" s="358">
        <f t="shared" si="17"/>
        <v>0</v>
      </c>
      <c r="J33" s="358">
        <f t="shared" si="17"/>
        <v>0</v>
      </c>
      <c r="K33" s="358">
        <f t="shared" si="17"/>
        <v>0</v>
      </c>
      <c r="L33" s="358">
        <f t="shared" si="17"/>
        <v>0</v>
      </c>
      <c r="M33" s="358">
        <f t="shared" si="17"/>
        <v>0</v>
      </c>
      <c r="N33" s="358">
        <f t="shared" si="17"/>
        <v>0</v>
      </c>
      <c r="O33" s="358">
        <f t="shared" si="17"/>
        <v>0</v>
      </c>
      <c r="P33" s="358">
        <f t="shared" si="17"/>
        <v>0</v>
      </c>
      <c r="Q33" s="358">
        <f t="shared" si="17"/>
        <v>0</v>
      </c>
      <c r="R33" s="358">
        <f t="shared" si="17"/>
        <v>0</v>
      </c>
      <c r="S33" s="358">
        <f t="shared" si="17"/>
        <v>0</v>
      </c>
      <c r="T33" s="358">
        <f t="shared" si="17"/>
        <v>0</v>
      </c>
      <c r="U33" s="358">
        <f t="shared" si="17"/>
        <v>0</v>
      </c>
      <c r="V33" s="358">
        <f t="shared" si="17"/>
        <v>0</v>
      </c>
      <c r="W33" s="358">
        <f t="shared" si="17"/>
        <v>0</v>
      </c>
      <c r="X33" s="358">
        <f t="shared" si="17"/>
        <v>0</v>
      </c>
      <c r="Y33" s="358">
        <f t="shared" si="17"/>
        <v>0</v>
      </c>
      <c r="Z33" s="358">
        <f t="shared" ref="Z33:AH33" si="18">$B33*Z28</f>
        <v>0</v>
      </c>
      <c r="AA33" s="358">
        <f t="shared" si="18"/>
        <v>0</v>
      </c>
      <c r="AB33" s="358">
        <f t="shared" si="18"/>
        <v>0</v>
      </c>
      <c r="AC33" s="358">
        <f t="shared" si="18"/>
        <v>0</v>
      </c>
      <c r="AD33" s="358">
        <f t="shared" si="18"/>
        <v>0</v>
      </c>
      <c r="AE33" s="358">
        <f t="shared" si="18"/>
        <v>0</v>
      </c>
      <c r="AF33" s="358">
        <f t="shared" si="18"/>
        <v>0</v>
      </c>
      <c r="AG33" s="358">
        <f t="shared" si="18"/>
        <v>0</v>
      </c>
      <c r="AH33" s="358">
        <f t="shared" si="18"/>
        <v>0</v>
      </c>
    </row>
    <row r="34" spans="1:38" s="10" customFormat="1">
      <c r="A34" s="16" t="s">
        <v>63</v>
      </c>
      <c r="B34" s="18" t="e">
        <f>SUM(B31:B33)</f>
        <v>#N/A</v>
      </c>
      <c r="C34" s="290"/>
      <c r="D34" s="18" t="e">
        <f t="shared" ref="D34:Y34" si="19">SUM(D31:D33)</f>
        <v>#N/A</v>
      </c>
      <c r="E34" s="18" t="e">
        <f t="shared" si="19"/>
        <v>#N/A</v>
      </c>
      <c r="F34" s="18" t="e">
        <f t="shared" si="19"/>
        <v>#N/A</v>
      </c>
      <c r="G34" s="18" t="e">
        <f t="shared" si="19"/>
        <v>#N/A</v>
      </c>
      <c r="H34" s="18" t="e">
        <f t="shared" si="19"/>
        <v>#N/A</v>
      </c>
      <c r="I34" s="18" t="e">
        <f t="shared" si="19"/>
        <v>#N/A</v>
      </c>
      <c r="J34" s="18" t="e">
        <f t="shared" si="19"/>
        <v>#N/A</v>
      </c>
      <c r="K34" s="18" t="e">
        <f t="shared" si="19"/>
        <v>#N/A</v>
      </c>
      <c r="L34" s="18" t="e">
        <f t="shared" si="19"/>
        <v>#N/A</v>
      </c>
      <c r="M34" s="18" t="e">
        <f t="shared" si="19"/>
        <v>#N/A</v>
      </c>
      <c r="N34" s="18" t="e">
        <f t="shared" si="19"/>
        <v>#N/A</v>
      </c>
      <c r="O34" s="18" t="e">
        <f t="shared" si="19"/>
        <v>#N/A</v>
      </c>
      <c r="P34" s="18" t="e">
        <f t="shared" si="19"/>
        <v>#N/A</v>
      </c>
      <c r="Q34" s="18" t="e">
        <f t="shared" si="19"/>
        <v>#N/A</v>
      </c>
      <c r="R34" s="18" t="e">
        <f t="shared" si="19"/>
        <v>#N/A</v>
      </c>
      <c r="S34" s="18" t="e">
        <f t="shared" si="19"/>
        <v>#N/A</v>
      </c>
      <c r="T34" s="18" t="e">
        <f t="shared" si="19"/>
        <v>#N/A</v>
      </c>
      <c r="U34" s="18" t="e">
        <f t="shared" si="19"/>
        <v>#N/A</v>
      </c>
      <c r="V34" s="18" t="e">
        <f t="shared" si="19"/>
        <v>#N/A</v>
      </c>
      <c r="W34" s="18" t="e">
        <f t="shared" si="19"/>
        <v>#N/A</v>
      </c>
      <c r="X34" s="18" t="e">
        <f t="shared" si="19"/>
        <v>#N/A</v>
      </c>
      <c r="Y34" s="18" t="e">
        <f t="shared" si="19"/>
        <v>#N/A</v>
      </c>
      <c r="Z34" s="18" t="e">
        <f t="shared" ref="Z34:AH34" si="20">SUM(Z31:Z33)</f>
        <v>#N/A</v>
      </c>
      <c r="AA34" s="18" t="e">
        <f t="shared" si="20"/>
        <v>#N/A</v>
      </c>
      <c r="AB34" s="18" t="e">
        <f t="shared" si="20"/>
        <v>#N/A</v>
      </c>
      <c r="AC34" s="18" t="e">
        <f t="shared" si="20"/>
        <v>#N/A</v>
      </c>
      <c r="AD34" s="18" t="e">
        <f t="shared" si="20"/>
        <v>#N/A</v>
      </c>
      <c r="AE34" s="18" t="e">
        <f t="shared" si="20"/>
        <v>#N/A</v>
      </c>
      <c r="AF34" s="18" t="e">
        <f t="shared" si="20"/>
        <v>#N/A</v>
      </c>
      <c r="AG34" s="18" t="e">
        <f t="shared" si="20"/>
        <v>#N/A</v>
      </c>
      <c r="AH34" s="18" t="e">
        <f t="shared" si="20"/>
        <v>#N/A</v>
      </c>
    </row>
    <row r="35" spans="1:38" s="10" customFormat="1">
      <c r="A35" s="16"/>
      <c r="B35" s="18"/>
      <c r="C35" s="360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64</v>
      </c>
      <c r="B36" s="291" t="e">
        <f>B34</f>
        <v>#N/A</v>
      </c>
      <c r="C36" s="361"/>
      <c r="D36" s="291" t="e">
        <f>B34-D34</f>
        <v>#N/A</v>
      </c>
      <c r="E36" s="291" t="e">
        <f>D36-E34</f>
        <v>#N/A</v>
      </c>
      <c r="F36" s="291" t="e">
        <f t="shared" ref="F36:W36" si="21">E36-F34</f>
        <v>#N/A</v>
      </c>
      <c r="G36" s="291" t="e">
        <f t="shared" si="21"/>
        <v>#N/A</v>
      </c>
      <c r="H36" s="291" t="e">
        <f t="shared" si="21"/>
        <v>#N/A</v>
      </c>
      <c r="I36" s="291" t="e">
        <f t="shared" si="21"/>
        <v>#N/A</v>
      </c>
      <c r="J36" s="291" t="e">
        <f t="shared" si="21"/>
        <v>#N/A</v>
      </c>
      <c r="K36" s="291" t="e">
        <f t="shared" si="21"/>
        <v>#N/A</v>
      </c>
      <c r="L36" s="291" t="e">
        <f t="shared" si="21"/>
        <v>#N/A</v>
      </c>
      <c r="M36" s="291" t="e">
        <f t="shared" si="21"/>
        <v>#N/A</v>
      </c>
      <c r="N36" s="291" t="e">
        <f t="shared" si="21"/>
        <v>#N/A</v>
      </c>
      <c r="O36" s="291" t="e">
        <f t="shared" si="21"/>
        <v>#N/A</v>
      </c>
      <c r="P36" s="291" t="e">
        <f t="shared" si="21"/>
        <v>#N/A</v>
      </c>
      <c r="Q36" s="291" t="e">
        <f t="shared" si="21"/>
        <v>#N/A</v>
      </c>
      <c r="R36" s="291" t="e">
        <f t="shared" si="21"/>
        <v>#N/A</v>
      </c>
      <c r="S36" s="291" t="e">
        <f t="shared" si="21"/>
        <v>#N/A</v>
      </c>
      <c r="T36" s="291" t="e">
        <f t="shared" si="21"/>
        <v>#N/A</v>
      </c>
      <c r="U36" s="291" t="e">
        <f t="shared" si="21"/>
        <v>#N/A</v>
      </c>
      <c r="V36" s="291" t="e">
        <f t="shared" si="21"/>
        <v>#N/A</v>
      </c>
      <c r="W36" s="291" t="e">
        <f t="shared" si="21"/>
        <v>#N/A</v>
      </c>
      <c r="X36" s="291" t="e">
        <f>W36-X34</f>
        <v>#N/A</v>
      </c>
      <c r="Y36" s="291" t="e">
        <f>X36-Y34</f>
        <v>#N/A</v>
      </c>
      <c r="Z36" s="291" t="e">
        <f t="shared" ref="Z36:AH36" si="22">Y36-Z34</f>
        <v>#N/A</v>
      </c>
      <c r="AA36" s="291" t="e">
        <f t="shared" si="22"/>
        <v>#N/A</v>
      </c>
      <c r="AB36" s="291" t="e">
        <f t="shared" si="22"/>
        <v>#N/A</v>
      </c>
      <c r="AC36" s="291" t="e">
        <f t="shared" si="22"/>
        <v>#N/A</v>
      </c>
      <c r="AD36" s="291" t="e">
        <f t="shared" si="22"/>
        <v>#N/A</v>
      </c>
      <c r="AE36" s="291" t="e">
        <f t="shared" si="22"/>
        <v>#N/A</v>
      </c>
      <c r="AF36" s="291" t="e">
        <f t="shared" si="22"/>
        <v>#N/A</v>
      </c>
      <c r="AG36" s="291" t="e">
        <f t="shared" si="22"/>
        <v>#N/A</v>
      </c>
      <c r="AH36" s="291" t="e">
        <f t="shared" si="22"/>
        <v>#N/A</v>
      </c>
      <c r="AI36" s="288"/>
      <c r="AJ36" s="288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66</v>
      </c>
    </row>
    <row r="40" spans="1:38" s="10" customFormat="1">
      <c r="A40" s="27"/>
      <c r="B40" s="29" t="s">
        <v>62</v>
      </c>
      <c r="C40" s="354" t="s">
        <v>67</v>
      </c>
    </row>
    <row r="41" spans="1:38" s="10" customFormat="1">
      <c r="A41" s="21" t="s">
        <v>373</v>
      </c>
      <c r="B41" s="31">
        <f>Assumptions!$N$44</f>
        <v>30</v>
      </c>
      <c r="C41" s="355">
        <f>Assumptions!P44</f>
        <v>0.1</v>
      </c>
      <c r="D41" s="267">
        <f>1/Assumptions!$N$44*D6*(1-$C$41)</f>
        <v>1.9999999999999997E-2</v>
      </c>
      <c r="E41" s="267">
        <f>IF(AND(E6&gt;=Assumptions!$N$44,D6&lt;Assumptions!$N$44),1/Assumptions!$N$44*(1-$C$41)-Depreciation!$D$41,IF(AND(D6&gt;Assumptions!$N$44,E6&lt;Assumptions!$N$44),0,1/Assumptions!$N$44*(1-$C$41)))</f>
        <v>0.03</v>
      </c>
      <c r="F41" s="267">
        <f>IF(AND(F6&gt;=Assumptions!$N$44,E6&lt;Assumptions!$N$44),1/Assumptions!$N$44*(1-$C$41)-Depreciation!$D$41,IF(AND(E6&gt;Assumptions!$N$44,F6&lt;Assumptions!$N$44),0,1/Assumptions!$N$44*(1-$C$41)))</f>
        <v>0.03</v>
      </c>
      <c r="G41" s="267">
        <f>IF(AND(G6&gt;=Assumptions!$N$44,F6&lt;Assumptions!$N$44),1/Assumptions!$N$44*(1-$C$41)-Depreciation!$D$41,IF(AND(F6&gt;Assumptions!$N$44,G6&lt;Assumptions!$N$44),0,1/Assumptions!$N$44*(1-$C$41)))</f>
        <v>0.03</v>
      </c>
      <c r="H41" s="267">
        <f>IF(AND(H6&gt;=Assumptions!$N$44,G6&lt;Assumptions!$N$44),1/Assumptions!$N$44*(1-$C$41)-Depreciation!$D$41,IF(AND(G6&gt;Assumptions!$N$44,H6&lt;Assumptions!$N$44),0,1/Assumptions!$N$44*(1-$C$41)))</f>
        <v>0.03</v>
      </c>
      <c r="I41" s="267">
        <f>IF(AND(I6&gt;=Assumptions!$N$44,H6&lt;Assumptions!$N$44),1/Assumptions!$N$44*(1-$C$41)-Depreciation!$D$41,IF(AND(H6&gt;Assumptions!$N$44,I6&lt;Assumptions!$N$44),0,1/Assumptions!$N$44*(1-$C$41)))</f>
        <v>0.03</v>
      </c>
      <c r="J41" s="267">
        <f>IF(AND(J6&gt;=Assumptions!$N$44,I6&lt;Assumptions!$N$44),1/Assumptions!$N$44*(1-$C$41)-Depreciation!$D$41,IF(AND(I6&gt;Assumptions!$N$44,J6&lt;Assumptions!$N$44),0,1/Assumptions!$N$44*(1-$C$41)))</f>
        <v>0.03</v>
      </c>
      <c r="K41" s="267">
        <f>IF(AND(K6&gt;=Assumptions!$N$44,J6&lt;Assumptions!$N$44),1/Assumptions!$N$44*(1-$C$41)-Depreciation!$D$41,IF(AND(J6&gt;Assumptions!$N$44,K6&lt;Assumptions!$N$44),0,1/Assumptions!$N$44*(1-$C$41)))</f>
        <v>0.03</v>
      </c>
      <c r="L41" s="267">
        <f>IF(AND(L6&gt;=Assumptions!$N$44,K6&lt;Assumptions!$N$44),1/Assumptions!$N$44*(1-$C$41)-Depreciation!$D$41,IF(AND(K6&gt;Assumptions!$N$44,L6&lt;Assumptions!$N$44),0,1/Assumptions!$N$44*(1-$C$41)))</f>
        <v>0.03</v>
      </c>
      <c r="M41" s="267">
        <f>IF(AND(M6&gt;=Assumptions!$N$44,L6&lt;Assumptions!$N$44),1/Assumptions!$N$44*(1-$C$41)-Depreciation!$D$41,IF(AND(L6&gt;Assumptions!$N$44,M6&lt;Assumptions!$N$44),0,1/Assumptions!$N$44*(1-$C$41)))</f>
        <v>0.03</v>
      </c>
      <c r="N41" s="267">
        <f>IF(AND(N6&gt;=Assumptions!$N$44,M6&lt;Assumptions!$N$44),1/Assumptions!$N$44*(1-$C$41)-Depreciation!$D$41,IF(AND(M6&gt;Assumptions!$N$44,N6&lt;Assumptions!$N$44),0,1/Assumptions!$N$44*(1-$C$41)))</f>
        <v>0.03</v>
      </c>
      <c r="O41" s="267">
        <f>IF(AND(O6&gt;=Assumptions!$N$44,N6&lt;Assumptions!$N$44),1/Assumptions!$N$44*(1-$C$41)-Depreciation!$D$41,IF(AND(N6&gt;Assumptions!$N$44,O6&lt;Assumptions!$N$44),0,1/Assumptions!$N$44*(1-$C$41)))</f>
        <v>0.03</v>
      </c>
      <c r="P41" s="267">
        <f>IF(AND(P6&gt;=Assumptions!$N$44,O6&lt;Assumptions!$N$44),1/Assumptions!$N$44*(1-$C$41)-Depreciation!$D$41,IF(AND(O6&gt;Assumptions!$N$44,P6&lt;Assumptions!$N$44),0,1/Assumptions!$N$44*(1-$C$41)))</f>
        <v>0.03</v>
      </c>
      <c r="Q41" s="267">
        <f>IF(AND(Q6&gt;=Assumptions!$N$44,P6&lt;Assumptions!$N$44),1/Assumptions!$N$44*(1-$C$41)-Depreciation!$D$41,IF(AND(P6&gt;Assumptions!$N$44,Q6&lt;Assumptions!$N$44),0,1/Assumptions!$N$44*(1-$C$41)))</f>
        <v>0.03</v>
      </c>
      <c r="R41" s="267">
        <f>IF(AND(R6&gt;=Assumptions!$N$44,Q6&lt;Assumptions!$N$44),1/Assumptions!$N$44*(1-$C$41)-Depreciation!$D$41,IF(AND(Q6&gt;Assumptions!$N$44,R6&lt;Assumptions!$N$44),0,1/Assumptions!$N$44*(1-$C$41)))</f>
        <v>0.03</v>
      </c>
      <c r="S41" s="267">
        <f>IF(AND(S6&gt;=Assumptions!$N$44,R6&lt;Assumptions!$N$44),1/Assumptions!$N$44*(1-$C$41)-Depreciation!$D$41,IF(AND(R6&gt;Assumptions!$N$44,S6&lt;Assumptions!$N$44),0,1/Assumptions!$N$44*(1-$C$41)))</f>
        <v>0.03</v>
      </c>
      <c r="T41" s="267">
        <f>IF(AND(T6&gt;=Assumptions!$N$44,S6&lt;Assumptions!$N$44),1/Assumptions!$N$44*(1-$C$41)-Depreciation!$D$41,IF(AND(S6&gt;Assumptions!$N$44,T6&lt;Assumptions!$N$44),0,1/Assumptions!$N$44*(1-$C$41)))</f>
        <v>0.03</v>
      </c>
      <c r="U41" s="267">
        <f>IF(AND(U6&gt;=Assumptions!$N$44,T6&lt;Assumptions!$N$44),1/Assumptions!$N$44*(1-$C$41)-Depreciation!$D$41,IF(AND(T6&gt;Assumptions!$N$44,U6&lt;Assumptions!$N$44),0,1/Assumptions!$N$44*(1-$C$41)))</f>
        <v>0.03</v>
      </c>
      <c r="V41" s="267">
        <f>IF(AND(V6&gt;=Assumptions!$N$44,U6&lt;Assumptions!$N$44),1/Assumptions!$N$44*(1-$C$41)-Depreciation!$D$41,IF(AND(U6&gt;Assumptions!$N$44,V6&lt;Assumptions!$N$44),0,1/Assumptions!$N$44*(1-$C$41)))</f>
        <v>0.03</v>
      </c>
      <c r="W41" s="267">
        <f>IF(AND(W6&gt;=Assumptions!$N$44,V6&lt;Assumptions!$N$44),1/Assumptions!$N$44*(1-$C$41)-Depreciation!$D$41,IF(AND(V6&gt;Assumptions!$N$44,W6&lt;Assumptions!$N$44),0,1/Assumptions!$N$44*(1-$C$41)))</f>
        <v>0.03</v>
      </c>
      <c r="X41" s="267">
        <f>IF(AND(X6&gt;=Assumptions!$N$44,W6&lt;Assumptions!$N$44),1/Assumptions!$N$44*(1-$C$41)-Depreciation!$D$41,IF(AND(W6&gt;Assumptions!$N$44,X6&lt;Assumptions!$N$44),0,1/Assumptions!$N$44*(1-$C$41)))</f>
        <v>0.03</v>
      </c>
      <c r="Y41" s="267">
        <f>IF(AND(Y6&gt;=Assumptions!$N$44,X6&lt;Assumptions!$N$44),1/Assumptions!$N$44*(1-$C$41)-Depreciation!$D$41,IF(AND(X6&gt;Assumptions!$N$44,Y6&lt;Assumptions!$N$44),0,1/Assumptions!$N$44*(1-$C$41)))</f>
        <v>0.03</v>
      </c>
      <c r="Z41" s="267">
        <f>IF(AND(Z6&gt;=Assumptions!$N$44,Y6&lt;Assumptions!$N$44),1/Assumptions!$N$44*(1-$C$41)-Depreciation!$D$41,IF(AND(Y6&gt;Assumptions!$N$44,Z6&lt;Assumptions!$N$44),0,1/Assumptions!$N$44*(1-$C$41)))</f>
        <v>0.03</v>
      </c>
      <c r="AA41" s="267">
        <f>IF(AND(AA6&gt;=Assumptions!$N$44,Z6&lt;Assumptions!$N$44),1/Assumptions!$N$44*(1-$C$41)-Depreciation!$D$41,IF(AND(Z6&gt;Assumptions!$N$44,AA6&lt;Assumptions!$N$44),0,1/Assumptions!$N$44*(1-$C$41)))</f>
        <v>0.03</v>
      </c>
      <c r="AB41" s="267">
        <f>IF(AND(AB6&gt;=Assumptions!$N$44,AA6&lt;Assumptions!$N$44),1/Assumptions!$N$44*(1-$C$41)-Depreciation!$D$41,IF(AND(AA6&gt;Assumptions!$N$44,AB6&lt;Assumptions!$N$44),0,1/Assumptions!$N$44*(1-$C$41)))</f>
        <v>0.03</v>
      </c>
      <c r="AC41" s="267">
        <f>IF(AND(AC6&gt;=Assumptions!$N$44,AB6&lt;Assumptions!$N$44),1/Assumptions!$N$44*(1-$C$41)-Depreciation!$D$41,IF(AND(AB6&gt;Assumptions!$N$44,AC6&lt;Assumptions!$N$44),0,1/Assumptions!$N$44*(1-$C$41)))</f>
        <v>0.03</v>
      </c>
      <c r="AD41" s="267">
        <f>IF(AND(AD6&gt;=Assumptions!$N$44,AC6&lt;Assumptions!$N$44),1/Assumptions!$N$44*(1-$C$41)-Depreciation!$D$41,IF(AND(AC6&gt;Assumptions!$N$44,AD6&lt;Assumptions!$N$44),0,1/Assumptions!$N$44*(1-$C$41)))</f>
        <v>0.03</v>
      </c>
      <c r="AE41" s="267">
        <f>IF(AND(AE6&gt;=Assumptions!$N$44,AD6&lt;Assumptions!$N$44),1/Assumptions!$N$44*(1-$C$41)-Depreciation!$D$41,IF(AND(AD6&gt;Assumptions!$N$44,AE6&lt;Assumptions!$N$44),0,1/Assumptions!$N$44*(1-$C$41)))</f>
        <v>0.03</v>
      </c>
      <c r="AF41" s="267">
        <f>IF(AND(AF6&gt;=Assumptions!$N$44,AE6&lt;Assumptions!$N$44),1/Assumptions!$N$44*(1-$C$41)-Depreciation!$D$41,IF(AND(AE6&gt;Assumptions!$N$44,AF6&lt;Assumptions!$N$44),0,1/Assumptions!$N$44*(1-$C$41)))</f>
        <v>0.03</v>
      </c>
      <c r="AG41" s="267">
        <f>IF(AND(AG6&gt;=Assumptions!$N$44,AF6&lt;Assumptions!$N$44),1/Assumptions!$N$44*(1-$C$41)-Depreciation!$D$41,IF(AND(AF6&gt;Assumptions!$N$44,AG6&lt;Assumptions!$N$44),0,1/Assumptions!$N$44*(1-$C$41)))</f>
        <v>0.03</v>
      </c>
      <c r="AH41" s="267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252</v>
      </c>
      <c r="B42" s="31">
        <f>Assumptions!$N$40</f>
        <v>5</v>
      </c>
      <c r="C42" s="32"/>
      <c r="D42" s="267">
        <f>D13</f>
        <v>0.13333333333333333</v>
      </c>
      <c r="E42" s="267">
        <f t="shared" ref="E42:AH42" si="23">E13</f>
        <v>0.2</v>
      </c>
      <c r="F42" s="267">
        <f t="shared" si="23"/>
        <v>0.2</v>
      </c>
      <c r="G42" s="267">
        <f t="shared" si="23"/>
        <v>0.2</v>
      </c>
      <c r="H42" s="267">
        <f t="shared" si="23"/>
        <v>0.2</v>
      </c>
      <c r="I42" s="267">
        <f t="shared" si="23"/>
        <v>6.666666666666668E-2</v>
      </c>
      <c r="J42" s="267">
        <f t="shared" si="23"/>
        <v>0</v>
      </c>
      <c r="K42" s="267">
        <f t="shared" si="23"/>
        <v>0</v>
      </c>
      <c r="L42" s="267">
        <f t="shared" si="23"/>
        <v>0</v>
      </c>
      <c r="M42" s="267">
        <f t="shared" si="23"/>
        <v>0</v>
      </c>
      <c r="N42" s="267">
        <f t="shared" si="23"/>
        <v>0</v>
      </c>
      <c r="O42" s="267">
        <f t="shared" si="23"/>
        <v>0</v>
      </c>
      <c r="P42" s="267">
        <f t="shared" si="23"/>
        <v>0</v>
      </c>
      <c r="Q42" s="267">
        <f t="shared" si="23"/>
        <v>0</v>
      </c>
      <c r="R42" s="267">
        <f t="shared" si="23"/>
        <v>0</v>
      </c>
      <c r="S42" s="267">
        <f t="shared" si="23"/>
        <v>0</v>
      </c>
      <c r="T42" s="267">
        <f t="shared" si="23"/>
        <v>0</v>
      </c>
      <c r="U42" s="267">
        <f t="shared" si="23"/>
        <v>0</v>
      </c>
      <c r="V42" s="267">
        <f t="shared" si="23"/>
        <v>0</v>
      </c>
      <c r="W42" s="267">
        <f t="shared" si="23"/>
        <v>0</v>
      </c>
      <c r="X42" s="267">
        <f t="shared" si="23"/>
        <v>0</v>
      </c>
      <c r="Y42" s="267">
        <f t="shared" si="23"/>
        <v>0</v>
      </c>
      <c r="Z42" s="267">
        <f t="shared" si="23"/>
        <v>0</v>
      </c>
      <c r="AA42" s="267">
        <f t="shared" si="23"/>
        <v>0</v>
      </c>
      <c r="AB42" s="267">
        <f t="shared" si="23"/>
        <v>0</v>
      </c>
      <c r="AC42" s="267">
        <f t="shared" si="23"/>
        <v>0</v>
      </c>
      <c r="AD42" s="267">
        <f t="shared" si="23"/>
        <v>0</v>
      </c>
      <c r="AE42" s="267">
        <f t="shared" si="23"/>
        <v>0</v>
      </c>
      <c r="AF42" s="267">
        <f t="shared" si="23"/>
        <v>0</v>
      </c>
      <c r="AG42" s="267">
        <f t="shared" si="23"/>
        <v>0</v>
      </c>
      <c r="AH42" s="267">
        <f t="shared" si="23"/>
        <v>0</v>
      </c>
    </row>
    <row r="43" spans="1:38" s="10" customFormat="1">
      <c r="A43" s="22" t="s">
        <v>319</v>
      </c>
      <c r="B43" s="34">
        <f>Assumptions!$N$46</f>
        <v>20</v>
      </c>
      <c r="C43" s="24"/>
      <c r="D43" s="267">
        <f>1/Assumptions!$N$46*D6</f>
        <v>3.3333333333333333E-2</v>
      </c>
      <c r="E43" s="267">
        <f>IF(AND(E6&gt;=Assumptions!$N$46, D6&lt;Assumptions!$N$46),1/Assumptions!$N$46-Depreciation!$D$43,IF(E6&lt;Assumptions!$N$46,1/Assumptions!$N$46,0))</f>
        <v>0.05</v>
      </c>
      <c r="F43" s="267">
        <f>IF(AND(F6&gt;=Assumptions!$N$46, E6&lt;Assumptions!$N$46),1/Assumptions!$N$46-Depreciation!$D$43,IF(F6&lt;Assumptions!$N$46,1/Assumptions!$N$46,0))</f>
        <v>0.05</v>
      </c>
      <c r="G43" s="267">
        <f>IF(AND(G6&gt;=Assumptions!$N$46, F6&lt;Assumptions!$N$46),1/Assumptions!$N$46-Depreciation!$D$43,IF(G6&lt;Assumptions!$N$46,1/Assumptions!$N$46,0))</f>
        <v>0.05</v>
      </c>
      <c r="H43" s="267">
        <f>IF(AND(H6&gt;=Assumptions!$N$46, G6&lt;Assumptions!$N$46),1/Assumptions!$N$46-Depreciation!$D$43,IF(H6&lt;Assumptions!$N$46,1/Assumptions!$N$46,0))</f>
        <v>0.05</v>
      </c>
      <c r="I43" s="267">
        <f>IF(AND(I6&gt;=Assumptions!$N$46, H6&lt;Assumptions!$N$46),1/Assumptions!$N$46-Depreciation!$D$43,IF(I6&lt;Assumptions!$N$46,1/Assumptions!$N$46,0))</f>
        <v>0.05</v>
      </c>
      <c r="J43" s="267">
        <f>IF(AND(J6&gt;=Assumptions!$N$46, I6&lt;Assumptions!$N$46),1/Assumptions!$N$46-Depreciation!$D$43,IF(J6&lt;Assumptions!$N$46,1/Assumptions!$N$46,0))</f>
        <v>0.05</v>
      </c>
      <c r="K43" s="267">
        <f>IF(AND(K6&gt;=Assumptions!$N$46, J6&lt;Assumptions!$N$46),1/Assumptions!$N$46-Depreciation!$D$43,IF(K6&lt;Assumptions!$N$46,1/Assumptions!$N$46,0))</f>
        <v>0.05</v>
      </c>
      <c r="L43" s="267">
        <f>IF(AND(L6&gt;=Assumptions!$N$46, K6&lt;Assumptions!$N$46),1/Assumptions!$N$46-Depreciation!$D$43,IF(L6&lt;Assumptions!$N$46,1/Assumptions!$N$46,0))</f>
        <v>0.05</v>
      </c>
      <c r="M43" s="267">
        <f>IF(AND(M6&gt;=Assumptions!$N$46, L6&lt;Assumptions!$N$46),1/Assumptions!$N$46-Depreciation!$D$43,IF(M6&lt;Assumptions!$N$46,1/Assumptions!$N$46,0))</f>
        <v>0.05</v>
      </c>
      <c r="N43" s="267">
        <f>IF(AND(N6&gt;=Assumptions!$N$46, M6&lt;Assumptions!$N$46),1/Assumptions!$N$46-Depreciation!$D$43,IF(N6&lt;Assumptions!$N$46,1/Assumptions!$N$46,0))</f>
        <v>0.05</v>
      </c>
      <c r="O43" s="267">
        <f>IF(AND(O6&gt;=Assumptions!$N$46, N6&lt;Assumptions!$N$46),1/Assumptions!$N$46-Depreciation!$D$43,IF(O6&lt;Assumptions!$N$46,1/Assumptions!$N$46,0))</f>
        <v>0.05</v>
      </c>
      <c r="P43" s="267">
        <f>IF(AND(P6&gt;=Assumptions!$N$46, O6&lt;Assumptions!$N$46),1/Assumptions!$N$46-Depreciation!$D$43,IF(P6&lt;Assumptions!$N$46,1/Assumptions!$N$46,0))</f>
        <v>0.05</v>
      </c>
      <c r="Q43" s="267">
        <f>IF(AND(Q6&gt;=Assumptions!$N$46, P6&lt;Assumptions!$N$46),1/Assumptions!$N$46-Depreciation!$D$43,IF(Q6&lt;Assumptions!$N$46,1/Assumptions!$N$46,0))</f>
        <v>0.05</v>
      </c>
      <c r="R43" s="267">
        <f>IF(AND(R6&gt;=Assumptions!$N$46, Q6&lt;Assumptions!$N$46),1/Assumptions!$N$46-Depreciation!$D$43,IF(R6&lt;Assumptions!$N$46,1/Assumptions!$N$46,0))</f>
        <v>0.05</v>
      </c>
      <c r="S43" s="267">
        <f>IF(AND(S6&gt;=Assumptions!$N$46, R6&lt;Assumptions!$N$46),1/Assumptions!$N$46-Depreciation!$D$43,IF(S6&lt;Assumptions!$N$46,1/Assumptions!$N$46,0))</f>
        <v>0.05</v>
      </c>
      <c r="T43" s="267">
        <f>IF(AND(T6&gt;=Assumptions!$N$46, S6&lt;Assumptions!$N$46),1/Assumptions!$N$46-Depreciation!$D$43,IF(T6&lt;Assumptions!$N$46,1/Assumptions!$N$46,0))</f>
        <v>0.05</v>
      </c>
      <c r="U43" s="267">
        <f>IF(AND(U6&gt;=Assumptions!$N$46, T6&lt;Assumptions!$N$46),1/Assumptions!$N$46-Depreciation!$D$43,IF(U6&lt;Assumptions!$N$46,1/Assumptions!$N$46,0))</f>
        <v>0.05</v>
      </c>
      <c r="V43" s="267">
        <f>IF(AND(V6&gt;=Assumptions!$N$46, U6&lt;Assumptions!$N$46),1/Assumptions!$N$46-Depreciation!$D$43,IF(V6&lt;Assumptions!$N$46,1/Assumptions!$N$46,0))</f>
        <v>0.05</v>
      </c>
      <c r="W43" s="267">
        <f>IF(AND(W6&gt;=Assumptions!$N$46, V6&lt;Assumptions!$N$46),1/Assumptions!$N$46-Depreciation!$D$43,IF(W6&lt;Assumptions!$N$46,1/Assumptions!$N$46,0))</f>
        <v>0.05</v>
      </c>
      <c r="X43" s="267">
        <f>IF(AND(X6&gt;=Assumptions!$N$46, W6&lt;Assumptions!$N$46),1/Assumptions!$N$46-Depreciation!$D$43,IF(X6&lt;Assumptions!$N$46,1/Assumptions!$N$46,0))</f>
        <v>1.666666666666667E-2</v>
      </c>
      <c r="Y43" s="267">
        <f>IF(AND(Y6&gt;=Assumptions!$N$46, X6&lt;Assumptions!$N$46),1/Assumptions!$N$46-Depreciation!$D$43,IF(Y6&lt;Assumptions!$N$46,1/Assumptions!$N$46,0))</f>
        <v>0</v>
      </c>
      <c r="Z43" s="267">
        <f>IF(AND(Z6&gt;=Assumptions!$N$46, Y6&lt;Assumptions!$N$46),1/Assumptions!$N$46-Depreciation!$D$43,IF(Z6&lt;Assumptions!$N$46,1/Assumptions!$N$46,0))</f>
        <v>0</v>
      </c>
      <c r="AA43" s="267">
        <f>IF(AND(AA6&gt;=Assumptions!$N$46, Z6&lt;Assumptions!$N$46),1/Assumptions!$N$46-Depreciation!$D$43,IF(AA6&lt;Assumptions!$N$46,1/Assumptions!$N$46,0))</f>
        <v>0</v>
      </c>
      <c r="AB43" s="267">
        <f>IF(AND(AB6&gt;=Assumptions!$N$46, AA6&lt;Assumptions!$N$46),1/Assumptions!$N$46-Depreciation!$D$43,IF(AB6&lt;Assumptions!$N$46,1/Assumptions!$N$46,0))</f>
        <v>0</v>
      </c>
      <c r="AC43" s="267">
        <f>IF(AND(AC6&gt;=Assumptions!$N$46, AB6&lt;Assumptions!$N$46),1/Assumptions!$N$46-Depreciation!$D$43,IF(AC6&lt;Assumptions!$N$46,1/Assumptions!$N$46,0))</f>
        <v>0</v>
      </c>
      <c r="AD43" s="267">
        <f>IF(AND(AD6&gt;=Assumptions!$N$46, AC6&lt;Assumptions!$N$46),1/Assumptions!$N$46-Depreciation!$D$43,IF(AD6&lt;Assumptions!$N$46,1/Assumptions!$N$46,0))</f>
        <v>0</v>
      </c>
      <c r="AE43" s="267">
        <f>IF(AND(AE6&gt;=Assumptions!$N$46, AD6&lt;Assumptions!$N$46),1/Assumptions!$N$46-Depreciation!$D$43,IF(AE6&lt;Assumptions!$N$46,1/Assumptions!$N$46,0))</f>
        <v>0</v>
      </c>
      <c r="AF43" s="267">
        <f>IF(AND(AF6&gt;=Assumptions!$N$46, AE6&lt;Assumptions!$N$46),1/Assumptions!$N$46-Depreciation!$D$43,IF(AF6&lt;Assumptions!$N$46,1/Assumptions!$N$46,0))</f>
        <v>0</v>
      </c>
      <c r="AG43" s="267">
        <f>IF(AND(AG6&gt;=Assumptions!$N$46, AF6&lt;Assumptions!$N$46),1/Assumptions!$N$46-Depreciation!$D$43,IF(AG6&lt;Assumptions!$N$46,1/Assumptions!$N$46,0))</f>
        <v>0</v>
      </c>
      <c r="AH43" s="267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251</v>
      </c>
      <c r="B45" s="356" t="e">
        <f>B16</f>
        <v>#N/A</v>
      </c>
      <c r="C45" s="290"/>
      <c r="D45" s="18" t="e">
        <f t="shared" ref="D45:Y45" si="24">D41*$B$45</f>
        <v>#N/A</v>
      </c>
      <c r="E45" s="18" t="e">
        <f t="shared" si="24"/>
        <v>#N/A</v>
      </c>
      <c r="F45" s="18" t="e">
        <f t="shared" si="24"/>
        <v>#N/A</v>
      </c>
      <c r="G45" s="18" t="e">
        <f t="shared" si="24"/>
        <v>#N/A</v>
      </c>
      <c r="H45" s="18" t="e">
        <f t="shared" si="24"/>
        <v>#N/A</v>
      </c>
      <c r="I45" s="18" t="e">
        <f t="shared" si="24"/>
        <v>#N/A</v>
      </c>
      <c r="J45" s="18" t="e">
        <f t="shared" si="24"/>
        <v>#N/A</v>
      </c>
      <c r="K45" s="18" t="e">
        <f t="shared" si="24"/>
        <v>#N/A</v>
      </c>
      <c r="L45" s="18" t="e">
        <f t="shared" si="24"/>
        <v>#N/A</v>
      </c>
      <c r="M45" s="18" t="e">
        <f t="shared" si="24"/>
        <v>#N/A</v>
      </c>
      <c r="N45" s="18" t="e">
        <f t="shared" si="24"/>
        <v>#N/A</v>
      </c>
      <c r="O45" s="18" t="e">
        <f t="shared" si="24"/>
        <v>#N/A</v>
      </c>
      <c r="P45" s="18" t="e">
        <f t="shared" si="24"/>
        <v>#N/A</v>
      </c>
      <c r="Q45" s="18" t="e">
        <f t="shared" si="24"/>
        <v>#N/A</v>
      </c>
      <c r="R45" s="18" t="e">
        <f t="shared" si="24"/>
        <v>#N/A</v>
      </c>
      <c r="S45" s="18" t="e">
        <f t="shared" si="24"/>
        <v>#N/A</v>
      </c>
      <c r="T45" s="18" t="e">
        <f t="shared" si="24"/>
        <v>#N/A</v>
      </c>
      <c r="U45" s="18" t="e">
        <f t="shared" si="24"/>
        <v>#N/A</v>
      </c>
      <c r="V45" s="18" t="e">
        <f t="shared" si="24"/>
        <v>#N/A</v>
      </c>
      <c r="W45" s="18" t="e">
        <f t="shared" si="24"/>
        <v>#N/A</v>
      </c>
      <c r="X45" s="18" t="e">
        <f t="shared" si="24"/>
        <v>#N/A</v>
      </c>
      <c r="Y45" s="18" t="e">
        <f t="shared" si="24"/>
        <v>#N/A</v>
      </c>
      <c r="Z45" s="18" t="e">
        <f t="shared" ref="Z45:AH45" si="25">Z41*$B$45</f>
        <v>#N/A</v>
      </c>
      <c r="AA45" s="18" t="e">
        <f t="shared" si="25"/>
        <v>#N/A</v>
      </c>
      <c r="AB45" s="18" t="e">
        <f t="shared" si="25"/>
        <v>#N/A</v>
      </c>
      <c r="AC45" s="18" t="e">
        <f t="shared" si="25"/>
        <v>#N/A</v>
      </c>
      <c r="AD45" s="18" t="e">
        <f t="shared" si="25"/>
        <v>#N/A</v>
      </c>
      <c r="AE45" s="18" t="e">
        <f t="shared" si="25"/>
        <v>#N/A</v>
      </c>
      <c r="AF45" s="18" t="e">
        <f t="shared" si="25"/>
        <v>#N/A</v>
      </c>
      <c r="AG45" s="18" t="e">
        <f t="shared" si="25"/>
        <v>#N/A</v>
      </c>
      <c r="AH45" s="18" t="e">
        <f t="shared" si="25"/>
        <v>#N/A</v>
      </c>
      <c r="AI45" s="20"/>
      <c r="AJ45" s="20"/>
      <c r="AK45" s="20"/>
      <c r="AL45" s="20"/>
    </row>
    <row r="46" spans="1:38" s="10" customFormat="1">
      <c r="A46" s="21" t="s">
        <v>252</v>
      </c>
      <c r="B46" s="289" t="e">
        <f>B17</f>
        <v>#N/A</v>
      </c>
      <c r="C46" s="290"/>
      <c r="D46" s="287" t="e">
        <f>D42*$B$46</f>
        <v>#N/A</v>
      </c>
      <c r="E46" s="287" t="e">
        <f t="shared" ref="E46:AH46" si="26">E42*$B$46</f>
        <v>#N/A</v>
      </c>
      <c r="F46" s="287" t="e">
        <f t="shared" si="26"/>
        <v>#N/A</v>
      </c>
      <c r="G46" s="287" t="e">
        <f t="shared" si="26"/>
        <v>#N/A</v>
      </c>
      <c r="H46" s="287" t="e">
        <f t="shared" si="26"/>
        <v>#N/A</v>
      </c>
      <c r="I46" s="287" t="e">
        <f t="shared" si="26"/>
        <v>#N/A</v>
      </c>
      <c r="J46" s="287" t="e">
        <f t="shared" si="26"/>
        <v>#N/A</v>
      </c>
      <c r="K46" s="287" t="e">
        <f t="shared" si="26"/>
        <v>#N/A</v>
      </c>
      <c r="L46" s="287" t="e">
        <f t="shared" si="26"/>
        <v>#N/A</v>
      </c>
      <c r="M46" s="287" t="e">
        <f t="shared" si="26"/>
        <v>#N/A</v>
      </c>
      <c r="N46" s="287" t="e">
        <f t="shared" si="26"/>
        <v>#N/A</v>
      </c>
      <c r="O46" s="287" t="e">
        <f t="shared" si="26"/>
        <v>#N/A</v>
      </c>
      <c r="P46" s="287" t="e">
        <f t="shared" si="26"/>
        <v>#N/A</v>
      </c>
      <c r="Q46" s="287" t="e">
        <f t="shared" si="26"/>
        <v>#N/A</v>
      </c>
      <c r="R46" s="287" t="e">
        <f t="shared" si="26"/>
        <v>#N/A</v>
      </c>
      <c r="S46" s="287" t="e">
        <f t="shared" si="26"/>
        <v>#N/A</v>
      </c>
      <c r="T46" s="287" t="e">
        <f t="shared" si="26"/>
        <v>#N/A</v>
      </c>
      <c r="U46" s="287" t="e">
        <f t="shared" si="26"/>
        <v>#N/A</v>
      </c>
      <c r="V46" s="287" t="e">
        <f t="shared" si="26"/>
        <v>#N/A</v>
      </c>
      <c r="W46" s="287" t="e">
        <f t="shared" si="26"/>
        <v>#N/A</v>
      </c>
      <c r="X46" s="287" t="e">
        <f t="shared" si="26"/>
        <v>#N/A</v>
      </c>
      <c r="Y46" s="287" t="e">
        <f t="shared" si="26"/>
        <v>#N/A</v>
      </c>
      <c r="Z46" s="287" t="e">
        <f t="shared" si="26"/>
        <v>#N/A</v>
      </c>
      <c r="AA46" s="287" t="e">
        <f t="shared" si="26"/>
        <v>#N/A</v>
      </c>
      <c r="AB46" s="287" t="e">
        <f t="shared" si="26"/>
        <v>#N/A</v>
      </c>
      <c r="AC46" s="287" t="e">
        <f t="shared" si="26"/>
        <v>#N/A</v>
      </c>
      <c r="AD46" s="287" t="e">
        <f t="shared" si="26"/>
        <v>#N/A</v>
      </c>
      <c r="AE46" s="287" t="e">
        <f t="shared" si="26"/>
        <v>#N/A</v>
      </c>
      <c r="AF46" s="287" t="e">
        <f t="shared" si="26"/>
        <v>#N/A</v>
      </c>
      <c r="AG46" s="287" t="e">
        <f t="shared" si="26"/>
        <v>#N/A</v>
      </c>
      <c r="AH46" s="287" t="e">
        <f t="shared" si="26"/>
        <v>#N/A</v>
      </c>
      <c r="AI46" s="20"/>
      <c r="AJ46" s="20"/>
      <c r="AK46" s="20"/>
      <c r="AL46" s="20"/>
    </row>
    <row r="47" spans="1:38" s="10" customFormat="1" ht="15">
      <c r="A47" s="22" t="s">
        <v>319</v>
      </c>
      <c r="B47" s="357">
        <f>B18</f>
        <v>0</v>
      </c>
      <c r="C47" s="290"/>
      <c r="D47" s="358">
        <f t="shared" ref="D47:Y47" si="27">D43*$B$47</f>
        <v>0</v>
      </c>
      <c r="E47" s="358">
        <f t="shared" si="27"/>
        <v>0</v>
      </c>
      <c r="F47" s="358">
        <f t="shared" si="27"/>
        <v>0</v>
      </c>
      <c r="G47" s="358">
        <f t="shared" si="27"/>
        <v>0</v>
      </c>
      <c r="H47" s="358">
        <f t="shared" si="27"/>
        <v>0</v>
      </c>
      <c r="I47" s="358">
        <f t="shared" si="27"/>
        <v>0</v>
      </c>
      <c r="J47" s="358">
        <f t="shared" si="27"/>
        <v>0</v>
      </c>
      <c r="K47" s="358">
        <f t="shared" si="27"/>
        <v>0</v>
      </c>
      <c r="L47" s="358">
        <f t="shared" si="27"/>
        <v>0</v>
      </c>
      <c r="M47" s="358">
        <f t="shared" si="27"/>
        <v>0</v>
      </c>
      <c r="N47" s="358">
        <f t="shared" si="27"/>
        <v>0</v>
      </c>
      <c r="O47" s="358">
        <f t="shared" si="27"/>
        <v>0</v>
      </c>
      <c r="P47" s="358">
        <f t="shared" si="27"/>
        <v>0</v>
      </c>
      <c r="Q47" s="358">
        <f t="shared" si="27"/>
        <v>0</v>
      </c>
      <c r="R47" s="358">
        <f t="shared" si="27"/>
        <v>0</v>
      </c>
      <c r="S47" s="358">
        <f t="shared" si="27"/>
        <v>0</v>
      </c>
      <c r="T47" s="358">
        <f t="shared" si="27"/>
        <v>0</v>
      </c>
      <c r="U47" s="358">
        <f t="shared" si="27"/>
        <v>0</v>
      </c>
      <c r="V47" s="358">
        <f t="shared" si="27"/>
        <v>0</v>
      </c>
      <c r="W47" s="358">
        <f t="shared" si="27"/>
        <v>0</v>
      </c>
      <c r="X47" s="358">
        <f t="shared" si="27"/>
        <v>0</v>
      </c>
      <c r="Y47" s="358">
        <f t="shared" si="27"/>
        <v>0</v>
      </c>
      <c r="Z47" s="358">
        <f t="shared" ref="Z47:AH47" si="28">Z43*$B$47</f>
        <v>0</v>
      </c>
      <c r="AA47" s="358">
        <f t="shared" si="28"/>
        <v>0</v>
      </c>
      <c r="AB47" s="358">
        <f t="shared" si="28"/>
        <v>0</v>
      </c>
      <c r="AC47" s="358">
        <f t="shared" si="28"/>
        <v>0</v>
      </c>
      <c r="AD47" s="358">
        <f t="shared" si="28"/>
        <v>0</v>
      </c>
      <c r="AE47" s="358">
        <f t="shared" si="28"/>
        <v>0</v>
      </c>
      <c r="AF47" s="358">
        <f t="shared" si="28"/>
        <v>0</v>
      </c>
      <c r="AG47" s="358">
        <f t="shared" si="28"/>
        <v>0</v>
      </c>
      <c r="AH47" s="358">
        <f t="shared" si="28"/>
        <v>0</v>
      </c>
      <c r="AI47" s="20"/>
      <c r="AJ47" s="20"/>
      <c r="AK47" s="20"/>
      <c r="AL47" s="20"/>
    </row>
    <row r="48" spans="1:38" s="10" customFormat="1">
      <c r="A48" s="16" t="s">
        <v>63</v>
      </c>
      <c r="B48" s="18" t="e">
        <f>SUM(B45:B47)</f>
        <v>#N/A</v>
      </c>
      <c r="C48" s="290"/>
      <c r="D48" s="18" t="e">
        <f t="shared" ref="D48:Y48" si="29">SUM(D45:D47)</f>
        <v>#N/A</v>
      </c>
      <c r="E48" s="18" t="e">
        <f t="shared" si="29"/>
        <v>#N/A</v>
      </c>
      <c r="F48" s="18" t="e">
        <f t="shared" si="29"/>
        <v>#N/A</v>
      </c>
      <c r="G48" s="18" t="e">
        <f t="shared" si="29"/>
        <v>#N/A</v>
      </c>
      <c r="H48" s="18" t="e">
        <f t="shared" si="29"/>
        <v>#N/A</v>
      </c>
      <c r="I48" s="18" t="e">
        <f t="shared" si="29"/>
        <v>#N/A</v>
      </c>
      <c r="J48" s="18" t="e">
        <f t="shared" si="29"/>
        <v>#N/A</v>
      </c>
      <c r="K48" s="18" t="e">
        <f t="shared" si="29"/>
        <v>#N/A</v>
      </c>
      <c r="L48" s="18" t="e">
        <f t="shared" si="29"/>
        <v>#N/A</v>
      </c>
      <c r="M48" s="18" t="e">
        <f t="shared" si="29"/>
        <v>#N/A</v>
      </c>
      <c r="N48" s="18" t="e">
        <f t="shared" si="29"/>
        <v>#N/A</v>
      </c>
      <c r="O48" s="18" t="e">
        <f t="shared" si="29"/>
        <v>#N/A</v>
      </c>
      <c r="P48" s="18" t="e">
        <f t="shared" si="29"/>
        <v>#N/A</v>
      </c>
      <c r="Q48" s="18" t="e">
        <f t="shared" si="29"/>
        <v>#N/A</v>
      </c>
      <c r="R48" s="18" t="e">
        <f t="shared" si="29"/>
        <v>#N/A</v>
      </c>
      <c r="S48" s="18" t="e">
        <f t="shared" si="29"/>
        <v>#N/A</v>
      </c>
      <c r="T48" s="18" t="e">
        <f t="shared" si="29"/>
        <v>#N/A</v>
      </c>
      <c r="U48" s="18" t="e">
        <f t="shared" si="29"/>
        <v>#N/A</v>
      </c>
      <c r="V48" s="18" t="e">
        <f t="shared" si="29"/>
        <v>#N/A</v>
      </c>
      <c r="W48" s="18" t="e">
        <f t="shared" si="29"/>
        <v>#N/A</v>
      </c>
      <c r="X48" s="18" t="e">
        <f t="shared" si="29"/>
        <v>#N/A</v>
      </c>
      <c r="Y48" s="18" t="e">
        <f t="shared" si="29"/>
        <v>#N/A</v>
      </c>
      <c r="Z48" s="18" t="e">
        <f t="shared" ref="Z48:AH48" si="30">SUM(Z45:Z47)</f>
        <v>#N/A</v>
      </c>
      <c r="AA48" s="18" t="e">
        <f t="shared" si="30"/>
        <v>#N/A</v>
      </c>
      <c r="AB48" s="18" t="e">
        <f t="shared" si="30"/>
        <v>#N/A</v>
      </c>
      <c r="AC48" s="18" t="e">
        <f t="shared" si="30"/>
        <v>#N/A</v>
      </c>
      <c r="AD48" s="18" t="e">
        <f t="shared" si="30"/>
        <v>#N/A</v>
      </c>
      <c r="AE48" s="18" t="e">
        <f t="shared" si="30"/>
        <v>#N/A</v>
      </c>
      <c r="AF48" s="18" t="e">
        <f t="shared" si="30"/>
        <v>#N/A</v>
      </c>
      <c r="AG48" s="18" t="e">
        <f t="shared" si="30"/>
        <v>#N/A</v>
      </c>
      <c r="AH48" s="18" t="e">
        <f t="shared" si="30"/>
        <v>#N/A</v>
      </c>
      <c r="AI48" s="20"/>
      <c r="AJ48" s="20"/>
      <c r="AK48" s="20"/>
      <c r="AL48" s="20"/>
    </row>
    <row r="49" spans="1:38">
      <c r="A49" s="22"/>
      <c r="B49" s="18"/>
      <c r="C49" s="360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292" t="s">
        <v>68</v>
      </c>
      <c r="B50" s="362" t="e">
        <f>B48</f>
        <v>#N/A</v>
      </c>
      <c r="C50" s="361"/>
      <c r="D50" s="291" t="e">
        <f>B48-D48</f>
        <v>#N/A</v>
      </c>
      <c r="E50" s="291" t="e">
        <f>D50-E48</f>
        <v>#N/A</v>
      </c>
      <c r="F50" s="291" t="e">
        <f t="shared" ref="F50:Y50" si="31">E50-F48</f>
        <v>#N/A</v>
      </c>
      <c r="G50" s="291" t="e">
        <f t="shared" si="31"/>
        <v>#N/A</v>
      </c>
      <c r="H50" s="291" t="e">
        <f t="shared" si="31"/>
        <v>#N/A</v>
      </c>
      <c r="I50" s="291" t="e">
        <f t="shared" si="31"/>
        <v>#N/A</v>
      </c>
      <c r="J50" s="291" t="e">
        <f t="shared" si="31"/>
        <v>#N/A</v>
      </c>
      <c r="K50" s="291" t="e">
        <f t="shared" si="31"/>
        <v>#N/A</v>
      </c>
      <c r="L50" s="291" t="e">
        <f t="shared" si="31"/>
        <v>#N/A</v>
      </c>
      <c r="M50" s="291" t="e">
        <f t="shared" si="31"/>
        <v>#N/A</v>
      </c>
      <c r="N50" s="291" t="e">
        <f t="shared" si="31"/>
        <v>#N/A</v>
      </c>
      <c r="O50" s="291" t="e">
        <f t="shared" si="31"/>
        <v>#N/A</v>
      </c>
      <c r="P50" s="291" t="e">
        <f t="shared" si="31"/>
        <v>#N/A</v>
      </c>
      <c r="Q50" s="291" t="e">
        <f t="shared" si="31"/>
        <v>#N/A</v>
      </c>
      <c r="R50" s="291" t="e">
        <f t="shared" si="31"/>
        <v>#N/A</v>
      </c>
      <c r="S50" s="291" t="e">
        <f t="shared" si="31"/>
        <v>#N/A</v>
      </c>
      <c r="T50" s="291" t="e">
        <f t="shared" si="31"/>
        <v>#N/A</v>
      </c>
      <c r="U50" s="291" t="e">
        <f t="shared" si="31"/>
        <v>#N/A</v>
      </c>
      <c r="V50" s="291" t="e">
        <f t="shared" si="31"/>
        <v>#N/A</v>
      </c>
      <c r="W50" s="291" t="e">
        <f t="shared" si="31"/>
        <v>#N/A</v>
      </c>
      <c r="X50" s="291" t="e">
        <f t="shared" si="31"/>
        <v>#N/A</v>
      </c>
      <c r="Y50" s="291" t="e">
        <f t="shared" si="31"/>
        <v>#N/A</v>
      </c>
      <c r="Z50" s="291" t="e">
        <f t="shared" ref="Z50:AH50" si="32">Y50-Z48</f>
        <v>#N/A</v>
      </c>
      <c r="AA50" s="291" t="e">
        <f t="shared" si="32"/>
        <v>#N/A</v>
      </c>
      <c r="AB50" s="291" t="e">
        <f t="shared" si="32"/>
        <v>#N/A</v>
      </c>
      <c r="AC50" s="291" t="e">
        <f t="shared" si="32"/>
        <v>#N/A</v>
      </c>
      <c r="AD50" s="291" t="e">
        <f t="shared" si="32"/>
        <v>#N/A</v>
      </c>
      <c r="AE50" s="291" t="e">
        <f t="shared" si="32"/>
        <v>#N/A</v>
      </c>
      <c r="AF50" s="291" t="e">
        <f t="shared" si="32"/>
        <v>#N/A</v>
      </c>
      <c r="AG50" s="291" t="e">
        <f t="shared" si="32"/>
        <v>#N/A</v>
      </c>
      <c r="AH50" s="291" t="e">
        <f t="shared" si="32"/>
        <v>#N/A</v>
      </c>
      <c r="AI50" s="239"/>
      <c r="AJ50" s="239"/>
      <c r="AK50" s="239"/>
      <c r="AL50" s="239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16</vt:i4>
      </vt:variant>
    </vt:vector>
  </HeadingPairs>
  <TitlesOfParts>
    <vt:vector size="27" baseType="lpstr">
      <vt:lpstr>Notes</vt:lpstr>
      <vt:lpstr>Tracking Sheet</vt:lpstr>
      <vt:lpstr>Assumptions</vt:lpstr>
      <vt:lpstr>Price_Technical Assumption</vt:lpstr>
      <vt:lpstr>IS</vt:lpstr>
      <vt:lpstr>BS</vt:lpstr>
      <vt:lpstr>Returns Analysis</vt:lpstr>
      <vt:lpstr>Debt</vt:lpstr>
      <vt:lpstr>Depreciation</vt:lpstr>
      <vt:lpstr>Taxes</vt:lpstr>
      <vt:lpstr>IDC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2000-02-12T00:04:30Z</cp:lastPrinted>
  <dcterms:created xsi:type="dcterms:W3CDTF">1999-04-02T01:38:38Z</dcterms:created>
  <dcterms:modified xsi:type="dcterms:W3CDTF">2014-09-03T11:34:55Z</dcterms:modified>
</cp:coreProperties>
</file>