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2730" windowWidth="15330" windowHeight="2745" tabRatio="899" firstSheet="2" activeTab="2"/>
  </bookViews>
  <sheets>
    <sheet name="Notes" sheetId="23" r:id="rId1"/>
    <sheet name="Tracking Sheet" sheetId="16" r:id="rId2"/>
    <sheet name="Assumptions" sheetId="2" r:id="rId3"/>
    <sheet name="Cost Details" sheetId="28" r:id="rId4"/>
    <sheet name="Price_Technical Assumption" sheetId="3" r:id="rId5"/>
    <sheet name="Fuel Oil Curve" sheetId="27" r:id="rId6"/>
    <sheet name="Summary" sheetId="29" r:id="rId7"/>
    <sheet name="IS" sheetId="4" r:id="rId8"/>
    <sheet name="Revised Debt" sheetId="30" r:id="rId9"/>
    <sheet name="BS" sheetId="19" state="hidden" r:id="rId10"/>
    <sheet name="Returns Analysis" sheetId="25" r:id="rId11"/>
    <sheet name="Debt" sheetId="6" r:id="rId12"/>
    <sheet name="Depreciation" sheetId="7" r:id="rId13"/>
    <sheet name="Taxes" sheetId="8" r:id="rId14"/>
    <sheet name="IDC" sheetId="18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Assumptions!$A$3:$P$82</definedName>
    <definedName name="_xlnm.Print_Area" localSheetId="9">BS!$A$2:$AH$9</definedName>
    <definedName name="_xlnm.Print_Area" localSheetId="11">Debt!$A$2:$AF$69</definedName>
    <definedName name="_xlnm.Print_Area" localSheetId="12">Depreciation!$A$2:$AH$50</definedName>
    <definedName name="_xlnm.Print_Area" localSheetId="14">IDC!$A$2:$L$59</definedName>
    <definedName name="_xlnm.Print_Area" localSheetId="7">IS!$A$2:$Q$45</definedName>
    <definedName name="_xlnm.Print_Area" localSheetId="13">Taxes!$A$2:$AF$41</definedName>
    <definedName name="_xlnm.Print_Titles" localSheetId="9">BS!$A:$A</definedName>
    <definedName name="_xlnm.Print_Titles" localSheetId="11">Debt!$A:$A</definedName>
    <definedName name="_xlnm.Print_Titles" localSheetId="12">Depreciation!$A:$A</definedName>
    <definedName name="_xlnm.Print_Titles" localSheetId="7">IS!$A:$A</definedName>
    <definedName name="_xlnm.Print_Titles" localSheetId="4">'Price_Technical Assumption'!$A:$B</definedName>
    <definedName name="_xlnm.Print_Titles" localSheetId="10">'Returns Analysis'!$A:$A</definedName>
    <definedName name="_xlnm.Print_Titles" localSheetId="13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I11" i="2" l="1"/>
  <c r="U14" i="2"/>
  <c r="V14" i="2"/>
  <c r="W14" i="2"/>
  <c r="X14" i="2"/>
  <c r="Y14" i="2"/>
  <c r="Z14" i="2"/>
  <c r="AB14" i="2"/>
  <c r="N17" i="2"/>
  <c r="P17" i="2"/>
  <c r="C20" i="2"/>
  <c r="O20" i="2"/>
  <c r="O21" i="2"/>
  <c r="C22" i="2"/>
  <c r="O23" i="2"/>
  <c r="C25" i="2"/>
  <c r="N25" i="2"/>
  <c r="O25" i="2"/>
  <c r="N26" i="2"/>
  <c r="C27" i="2"/>
  <c r="C28" i="2"/>
  <c r="C29" i="2"/>
  <c r="C31" i="2"/>
  <c r="D31" i="2"/>
  <c r="D32" i="2"/>
  <c r="G32" i="2"/>
  <c r="C33" i="2"/>
  <c r="D33" i="2"/>
  <c r="H35" i="2"/>
  <c r="C38" i="2"/>
  <c r="D38" i="2" s="1"/>
  <c r="H39" i="2"/>
  <c r="D44" i="2"/>
  <c r="D45" i="2"/>
  <c r="D47" i="2"/>
  <c r="G48" i="2"/>
  <c r="C49" i="2"/>
  <c r="C51" i="2"/>
  <c r="D55" i="2"/>
  <c r="H57" i="2"/>
  <c r="C58" i="2"/>
  <c r="D58" i="2" s="1"/>
  <c r="H60" i="2"/>
  <c r="H66" i="2"/>
  <c r="H68" i="2"/>
  <c r="A73" i="2"/>
  <c r="A74" i="2"/>
  <c r="A75" i="2"/>
  <c r="A2" i="19"/>
  <c r="D8" i="19"/>
  <c r="E8" i="19" s="1"/>
  <c r="F8" i="19"/>
  <c r="G8" i="19" s="1"/>
  <c r="H8" i="19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O22" i="19"/>
  <c r="G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42" i="19"/>
  <c r="D12" i="28"/>
  <c r="C23" i="2" s="1"/>
  <c r="D23" i="2" s="1"/>
  <c r="D21" i="28"/>
  <c r="C24" i="2" s="1"/>
  <c r="D24" i="2" s="1"/>
  <c r="D34" i="28"/>
  <c r="D67" i="28"/>
  <c r="D86" i="28"/>
  <c r="C26" i="2" s="1"/>
  <c r="D94" i="28"/>
  <c r="D108" i="28"/>
  <c r="C30" i="2" s="1"/>
  <c r="D111" i="28"/>
  <c r="D115" i="28" s="1"/>
  <c r="D119" i="28"/>
  <c r="A2" i="6"/>
  <c r="B8" i="6"/>
  <c r="C8" i="6"/>
  <c r="C41" i="6" s="1"/>
  <c r="D8" i="6"/>
  <c r="E8" i="6"/>
  <c r="E41" i="6" s="1"/>
  <c r="F8" i="6"/>
  <c r="G8" i="6"/>
  <c r="H8" i="6"/>
  <c r="I8" i="6"/>
  <c r="J8" i="6"/>
  <c r="K8" i="6"/>
  <c r="K41" i="6" s="1"/>
  <c r="L8" i="6"/>
  <c r="M8" i="6"/>
  <c r="M41" i="6" s="1"/>
  <c r="N8" i="6"/>
  <c r="O8" i="6"/>
  <c r="P8" i="6"/>
  <c r="Q8" i="6"/>
  <c r="R8" i="6"/>
  <c r="S8" i="6"/>
  <c r="T8" i="6"/>
  <c r="U8" i="6"/>
  <c r="U41" i="6" s="1"/>
  <c r="V8" i="6"/>
  <c r="W8" i="6"/>
  <c r="X8" i="6"/>
  <c r="Y8" i="6"/>
  <c r="Z8" i="6"/>
  <c r="AA8" i="6"/>
  <c r="AB8" i="6"/>
  <c r="AC8" i="6"/>
  <c r="AC41" i="6" s="1"/>
  <c r="AD8" i="6"/>
  <c r="AE8" i="6"/>
  <c r="AF8" i="6"/>
  <c r="AN11" i="6"/>
  <c r="AN12" i="6"/>
  <c r="B41" i="6"/>
  <c r="D41" i="6"/>
  <c r="F41" i="6"/>
  <c r="G41" i="6"/>
  <c r="H41" i="6"/>
  <c r="I41" i="6"/>
  <c r="J41" i="6"/>
  <c r="L41" i="6"/>
  <c r="N41" i="6"/>
  <c r="O41" i="6"/>
  <c r="P41" i="6"/>
  <c r="Q41" i="6"/>
  <c r="R41" i="6"/>
  <c r="S41" i="6"/>
  <c r="T41" i="6"/>
  <c r="V41" i="6"/>
  <c r="W41" i="6"/>
  <c r="X41" i="6"/>
  <c r="Y41" i="6"/>
  <c r="Z41" i="6"/>
  <c r="AA41" i="6"/>
  <c r="AB41" i="6"/>
  <c r="AD41" i="6"/>
  <c r="AE41" i="6"/>
  <c r="AF41" i="6"/>
  <c r="E62" i="6"/>
  <c r="E63" i="6"/>
  <c r="E65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D8" i="8" s="1"/>
  <c r="G8" i="7"/>
  <c r="H8" i="7"/>
  <c r="I8" i="7"/>
  <c r="J8" i="7"/>
  <c r="K8" i="7"/>
  <c r="L8" i="7"/>
  <c r="M8" i="7"/>
  <c r="N8" i="7"/>
  <c r="L8" i="8" s="1"/>
  <c r="O8" i="7"/>
  <c r="P8" i="7"/>
  <c r="Q8" i="7"/>
  <c r="R8" i="7"/>
  <c r="S8" i="7"/>
  <c r="T8" i="7"/>
  <c r="U8" i="7"/>
  <c r="V8" i="7"/>
  <c r="T8" i="8" s="1"/>
  <c r="W8" i="7"/>
  <c r="X8" i="7"/>
  <c r="Y8" i="7"/>
  <c r="Z8" i="7"/>
  <c r="AA8" i="7"/>
  <c r="AB8" i="7"/>
  <c r="AC8" i="7"/>
  <c r="AD8" i="7"/>
  <c r="AB8" i="8" s="1"/>
  <c r="AE8" i="7"/>
  <c r="AF8" i="7"/>
  <c r="AG8" i="7"/>
  <c r="AH8" i="7"/>
  <c r="B12" i="7"/>
  <c r="B13" i="7"/>
  <c r="E13" i="7"/>
  <c r="E27" i="7" s="1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7" i="7"/>
  <c r="G5" i="27"/>
  <c r="E25" i="3" s="1"/>
  <c r="G10" i="27"/>
  <c r="G11" i="27"/>
  <c r="K25" i="3" s="1"/>
  <c r="K30" i="3" s="1"/>
  <c r="D15" i="27"/>
  <c r="G4" i="27" s="1"/>
  <c r="G15" i="27"/>
  <c r="G17" i="27"/>
  <c r="D27" i="27"/>
  <c r="D39" i="27"/>
  <c r="G6" i="27" s="1"/>
  <c r="F25" i="3" s="1"/>
  <c r="F30" i="3" s="1"/>
  <c r="D51" i="27"/>
  <c r="G7" i="27" s="1"/>
  <c r="G25" i="3" s="1"/>
  <c r="G30" i="3" s="1"/>
  <c r="D63" i="27"/>
  <c r="G8" i="27" s="1"/>
  <c r="H25" i="3" s="1"/>
  <c r="D75" i="27"/>
  <c r="G9" i="27" s="1"/>
  <c r="D87" i="27"/>
  <c r="D99" i="27"/>
  <c r="D111" i="27"/>
  <c r="G12" i="27" s="1"/>
  <c r="D123" i="27"/>
  <c r="G13" i="27" s="1"/>
  <c r="M25" i="3" s="1"/>
  <c r="M30" i="3" s="1"/>
  <c r="M34" i="3" s="1"/>
  <c r="D135" i="27"/>
  <c r="G14" i="27" s="1"/>
  <c r="D147" i="27"/>
  <c r="D159" i="27"/>
  <c r="G16" i="27" s="1"/>
  <c r="D171" i="27"/>
  <c r="D183" i="27"/>
  <c r="G18" i="27" s="1"/>
  <c r="D195" i="27"/>
  <c r="G19" i="27" s="1"/>
  <c r="A2" i="18"/>
  <c r="C6" i="18"/>
  <c r="C7" i="18"/>
  <c r="C8" i="18"/>
  <c r="D8" i="18"/>
  <c r="C15" i="18"/>
  <c r="E15" i="18"/>
  <c r="A16" i="18"/>
  <c r="C16" i="18"/>
  <c r="A17" i="18"/>
  <c r="C17" i="18"/>
  <c r="E17" i="18" s="1"/>
  <c r="F17" i="18" s="1"/>
  <c r="C18" i="18"/>
  <c r="C19" i="18"/>
  <c r="E19" i="18"/>
  <c r="F19" i="18"/>
  <c r="C20" i="18"/>
  <c r="C21" i="18"/>
  <c r="E21" i="18" s="1"/>
  <c r="F21" i="18" s="1"/>
  <c r="C22" i="18"/>
  <c r="E22" i="18"/>
  <c r="F22" i="18" s="1"/>
  <c r="C23" i="18"/>
  <c r="C24" i="18"/>
  <c r="E24" i="18"/>
  <c r="F24" i="18" s="1"/>
  <c r="C25" i="18"/>
  <c r="C26" i="18"/>
  <c r="E26" i="18"/>
  <c r="F26" i="18" s="1"/>
  <c r="C27" i="18"/>
  <c r="C28" i="18"/>
  <c r="C29" i="18"/>
  <c r="E29" i="18" s="1"/>
  <c r="F29" i="18" s="1"/>
  <c r="E32" i="18"/>
  <c r="F32" i="18" s="1"/>
  <c r="H57" i="18"/>
  <c r="I57" i="18"/>
  <c r="J57" i="18"/>
  <c r="K57" i="18"/>
  <c r="L57" i="18"/>
  <c r="D59" i="18"/>
  <c r="D15" i="18" s="1"/>
  <c r="D34" i="18" s="1"/>
  <c r="A2" i="4"/>
  <c r="C7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6" i="4"/>
  <c r="N29" i="2" s="1"/>
  <c r="O29" i="2" s="1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D17" i="4"/>
  <c r="E17" i="4"/>
  <c r="F17" i="4"/>
  <c r="G17" i="4"/>
  <c r="H17" i="4" s="1"/>
  <c r="I17" i="4" s="1"/>
  <c r="J17" i="4"/>
  <c r="K17" i="4" s="1"/>
  <c r="C18" i="4"/>
  <c r="D18" i="4"/>
  <c r="C19" i="4"/>
  <c r="D19" i="4" s="1"/>
  <c r="E19" i="4"/>
  <c r="F19" i="4" s="1"/>
  <c r="G19" i="4" s="1"/>
  <c r="H19" i="4" s="1"/>
  <c r="I19" i="4"/>
  <c r="J19" i="4" s="1"/>
  <c r="K19" i="4" s="1"/>
  <c r="L19" i="4" s="1"/>
  <c r="M19" i="4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/>
  <c r="AB19" i="4" s="1"/>
  <c r="AC19" i="4" s="1"/>
  <c r="AD19" i="4" s="1"/>
  <c r="AE19" i="4" s="1"/>
  <c r="AF19" i="4" s="1"/>
  <c r="AG19" i="4" s="1"/>
  <c r="C20" i="4"/>
  <c r="D20" i="4"/>
  <c r="E20" i="4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 s="1"/>
  <c r="F22" i="4"/>
  <c r="G22" i="4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X26" i="4"/>
  <c r="Y26" i="4"/>
  <c r="Z26" i="4"/>
  <c r="AA26" i="4"/>
  <c r="AB26" i="4"/>
  <c r="AC26" i="4"/>
  <c r="AD26" i="4"/>
  <c r="AE26" i="4"/>
  <c r="AF26" i="4"/>
  <c r="AG26" i="4"/>
  <c r="P27" i="4"/>
  <c r="V27" i="4"/>
  <c r="C28" i="4"/>
  <c r="D28" i="4"/>
  <c r="E28" i="4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G38" i="4"/>
  <c r="B42" i="4"/>
  <c r="B43" i="4"/>
  <c r="AG52" i="4"/>
  <c r="B2" i="3"/>
  <c r="D7" i="3"/>
  <c r="D8" i="3"/>
  <c r="E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D25" i="3"/>
  <c r="I25" i="3"/>
  <c r="I30" i="3" s="1"/>
  <c r="J25" i="3"/>
  <c r="J30" i="3" s="1"/>
  <c r="L25" i="3"/>
  <c r="N25" i="3"/>
  <c r="O25" i="3"/>
  <c r="O30" i="3" s="1"/>
  <c r="P25" i="3"/>
  <c r="Q25" i="3"/>
  <c r="Q30" i="3" s="1"/>
  <c r="R25" i="3"/>
  <c r="R30" i="3" s="1"/>
  <c r="S25" i="3"/>
  <c r="S30" i="3" s="1"/>
  <c r="T25" i="3"/>
  <c r="U25" i="3"/>
  <c r="V25" i="3"/>
  <c r="W25" i="3"/>
  <c r="W30" i="3" s="1"/>
  <c r="X25" i="3"/>
  <c r="D28" i="3"/>
  <c r="E28" i="3"/>
  <c r="F28" i="3"/>
  <c r="G28" i="3"/>
  <c r="H28" i="3"/>
  <c r="I28" i="3"/>
  <c r="J28" i="3"/>
  <c r="K28" i="3"/>
  <c r="L28" i="3"/>
  <c r="L30" i="3" s="1"/>
  <c r="M28" i="3"/>
  <c r="N28" i="3"/>
  <c r="O28" i="3"/>
  <c r="P28" i="3"/>
  <c r="Q28" i="3"/>
  <c r="R28" i="3"/>
  <c r="S28" i="3"/>
  <c r="T28" i="3"/>
  <c r="T30" i="3" s="1"/>
  <c r="U28" i="3"/>
  <c r="U30" i="3" s="1"/>
  <c r="V28" i="3"/>
  <c r="V30" i="3" s="1"/>
  <c r="V34" i="3" s="1"/>
  <c r="W28" i="3"/>
  <c r="X28" i="3"/>
  <c r="Y28" i="3"/>
  <c r="Z28" i="3"/>
  <c r="AA28" i="3"/>
  <c r="AB28" i="3"/>
  <c r="AB30" i="3" s="1"/>
  <c r="AC28" i="3"/>
  <c r="AC30" i="3" s="1"/>
  <c r="AC34" i="3" s="1"/>
  <c r="AD28" i="3"/>
  <c r="AE28" i="3"/>
  <c r="AF28" i="3"/>
  <c r="AG28" i="3"/>
  <c r="AH28" i="3"/>
  <c r="A30" i="3"/>
  <c r="D30" i="3"/>
  <c r="E30" i="3"/>
  <c r="H30" i="3"/>
  <c r="N30" i="3"/>
  <c r="P30" i="3"/>
  <c r="X30" i="3"/>
  <c r="Y30" i="3"/>
  <c r="Z30" i="3"/>
  <c r="AA30" i="3"/>
  <c r="AD30" i="3"/>
  <c r="AE30" i="3"/>
  <c r="AF30" i="3"/>
  <c r="AG30" i="3"/>
  <c r="AH30" i="3"/>
  <c r="E34" i="3"/>
  <c r="F34" i="3"/>
  <c r="S34" i="3"/>
  <c r="AE34" i="3"/>
  <c r="D35" i="3"/>
  <c r="A38" i="3"/>
  <c r="D42" i="3"/>
  <c r="D44" i="3" s="1"/>
  <c r="E42" i="3"/>
  <c r="F42" i="3"/>
  <c r="F44" i="3" s="1"/>
  <c r="G42" i="3"/>
  <c r="H42" i="3"/>
  <c r="H44" i="3" s="1"/>
  <c r="I42" i="3"/>
  <c r="J42" i="3"/>
  <c r="K42" i="3"/>
  <c r="L42" i="3"/>
  <c r="L44" i="3" s="1"/>
  <c r="M42" i="3"/>
  <c r="N42" i="3"/>
  <c r="N44" i="3" s="1"/>
  <c r="N34" i="3" s="1"/>
  <c r="O42" i="3"/>
  <c r="P42" i="3"/>
  <c r="P44" i="3" s="1"/>
  <c r="Q42" i="3"/>
  <c r="Q44" i="3" s="1"/>
  <c r="Q34" i="3" s="1"/>
  <c r="R42" i="3"/>
  <c r="S42" i="3"/>
  <c r="T42" i="3"/>
  <c r="T44" i="3" s="1"/>
  <c r="U42" i="3"/>
  <c r="V42" i="3"/>
  <c r="V44" i="3" s="1"/>
  <c r="W42" i="3"/>
  <c r="X42" i="3"/>
  <c r="X44" i="3" s="1"/>
  <c r="Y42" i="3"/>
  <c r="Y44" i="3" s="1"/>
  <c r="Y34" i="3" s="1"/>
  <c r="Z42" i="3"/>
  <c r="AA42" i="3"/>
  <c r="AB42" i="3"/>
  <c r="AB44" i="3" s="1"/>
  <c r="AC42" i="3"/>
  <c r="AD42" i="3"/>
  <c r="AD44" i="3" s="1"/>
  <c r="AD34" i="3" s="1"/>
  <c r="AE42" i="3"/>
  <c r="AF42" i="3"/>
  <c r="AF44" i="3" s="1"/>
  <c r="AG42" i="3"/>
  <c r="AG44" i="3" s="1"/>
  <c r="AG34" i="3" s="1"/>
  <c r="AH42" i="3"/>
  <c r="E44" i="3"/>
  <c r="G44" i="3"/>
  <c r="G34" i="3" s="1"/>
  <c r="I44" i="3"/>
  <c r="I34" i="3" s="1"/>
  <c r="J44" i="3"/>
  <c r="J34" i="3" s="1"/>
  <c r="K44" i="3"/>
  <c r="K34" i="3" s="1"/>
  <c r="M44" i="3"/>
  <c r="O44" i="3"/>
  <c r="O34" i="3" s="1"/>
  <c r="R44" i="3"/>
  <c r="S44" i="3"/>
  <c r="U44" i="3"/>
  <c r="W44" i="3"/>
  <c r="W34" i="3" s="1"/>
  <c r="Z44" i="3"/>
  <c r="AA44" i="3"/>
  <c r="AA34" i="3" s="1"/>
  <c r="AC44" i="3"/>
  <c r="AE44" i="3"/>
  <c r="AH44" i="3"/>
  <c r="AH34" i="3" s="1"/>
  <c r="A2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/>
  <c r="B21" i="25"/>
  <c r="B57" i="25" s="1"/>
  <c r="B27" i="25"/>
  <c r="B37" i="25"/>
  <c r="A41" i="25"/>
  <c r="B43" i="25"/>
  <c r="A48" i="25"/>
  <c r="B50" i="25"/>
  <c r="A55" i="25"/>
  <c r="AG58" i="25"/>
  <c r="W58" i="25" s="1"/>
  <c r="C5" i="30"/>
  <c r="C6" i="30"/>
  <c r="C7" i="30" s="1"/>
  <c r="C9" i="30"/>
  <c r="C11" i="30"/>
  <c r="C12" i="30"/>
  <c r="B3" i="29"/>
  <c r="A2" i="8"/>
  <c r="B7" i="8"/>
  <c r="B8" i="8"/>
  <c r="C8" i="8"/>
  <c r="E8" i="8"/>
  <c r="F8" i="8"/>
  <c r="G8" i="8"/>
  <c r="H8" i="8"/>
  <c r="I8" i="8"/>
  <c r="J8" i="8"/>
  <c r="K8" i="8"/>
  <c r="M8" i="8"/>
  <c r="N8" i="8"/>
  <c r="O8" i="8"/>
  <c r="P8" i="8"/>
  <c r="Q8" i="8"/>
  <c r="R8" i="8"/>
  <c r="S8" i="8"/>
  <c r="U8" i="8"/>
  <c r="V8" i="8"/>
  <c r="W8" i="8"/>
  <c r="X8" i="8"/>
  <c r="Y8" i="8"/>
  <c r="Z8" i="8"/>
  <c r="AA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L17" i="4" l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B77" i="2"/>
  <c r="C15" i="30"/>
  <c r="I27" i="4"/>
  <c r="Q27" i="4"/>
  <c r="Y27" i="4"/>
  <c r="AG27" i="4"/>
  <c r="E27" i="4"/>
  <c r="M27" i="4"/>
  <c r="U27" i="4"/>
  <c r="AC27" i="4"/>
  <c r="G27" i="4"/>
  <c r="R27" i="4"/>
  <c r="AB27" i="4"/>
  <c r="J27" i="4"/>
  <c r="T27" i="4"/>
  <c r="AE27" i="4"/>
  <c r="L27" i="4"/>
  <c r="W27" i="4"/>
  <c r="C27" i="4"/>
  <c r="S27" i="4"/>
  <c r="F27" i="4"/>
  <c r="X27" i="4"/>
  <c r="H27" i="4"/>
  <c r="Z27" i="4"/>
  <c r="K27" i="4"/>
  <c r="AA27" i="4"/>
  <c r="N27" i="4"/>
  <c r="AD27" i="4"/>
  <c r="O27" i="4"/>
  <c r="D27" i="4"/>
  <c r="E18" i="4"/>
  <c r="U34" i="3"/>
  <c r="E18" i="18"/>
  <c r="F18" i="18" s="1"/>
  <c r="C34" i="18"/>
  <c r="E7" i="19"/>
  <c r="E7" i="7"/>
  <c r="D7" i="4"/>
  <c r="F8" i="3"/>
  <c r="D7" i="25"/>
  <c r="C7" i="8"/>
  <c r="D7" i="19"/>
  <c r="D7" i="7"/>
  <c r="C7" i="25"/>
  <c r="AF27" i="4"/>
  <c r="AB34" i="3"/>
  <c r="T34" i="3"/>
  <c r="L34" i="3"/>
  <c r="D34" i="3"/>
  <c r="D36" i="3" s="1"/>
  <c r="D38" i="3" s="1"/>
  <c r="A18" i="18"/>
  <c r="E31" i="18"/>
  <c r="F31" i="18" s="1"/>
  <c r="E30" i="18"/>
  <c r="F30" i="18" s="1"/>
  <c r="E27" i="18"/>
  <c r="F27" i="18" s="1"/>
  <c r="E16" i="18"/>
  <c r="F16" i="18" s="1"/>
  <c r="R34" i="3"/>
  <c r="E42" i="7"/>
  <c r="F15" i="18"/>
  <c r="Z34" i="3"/>
  <c r="AF34" i="3"/>
  <c r="X34" i="3"/>
  <c r="P34" i="3"/>
  <c r="H34" i="3"/>
  <c r="D6" i="19"/>
  <c r="D6" i="7"/>
  <c r="D13" i="7" s="1"/>
  <c r="C6" i="4"/>
  <c r="E7" i="3"/>
  <c r="E21" i="3" s="1"/>
  <c r="C6" i="25"/>
  <c r="B6" i="8"/>
  <c r="E33" i="18"/>
  <c r="F33" i="18" s="1"/>
  <c r="E28" i="18"/>
  <c r="F28" i="18" s="1"/>
  <c r="E23" i="18"/>
  <c r="F23" i="18" s="1"/>
  <c r="E25" i="18"/>
  <c r="F25" i="18" s="1"/>
  <c r="E20" i="18"/>
  <c r="F20" i="18" s="1"/>
  <c r="D22" i="19"/>
  <c r="L22" i="19"/>
  <c r="T22" i="19"/>
  <c r="AB22" i="19"/>
  <c r="F33" i="19"/>
  <c r="N33" i="19"/>
  <c r="V33" i="19"/>
  <c r="AD33" i="19"/>
  <c r="D49" i="2"/>
  <c r="E22" i="19"/>
  <c r="N22" i="19"/>
  <c r="W22" i="19"/>
  <c r="AF22" i="19"/>
  <c r="K33" i="19"/>
  <c r="T33" i="19"/>
  <c r="AC33" i="19"/>
  <c r="G22" i="19"/>
  <c r="P22" i="19"/>
  <c r="Y22" i="19"/>
  <c r="AH22" i="19"/>
  <c r="D33" i="19"/>
  <c r="M33" i="19"/>
  <c r="W33" i="19"/>
  <c r="AF33" i="19"/>
  <c r="H22" i="19"/>
  <c r="S22" i="19"/>
  <c r="AE22" i="19"/>
  <c r="J33" i="19"/>
  <c r="X33" i="19"/>
  <c r="J22" i="19"/>
  <c r="V22" i="19"/>
  <c r="O33" i="19"/>
  <c r="Z33" i="19"/>
  <c r="I22" i="19"/>
  <c r="Z22" i="19"/>
  <c r="L33" i="19"/>
  <c r="AB33" i="19"/>
  <c r="K22" i="19"/>
  <c r="AA22" i="19"/>
  <c r="P33" i="19"/>
  <c r="AE33" i="19"/>
  <c r="M22" i="19"/>
  <c r="AC22" i="19"/>
  <c r="Q33" i="19"/>
  <c r="AG33" i="19"/>
  <c r="Q22" i="19"/>
  <c r="AG22" i="19"/>
  <c r="E33" i="19"/>
  <c r="U22" i="19"/>
  <c r="U33" i="19"/>
  <c r="X22" i="19"/>
  <c r="Y33" i="19"/>
  <c r="C22" i="19"/>
  <c r="H33" i="19"/>
  <c r="R22" i="19"/>
  <c r="AA33" i="19"/>
  <c r="I33" i="19"/>
  <c r="R33" i="19"/>
  <c r="S33" i="19"/>
  <c r="F22" i="19"/>
  <c r="AH33" i="19"/>
  <c r="G13" i="7"/>
  <c r="F13" i="7"/>
  <c r="H13" i="7"/>
  <c r="E64" i="6"/>
  <c r="G39" i="2" s="1"/>
  <c r="C8" i="30" s="1"/>
  <c r="AD22" i="19"/>
  <c r="D30" i="2"/>
  <c r="AA13" i="2"/>
  <c r="AA14" i="2" s="1"/>
  <c r="D27" i="2"/>
  <c r="D28" i="2"/>
  <c r="D121" i="28"/>
  <c r="C50" i="2"/>
  <c r="D26" i="2"/>
  <c r="D29" i="2"/>
  <c r="D21" i="2"/>
  <c r="D39" i="2"/>
  <c r="D42" i="2"/>
  <c r="D46" i="2"/>
  <c r="D56" i="2"/>
  <c r="H62" i="2"/>
  <c r="O24" i="2"/>
  <c r="D43" i="2"/>
  <c r="O22" i="2"/>
  <c r="D51" i="2"/>
  <c r="D41" i="2"/>
  <c r="D20" i="2"/>
  <c r="D34" i="2" s="1"/>
  <c r="D57" i="2"/>
  <c r="D40" i="2"/>
  <c r="D22" i="2"/>
  <c r="O19" i="2"/>
  <c r="O26" i="2" s="1"/>
  <c r="D25" i="2"/>
  <c r="C34" i="2"/>
  <c r="D27" i="7" l="1"/>
  <c r="D42" i="7"/>
  <c r="I13" i="7"/>
  <c r="H42" i="7"/>
  <c r="H27" i="7"/>
  <c r="F27" i="7"/>
  <c r="F42" i="7"/>
  <c r="E34" i="18"/>
  <c r="M17" i="4"/>
  <c r="G15" i="18"/>
  <c r="H16" i="18" s="1"/>
  <c r="F34" i="18"/>
  <c r="F7" i="19"/>
  <c r="E7" i="4"/>
  <c r="G8" i="3"/>
  <c r="E7" i="25"/>
  <c r="F7" i="7"/>
  <c r="D7" i="8"/>
  <c r="G16" i="18"/>
  <c r="G27" i="7"/>
  <c r="G42" i="7"/>
  <c r="E6" i="19"/>
  <c r="D6" i="4"/>
  <c r="E6" i="7"/>
  <c r="E35" i="3"/>
  <c r="E36" i="3" s="1"/>
  <c r="E38" i="3" s="1"/>
  <c r="F21" i="3"/>
  <c r="C6" i="8"/>
  <c r="F7" i="3"/>
  <c r="D6" i="25"/>
  <c r="C77" i="2"/>
  <c r="D15" i="30"/>
  <c r="N32" i="2"/>
  <c r="O32" i="2" s="1"/>
  <c r="W26" i="4"/>
  <c r="C26" i="4"/>
  <c r="N33" i="2" s="1"/>
  <c r="O33" i="2" s="1"/>
  <c r="C14" i="30"/>
  <c r="C10" i="4"/>
  <c r="C13" i="4" s="1"/>
  <c r="C17" i="4"/>
  <c r="A19" i="18"/>
  <c r="F18" i="4"/>
  <c r="N30" i="2"/>
  <c r="D14" i="7"/>
  <c r="D41" i="7"/>
  <c r="D43" i="7"/>
  <c r="D47" i="7" s="1"/>
  <c r="D50" i="2"/>
  <c r="N17" i="4" l="1"/>
  <c r="D10" i="4"/>
  <c r="D13" i="4" s="1"/>
  <c r="D14" i="30"/>
  <c r="G7" i="19"/>
  <c r="G7" i="7"/>
  <c r="H8" i="3"/>
  <c r="F7" i="25"/>
  <c r="E7" i="8"/>
  <c r="F7" i="4"/>
  <c r="F15" i="30" s="1"/>
  <c r="G18" i="4"/>
  <c r="D77" i="2"/>
  <c r="E15" i="30"/>
  <c r="A20" i="18"/>
  <c r="F6" i="19"/>
  <c r="F6" i="7"/>
  <c r="E6" i="4"/>
  <c r="G7" i="3"/>
  <c r="G21" i="3" s="1"/>
  <c r="E6" i="25"/>
  <c r="D6" i="8"/>
  <c r="F35" i="3"/>
  <c r="F36" i="3" s="1"/>
  <c r="F38" i="3" s="1"/>
  <c r="D18" i="7"/>
  <c r="D28" i="7"/>
  <c r="D33" i="7" s="1"/>
  <c r="I27" i="7"/>
  <c r="I42" i="7"/>
  <c r="O30" i="2"/>
  <c r="C23" i="4"/>
  <c r="D23" i="4" s="1"/>
  <c r="E41" i="7"/>
  <c r="E14" i="7"/>
  <c r="E43" i="7"/>
  <c r="E47" i="7" s="1"/>
  <c r="H17" i="18"/>
  <c r="G17" i="18" s="1"/>
  <c r="I16" i="18"/>
  <c r="H18" i="18" l="1"/>
  <c r="E18" i="7"/>
  <c r="E28" i="7"/>
  <c r="E33" i="7" s="1"/>
  <c r="F14" i="7"/>
  <c r="F41" i="7"/>
  <c r="F43" i="7"/>
  <c r="F47" i="7" s="1"/>
  <c r="E23" i="4"/>
  <c r="H18" i="4"/>
  <c r="E10" i="4"/>
  <c r="E13" i="4" s="1"/>
  <c r="E14" i="30"/>
  <c r="H7" i="19"/>
  <c r="H7" i="7"/>
  <c r="G7" i="4"/>
  <c r="G15" i="30" s="1"/>
  <c r="G7" i="25"/>
  <c r="I8" i="3"/>
  <c r="F7" i="8"/>
  <c r="I17" i="18"/>
  <c r="A21" i="18"/>
  <c r="O17" i="4"/>
  <c r="G6" i="19"/>
  <c r="F6" i="4"/>
  <c r="G6" i="7"/>
  <c r="F6" i="25"/>
  <c r="H7" i="3"/>
  <c r="G35" i="3"/>
  <c r="G36" i="3" s="1"/>
  <c r="G38" i="3" s="1"/>
  <c r="E6" i="8"/>
  <c r="H21" i="3"/>
  <c r="I7" i="19" l="1"/>
  <c r="I7" i="7"/>
  <c r="J8" i="3"/>
  <c r="H7" i="25"/>
  <c r="G7" i="8"/>
  <c r="H7" i="4"/>
  <c r="H15" i="30" s="1"/>
  <c r="F28" i="7"/>
  <c r="F33" i="7" s="1"/>
  <c r="F18" i="7"/>
  <c r="P17" i="4"/>
  <c r="I18" i="4"/>
  <c r="G43" i="7"/>
  <c r="G47" i="7" s="1"/>
  <c r="G14" i="7"/>
  <c r="G41" i="7"/>
  <c r="F10" i="4"/>
  <c r="F13" i="4" s="1"/>
  <c r="F14" i="30"/>
  <c r="H6" i="19"/>
  <c r="H6" i="7"/>
  <c r="I7" i="3"/>
  <c r="G6" i="4"/>
  <c r="G6" i="25"/>
  <c r="I21" i="3"/>
  <c r="H35" i="3"/>
  <c r="H36" i="3" s="1"/>
  <c r="H38" i="3" s="1"/>
  <c r="F6" i="8"/>
  <c r="A22" i="18"/>
  <c r="I18" i="18"/>
  <c r="F23" i="4"/>
  <c r="G18" i="18"/>
  <c r="A23" i="18" l="1"/>
  <c r="I6" i="19"/>
  <c r="I6" i="7"/>
  <c r="H6" i="4"/>
  <c r="I35" i="3"/>
  <c r="I36" i="3" s="1"/>
  <c r="I38" i="3" s="1"/>
  <c r="J7" i="3"/>
  <c r="H6" i="25"/>
  <c r="G6" i="8"/>
  <c r="G28" i="7"/>
  <c r="G33" i="7" s="1"/>
  <c r="G18" i="7"/>
  <c r="G10" i="4"/>
  <c r="G13" i="4" s="1"/>
  <c r="G14" i="30"/>
  <c r="H14" i="7"/>
  <c r="H41" i="7"/>
  <c r="H43" i="7"/>
  <c r="H47" i="7" s="1"/>
  <c r="J18" i="4"/>
  <c r="J7" i="19"/>
  <c r="I7" i="4"/>
  <c r="I15" i="30" s="1"/>
  <c r="J7" i="7"/>
  <c r="K8" i="3"/>
  <c r="I7" i="25"/>
  <c r="H7" i="8"/>
  <c r="H19" i="18"/>
  <c r="Q17" i="4"/>
  <c r="G23" i="4"/>
  <c r="H23" i="4" l="1"/>
  <c r="K7" i="19"/>
  <c r="K7" i="7"/>
  <c r="J7" i="4"/>
  <c r="J15" i="30" s="1"/>
  <c r="I7" i="8"/>
  <c r="L8" i="3"/>
  <c r="J7" i="25"/>
  <c r="H10" i="4"/>
  <c r="H13" i="4" s="1"/>
  <c r="H14" i="30"/>
  <c r="H18" i="7"/>
  <c r="H28" i="7"/>
  <c r="H33" i="7" s="1"/>
  <c r="J6" i="19"/>
  <c r="K21" i="3"/>
  <c r="H6" i="8"/>
  <c r="I6" i="4"/>
  <c r="J6" i="7"/>
  <c r="I6" i="25"/>
  <c r="K7" i="3"/>
  <c r="J35" i="3"/>
  <c r="J36" i="3" s="1"/>
  <c r="J38" i="3" s="1"/>
  <c r="R17" i="4"/>
  <c r="I14" i="7"/>
  <c r="I41" i="7"/>
  <c r="I43" i="7"/>
  <c r="I47" i="7" s="1"/>
  <c r="I19" i="18"/>
  <c r="G19" i="18"/>
  <c r="K18" i="4"/>
  <c r="J21" i="3"/>
  <c r="H23" i="18"/>
  <c r="A24" i="18"/>
  <c r="I28" i="7" l="1"/>
  <c r="I33" i="7" s="1"/>
  <c r="I18" i="7"/>
  <c r="L7" i="19"/>
  <c r="K7" i="4"/>
  <c r="K15" i="30" s="1"/>
  <c r="L7" i="7"/>
  <c r="J7" i="8"/>
  <c r="M8" i="3"/>
  <c r="K7" i="25"/>
  <c r="L18" i="4"/>
  <c r="S17" i="4"/>
  <c r="G20" i="18"/>
  <c r="H20" i="18"/>
  <c r="K6" i="19"/>
  <c r="K6" i="7"/>
  <c r="J6" i="4"/>
  <c r="K35" i="3"/>
  <c r="K36" i="3" s="1"/>
  <c r="K38" i="3" s="1"/>
  <c r="L7" i="3"/>
  <c r="J6" i="25"/>
  <c r="L21" i="3"/>
  <c r="I6" i="8"/>
  <c r="A25" i="18"/>
  <c r="H24" i="18"/>
  <c r="J14" i="7"/>
  <c r="J41" i="7"/>
  <c r="J43" i="7"/>
  <c r="J47" i="7" s="1"/>
  <c r="I14" i="30"/>
  <c r="I10" i="4"/>
  <c r="I13" i="4" s="1"/>
  <c r="I23" i="4"/>
  <c r="A26" i="18" l="1"/>
  <c r="H25" i="18"/>
  <c r="K41" i="7"/>
  <c r="K43" i="7"/>
  <c r="K47" i="7" s="1"/>
  <c r="K14" i="7"/>
  <c r="M7" i="19"/>
  <c r="L7" i="4"/>
  <c r="L15" i="30" s="1"/>
  <c r="L7" i="25"/>
  <c r="K7" i="8"/>
  <c r="N8" i="3"/>
  <c r="M7" i="7"/>
  <c r="I20" i="18"/>
  <c r="G21" i="18"/>
  <c r="H21" i="18"/>
  <c r="L6" i="19"/>
  <c r="L6" i="7"/>
  <c r="K6" i="4"/>
  <c r="M7" i="3"/>
  <c r="K6" i="25"/>
  <c r="M21" i="3"/>
  <c r="J6" i="8"/>
  <c r="L35" i="3"/>
  <c r="L36" i="3" s="1"/>
  <c r="L38" i="3" s="1"/>
  <c r="T17" i="4"/>
  <c r="J28" i="7"/>
  <c r="J33" i="7" s="1"/>
  <c r="J18" i="7"/>
  <c r="J23" i="4"/>
  <c r="J10" i="4"/>
  <c r="J13" i="4" s="1"/>
  <c r="J14" i="30"/>
  <c r="M18" i="4"/>
  <c r="H22" i="18" l="1"/>
  <c r="K28" i="7"/>
  <c r="K33" i="7" s="1"/>
  <c r="K18" i="7"/>
  <c r="M6" i="19"/>
  <c r="M6" i="7"/>
  <c r="L6" i="4"/>
  <c r="M35" i="3"/>
  <c r="M36" i="3" s="1"/>
  <c r="M38" i="3" s="1"/>
  <c r="N7" i="3"/>
  <c r="N21" i="3" s="1"/>
  <c r="L6" i="25"/>
  <c r="K6" i="8"/>
  <c r="K10" i="4"/>
  <c r="K13" i="4" s="1"/>
  <c r="K14" i="30"/>
  <c r="K23" i="4"/>
  <c r="L14" i="7"/>
  <c r="L43" i="7"/>
  <c r="L47" i="7" s="1"/>
  <c r="L41" i="7"/>
  <c r="N7" i="19"/>
  <c r="N7" i="7"/>
  <c r="M7" i="4"/>
  <c r="M15" i="30" s="1"/>
  <c r="M7" i="25"/>
  <c r="O8" i="3"/>
  <c r="L7" i="8"/>
  <c r="N18" i="4"/>
  <c r="U17" i="4"/>
  <c r="H26" i="18"/>
  <c r="A27" i="18"/>
  <c r="I21" i="18"/>
  <c r="L18" i="7" l="1"/>
  <c r="L28" i="7"/>
  <c r="L33" i="7" s="1"/>
  <c r="L23" i="4"/>
  <c r="L10" i="4"/>
  <c r="L13" i="4" s="1"/>
  <c r="L14" i="30"/>
  <c r="V17" i="4"/>
  <c r="M14" i="7"/>
  <c r="M41" i="7"/>
  <c r="M43" i="7"/>
  <c r="M47" i="7" s="1"/>
  <c r="I22" i="18"/>
  <c r="I23" i="18" s="1"/>
  <c r="I24" i="18" s="1"/>
  <c r="I25" i="18" s="1"/>
  <c r="I26" i="18" s="1"/>
  <c r="I27" i="18"/>
  <c r="A28" i="18"/>
  <c r="H27" i="18"/>
  <c r="O7" i="7"/>
  <c r="O7" i="19"/>
  <c r="P8" i="3"/>
  <c r="N7" i="25"/>
  <c r="M7" i="8"/>
  <c r="N7" i="4"/>
  <c r="N15" i="30" s="1"/>
  <c r="O18" i="4"/>
  <c r="N6" i="19"/>
  <c r="N6" i="7"/>
  <c r="M6" i="25"/>
  <c r="O21" i="3"/>
  <c r="L6" i="8"/>
  <c r="M6" i="4"/>
  <c r="O7" i="3"/>
  <c r="N35" i="3"/>
  <c r="N36" i="3" s="1"/>
  <c r="N38" i="3" s="1"/>
  <c r="G22" i="18"/>
  <c r="G23" i="18" s="1"/>
  <c r="G24" i="18" s="1"/>
  <c r="G25" i="18" s="1"/>
  <c r="G26" i="18" s="1"/>
  <c r="M10" i="4" l="1"/>
  <c r="M13" i="4" s="1"/>
  <c r="M14" i="30"/>
  <c r="H28" i="18"/>
  <c r="A29" i="18"/>
  <c r="I28" i="18"/>
  <c r="W17" i="4"/>
  <c r="N41" i="7"/>
  <c r="N43" i="7"/>
  <c r="N47" i="7" s="1"/>
  <c r="N14" i="7"/>
  <c r="G27" i="18"/>
  <c r="G28" i="18" s="1"/>
  <c r="P7" i="19"/>
  <c r="P7" i="7"/>
  <c r="O7" i="4"/>
  <c r="O15" i="30" s="1"/>
  <c r="N7" i="8"/>
  <c r="Q8" i="3"/>
  <c r="O7" i="25"/>
  <c r="M23" i="4"/>
  <c r="O6" i="19"/>
  <c r="O6" i="7"/>
  <c r="N6" i="4"/>
  <c r="O35" i="3"/>
  <c r="O36" i="3" s="1"/>
  <c r="O38" i="3" s="1"/>
  <c r="M6" i="8"/>
  <c r="N6" i="25"/>
  <c r="P7" i="3"/>
  <c r="P18" i="4"/>
  <c r="M28" i="7"/>
  <c r="M33" i="7" s="1"/>
  <c r="M18" i="7"/>
  <c r="Q7" i="19" l="1"/>
  <c r="Q7" i="7"/>
  <c r="P7" i="4"/>
  <c r="P15" i="30" s="1"/>
  <c r="R8" i="3"/>
  <c r="P7" i="25"/>
  <c r="O7" i="8"/>
  <c r="N14" i="30"/>
  <c r="N10" i="4"/>
  <c r="N13" i="4" s="1"/>
  <c r="O14" i="7"/>
  <c r="O43" i="7"/>
  <c r="O47" i="7" s="1"/>
  <c r="O41" i="7"/>
  <c r="X17" i="4"/>
  <c r="Q18" i="4"/>
  <c r="P6" i="19"/>
  <c r="P6" i="7"/>
  <c r="Q7" i="3"/>
  <c r="O6" i="25"/>
  <c r="O6" i="4"/>
  <c r="Q21" i="3"/>
  <c r="P35" i="3"/>
  <c r="P36" i="3" s="1"/>
  <c r="P38" i="3" s="1"/>
  <c r="N6" i="8"/>
  <c r="I29" i="18"/>
  <c r="A30" i="18"/>
  <c r="H29" i="18"/>
  <c r="G29" i="18"/>
  <c r="P21" i="3"/>
  <c r="N23" i="4"/>
  <c r="N18" i="7"/>
  <c r="N28" i="7"/>
  <c r="N33" i="7" s="1"/>
  <c r="O23" i="4" l="1"/>
  <c r="R18" i="4"/>
  <c r="O14" i="30"/>
  <c r="O10" i="4"/>
  <c r="O13" i="4" s="1"/>
  <c r="R7" i="19"/>
  <c r="Q7" i="4"/>
  <c r="Q15" i="30" s="1"/>
  <c r="R7" i="7"/>
  <c r="Q7" i="25"/>
  <c r="P7" i="8"/>
  <c r="S8" i="3"/>
  <c r="Q6" i="19"/>
  <c r="P6" i="4"/>
  <c r="Q6" i="7"/>
  <c r="R7" i="3"/>
  <c r="R21" i="3" s="1"/>
  <c r="Q35" i="3"/>
  <c r="Q36" i="3" s="1"/>
  <c r="Q38" i="3" s="1"/>
  <c r="O6" i="8"/>
  <c r="P6" i="25"/>
  <c r="H30" i="18"/>
  <c r="G30" i="18" s="1"/>
  <c r="A31" i="18"/>
  <c r="I30" i="18"/>
  <c r="P41" i="7"/>
  <c r="P43" i="7"/>
  <c r="P47" i="7" s="1"/>
  <c r="P14" i="7"/>
  <c r="Y17" i="4"/>
  <c r="O28" i="7"/>
  <c r="O33" i="7" s="1"/>
  <c r="O18" i="7"/>
  <c r="Q43" i="7" l="1"/>
  <c r="Q47" i="7" s="1"/>
  <c r="Q14" i="7"/>
  <c r="Q41" i="7"/>
  <c r="P10" i="4"/>
  <c r="P13" i="4" s="1"/>
  <c r="P14" i="30"/>
  <c r="A32" i="18"/>
  <c r="I31" i="18"/>
  <c r="H31" i="18"/>
  <c r="G31" i="18" s="1"/>
  <c r="Z17" i="4"/>
  <c r="S7" i="19"/>
  <c r="S7" i="7"/>
  <c r="R7" i="4"/>
  <c r="R15" i="30" s="1"/>
  <c r="Q7" i="8"/>
  <c r="T8" i="3"/>
  <c r="R7" i="25"/>
  <c r="P28" i="7"/>
  <c r="P33" i="7" s="1"/>
  <c r="P18" i="7"/>
  <c r="S18" i="4"/>
  <c r="R6" i="19"/>
  <c r="R6" i="7"/>
  <c r="Q6" i="4"/>
  <c r="P6" i="8"/>
  <c r="R35" i="3"/>
  <c r="R36" i="3" s="1"/>
  <c r="R38" i="3" s="1"/>
  <c r="S7" i="3"/>
  <c r="Q6" i="25"/>
  <c r="P23" i="4"/>
  <c r="T18" i="4" l="1"/>
  <c r="S6" i="19"/>
  <c r="S6" i="7"/>
  <c r="R6" i="4"/>
  <c r="T7" i="3"/>
  <c r="S35" i="3"/>
  <c r="S36" i="3" s="1"/>
  <c r="S38" i="3" s="1"/>
  <c r="R6" i="25"/>
  <c r="Q6" i="8"/>
  <c r="S21" i="3"/>
  <c r="AA17" i="4"/>
  <c r="Q28" i="7"/>
  <c r="Q33" i="7" s="1"/>
  <c r="Q18" i="7"/>
  <c r="Q23" i="4"/>
  <c r="I32" i="18"/>
  <c r="H32" i="18"/>
  <c r="G32" i="18" s="1"/>
  <c r="A33" i="18"/>
  <c r="Q14" i="30"/>
  <c r="Q10" i="4"/>
  <c r="Q13" i="4" s="1"/>
  <c r="R14" i="7"/>
  <c r="R41" i="7"/>
  <c r="R43" i="7"/>
  <c r="R47" i="7" s="1"/>
  <c r="T7" i="19"/>
  <c r="T7" i="7"/>
  <c r="U8" i="3"/>
  <c r="S7" i="4"/>
  <c r="S15" i="30" s="1"/>
  <c r="S7" i="25"/>
  <c r="R7" i="8"/>
  <c r="G33" i="18" l="1"/>
  <c r="T6" i="19"/>
  <c r="S6" i="4"/>
  <c r="U7" i="3"/>
  <c r="T6" i="7"/>
  <c r="S6" i="25"/>
  <c r="U21" i="3"/>
  <c r="R6" i="8"/>
  <c r="T35" i="3"/>
  <c r="T36" i="3" s="1"/>
  <c r="T38" i="3" s="1"/>
  <c r="I33" i="18"/>
  <c r="H33" i="18"/>
  <c r="H34" i="18" s="1"/>
  <c r="C48" i="2" s="1"/>
  <c r="S41" i="7"/>
  <c r="S43" i="7"/>
  <c r="S47" i="7" s="1"/>
  <c r="S14" i="7"/>
  <c r="U7" i="19"/>
  <c r="U7" i="7"/>
  <c r="T7" i="4"/>
  <c r="T15" i="30" s="1"/>
  <c r="T7" i="25"/>
  <c r="S7" i="8"/>
  <c r="V8" i="3"/>
  <c r="R10" i="4"/>
  <c r="R13" i="4" s="1"/>
  <c r="R14" i="30"/>
  <c r="T21" i="3"/>
  <c r="R23" i="4"/>
  <c r="AB17" i="4"/>
  <c r="R28" i="7"/>
  <c r="R33" i="7" s="1"/>
  <c r="R18" i="7"/>
  <c r="U18" i="4"/>
  <c r="V18" i="4" l="1"/>
  <c r="S18" i="7"/>
  <c r="S28" i="7"/>
  <c r="S33" i="7" s="1"/>
  <c r="S23" i="4"/>
  <c r="T14" i="7"/>
  <c r="T43" i="7"/>
  <c r="T47" i="7" s="1"/>
  <c r="T41" i="7"/>
  <c r="V7" i="19"/>
  <c r="V7" i="7"/>
  <c r="U7" i="4"/>
  <c r="U15" i="30" s="1"/>
  <c r="T7" i="8"/>
  <c r="W8" i="3"/>
  <c r="U7" i="25"/>
  <c r="U6" i="19"/>
  <c r="U6" i="7"/>
  <c r="U35" i="3"/>
  <c r="U36" i="3" s="1"/>
  <c r="U38" i="3" s="1"/>
  <c r="V7" i="3"/>
  <c r="V21" i="3" s="1"/>
  <c r="T6" i="4"/>
  <c r="S6" i="8"/>
  <c r="T6" i="25"/>
  <c r="AC17" i="4"/>
  <c r="D48" i="2"/>
  <c r="C52" i="2"/>
  <c r="B16" i="7"/>
  <c r="S10" i="4"/>
  <c r="S13" i="4" s="1"/>
  <c r="S14" i="30"/>
  <c r="J16" i="7" l="1"/>
  <c r="R16" i="7"/>
  <c r="Z16" i="7"/>
  <c r="AH16" i="7"/>
  <c r="G16" i="7"/>
  <c r="P16" i="7"/>
  <c r="Y16" i="7"/>
  <c r="L16" i="7"/>
  <c r="V16" i="7"/>
  <c r="AF16" i="7"/>
  <c r="N16" i="7"/>
  <c r="AA16" i="7"/>
  <c r="B31" i="7"/>
  <c r="F16" i="7"/>
  <c r="S16" i="7"/>
  <c r="AD16" i="7"/>
  <c r="E16" i="7"/>
  <c r="U16" i="7"/>
  <c r="I16" i="7"/>
  <c r="X16" i="7"/>
  <c r="M16" i="7"/>
  <c r="AC16" i="7"/>
  <c r="O16" i="7"/>
  <c r="AE16" i="7"/>
  <c r="B45" i="7"/>
  <c r="W16" i="7"/>
  <c r="H16" i="7"/>
  <c r="B19" i="7"/>
  <c r="K16" i="7"/>
  <c r="AG16" i="7"/>
  <c r="D16" i="7"/>
  <c r="AB16" i="7"/>
  <c r="Q16" i="7"/>
  <c r="T16" i="7"/>
  <c r="T10" i="4"/>
  <c r="T13" i="4" s="1"/>
  <c r="T14" i="30"/>
  <c r="W7" i="7"/>
  <c r="W7" i="19"/>
  <c r="X8" i="3"/>
  <c r="V7" i="25"/>
  <c r="U7" i="8"/>
  <c r="V7" i="4"/>
  <c r="V15" i="30" s="1"/>
  <c r="B17" i="7"/>
  <c r="D52" i="2"/>
  <c r="C60" i="2"/>
  <c r="T28" i="7"/>
  <c r="T33" i="7" s="1"/>
  <c r="T18" i="7"/>
  <c r="V6" i="19"/>
  <c r="V6" i="7"/>
  <c r="U6" i="4"/>
  <c r="U6" i="25"/>
  <c r="W7" i="3"/>
  <c r="W21" i="3"/>
  <c r="T6" i="8"/>
  <c r="V35" i="3"/>
  <c r="V36" i="3" s="1"/>
  <c r="V38" i="3" s="1"/>
  <c r="T23" i="4"/>
  <c r="U14" i="7"/>
  <c r="U41" i="7"/>
  <c r="U43" i="7"/>
  <c r="U47" i="7" s="1"/>
  <c r="AD17" i="4"/>
  <c r="T45" i="7"/>
  <c r="W18" i="4"/>
  <c r="U23" i="4" l="1"/>
  <c r="L19" i="7"/>
  <c r="AE17" i="4"/>
  <c r="X7" i="19"/>
  <c r="W7" i="4"/>
  <c r="W15" i="30" s="1"/>
  <c r="X7" i="7"/>
  <c r="Y8" i="3"/>
  <c r="V7" i="8"/>
  <c r="W7" i="25"/>
  <c r="D19" i="7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S19" i="7"/>
  <c r="P19" i="7"/>
  <c r="C18" i="19"/>
  <c r="C20" i="19" s="1"/>
  <c r="C25" i="19" s="1"/>
  <c r="C12" i="2"/>
  <c r="B40" i="2"/>
  <c r="B44" i="2"/>
  <c r="B32" i="2"/>
  <c r="B39" i="2"/>
  <c r="B51" i="2"/>
  <c r="B57" i="2"/>
  <c r="B45" i="2"/>
  <c r="C11" i="2"/>
  <c r="B47" i="2"/>
  <c r="B21" i="2"/>
  <c r="B25" i="2"/>
  <c r="B22" i="2"/>
  <c r="B33" i="2"/>
  <c r="B46" i="2"/>
  <c r="B23" i="2"/>
  <c r="D60" i="2"/>
  <c r="B55" i="2"/>
  <c r="B58" i="2" s="1"/>
  <c r="B41" i="2"/>
  <c r="B56" i="2"/>
  <c r="B42" i="2"/>
  <c r="B43" i="2"/>
  <c r="C3" i="30"/>
  <c r="C15" i="29"/>
  <c r="AG51" i="25"/>
  <c r="B24" i="2"/>
  <c r="B30" i="2"/>
  <c r="B29" i="2"/>
  <c r="B26" i="2"/>
  <c r="B38" i="2"/>
  <c r="B27" i="2"/>
  <c r="B28" i="2"/>
  <c r="B31" i="2"/>
  <c r="B49" i="2"/>
  <c r="B20" i="2"/>
  <c r="B50" i="2"/>
  <c r="B48" i="2"/>
  <c r="I31" i="7"/>
  <c r="Q31" i="7"/>
  <c r="Y31" i="7"/>
  <c r="AG31" i="7"/>
  <c r="L31" i="7"/>
  <c r="U31" i="7"/>
  <c r="AD31" i="7"/>
  <c r="F31" i="7"/>
  <c r="K31" i="7"/>
  <c r="V31" i="7"/>
  <c r="AF31" i="7"/>
  <c r="N31" i="7"/>
  <c r="X31" i="7"/>
  <c r="E31" i="7"/>
  <c r="P31" i="7"/>
  <c r="AA31" i="7"/>
  <c r="G31" i="7"/>
  <c r="R31" i="7"/>
  <c r="AB31" i="7"/>
  <c r="H31" i="7"/>
  <c r="AC31" i="7"/>
  <c r="S31" i="7"/>
  <c r="T31" i="7"/>
  <c r="AH31" i="7"/>
  <c r="J31" i="7"/>
  <c r="O31" i="7"/>
  <c r="W31" i="7"/>
  <c r="Z31" i="7"/>
  <c r="AE31" i="7"/>
  <c r="M31" i="7"/>
  <c r="D31" i="7"/>
  <c r="G19" i="7"/>
  <c r="W6" i="19"/>
  <c r="W6" i="7"/>
  <c r="V6" i="4"/>
  <c r="V6" i="25"/>
  <c r="W35" i="3"/>
  <c r="W36" i="3" s="1"/>
  <c r="W38" i="3" s="1"/>
  <c r="U6" i="8"/>
  <c r="X7" i="3"/>
  <c r="X21" i="3" s="1"/>
  <c r="B21" i="7"/>
  <c r="U45" i="7"/>
  <c r="J17" i="7"/>
  <c r="R17" i="7"/>
  <c r="R19" i="7" s="1"/>
  <c r="Z17" i="7"/>
  <c r="AH17" i="7"/>
  <c r="L17" i="7"/>
  <c r="U17" i="7"/>
  <c r="U19" i="7" s="1"/>
  <c r="AD17" i="7"/>
  <c r="K17" i="7"/>
  <c r="K19" i="7" s="1"/>
  <c r="V17" i="7"/>
  <c r="AF17" i="7"/>
  <c r="F17" i="7"/>
  <c r="F19" i="7" s="1"/>
  <c r="Q17" i="7"/>
  <c r="Q19" i="7" s="1"/>
  <c r="AC17" i="7"/>
  <c r="I17" i="7"/>
  <c r="W17" i="7"/>
  <c r="E17" i="7"/>
  <c r="T17" i="7"/>
  <c r="T19" i="7" s="1"/>
  <c r="H17" i="7"/>
  <c r="H19" i="7" s="1"/>
  <c r="Y17" i="7"/>
  <c r="B32" i="7"/>
  <c r="B34" i="7" s="1"/>
  <c r="N17" i="7"/>
  <c r="AB17" i="7"/>
  <c r="O17" i="7"/>
  <c r="O19" i="7" s="1"/>
  <c r="AE17" i="7"/>
  <c r="B46" i="7"/>
  <c r="X17" i="7"/>
  <c r="G17" i="7"/>
  <c r="M17" i="7"/>
  <c r="M19" i="7" s="1"/>
  <c r="P17" i="7"/>
  <c r="AA17" i="7"/>
  <c r="D17" i="7"/>
  <c r="S17" i="7"/>
  <c r="AG17" i="7"/>
  <c r="I19" i="7"/>
  <c r="N19" i="7"/>
  <c r="U28" i="7"/>
  <c r="U33" i="7" s="1"/>
  <c r="U18" i="7"/>
  <c r="U10" i="4"/>
  <c r="U13" i="4" s="1"/>
  <c r="U14" i="30"/>
  <c r="X18" i="4"/>
  <c r="V14" i="7"/>
  <c r="V41" i="7"/>
  <c r="V45" i="7" s="1"/>
  <c r="V43" i="7"/>
  <c r="V47" i="7" s="1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E19" i="7"/>
  <c r="J19" i="7"/>
  <c r="B36" i="7" l="1"/>
  <c r="O48" i="7"/>
  <c r="N34" i="4" s="1"/>
  <c r="M11" i="8" s="1"/>
  <c r="C47" i="19"/>
  <c r="AF17" i="4"/>
  <c r="N46" i="7"/>
  <c r="N48" i="7" s="1"/>
  <c r="M34" i="4" s="1"/>
  <c r="L11" i="8" s="1"/>
  <c r="V46" i="7"/>
  <c r="AD46" i="7"/>
  <c r="P46" i="7"/>
  <c r="X46" i="7"/>
  <c r="AF46" i="7"/>
  <c r="K46" i="7"/>
  <c r="S46" i="7"/>
  <c r="S48" i="7" s="1"/>
  <c r="R34" i="4" s="1"/>
  <c r="Q11" i="8" s="1"/>
  <c r="AA46" i="7"/>
  <c r="AH46" i="7"/>
  <c r="Z46" i="7"/>
  <c r="M46" i="7"/>
  <c r="R46" i="7"/>
  <c r="T46" i="7"/>
  <c r="T48" i="7" s="1"/>
  <c r="S34" i="4" s="1"/>
  <c r="R11" i="8" s="1"/>
  <c r="Y46" i="7"/>
  <c r="AE46" i="7"/>
  <c r="J46" i="7"/>
  <c r="AG46" i="7"/>
  <c r="Q46" i="7"/>
  <c r="Q48" i="7" s="1"/>
  <c r="P34" i="4" s="1"/>
  <c r="O11" i="8" s="1"/>
  <c r="W46" i="7"/>
  <c r="O46" i="7"/>
  <c r="AB46" i="7"/>
  <c r="L46" i="7"/>
  <c r="AC46" i="7"/>
  <c r="U46" i="7"/>
  <c r="E46" i="7"/>
  <c r="F46" i="7"/>
  <c r="F48" i="7" s="1"/>
  <c r="E34" i="4" s="1"/>
  <c r="D11" i="8" s="1"/>
  <c r="D46" i="7"/>
  <c r="H46" i="7"/>
  <c r="H48" i="7" s="1"/>
  <c r="G34" i="4" s="1"/>
  <c r="F11" i="8" s="1"/>
  <c r="G46" i="7"/>
  <c r="I46" i="7"/>
  <c r="I48" i="7" s="1"/>
  <c r="H34" i="4" s="1"/>
  <c r="G11" i="8" s="1"/>
  <c r="D34" i="7"/>
  <c r="B12" i="8" s="1"/>
  <c r="F34" i="7"/>
  <c r="D12" i="8" s="1"/>
  <c r="C4" i="30"/>
  <c r="C10" i="30"/>
  <c r="M48" i="7"/>
  <c r="L34" i="4" s="1"/>
  <c r="K11" i="8" s="1"/>
  <c r="E48" i="7"/>
  <c r="D34" i="4" s="1"/>
  <c r="C11" i="8" s="1"/>
  <c r="Y18" i="4"/>
  <c r="U48" i="7"/>
  <c r="T34" i="4" s="1"/>
  <c r="S11" i="8" s="1"/>
  <c r="T34" i="7"/>
  <c r="R12" i="8" s="1"/>
  <c r="B52" i="2"/>
  <c r="G48" i="7"/>
  <c r="F34" i="4" s="1"/>
  <c r="E11" i="8" s="1"/>
  <c r="G34" i="7"/>
  <c r="E12" i="8" s="1"/>
  <c r="L48" i="7"/>
  <c r="K34" i="4" s="1"/>
  <c r="J11" i="8" s="1"/>
  <c r="D48" i="7"/>
  <c r="U34" i="7"/>
  <c r="S12" i="8" s="1"/>
  <c r="Y7" i="19"/>
  <c r="Y7" i="7"/>
  <c r="X7" i="4"/>
  <c r="X15" i="30" s="1"/>
  <c r="Z8" i="3"/>
  <c r="X7" i="25"/>
  <c r="W7" i="8"/>
  <c r="K48" i="7"/>
  <c r="J34" i="4" s="1"/>
  <c r="I11" i="8" s="1"/>
  <c r="B48" i="7"/>
  <c r="R48" i="7"/>
  <c r="Q34" i="4" s="1"/>
  <c r="P11" i="8" s="1"/>
  <c r="J48" i="7"/>
  <c r="I34" i="4" s="1"/>
  <c r="H11" i="8" s="1"/>
  <c r="V10" i="4"/>
  <c r="V13" i="4" s="1"/>
  <c r="V14" i="30"/>
  <c r="B34" i="2"/>
  <c r="V28" i="7"/>
  <c r="V33" i="7" s="1"/>
  <c r="V18" i="7"/>
  <c r="V19" i="7" s="1"/>
  <c r="V21" i="7" s="1"/>
  <c r="X6" i="19"/>
  <c r="X6" i="7"/>
  <c r="W6" i="4"/>
  <c r="Y7" i="3"/>
  <c r="W6" i="25"/>
  <c r="X35" i="3"/>
  <c r="X36" i="3" s="1"/>
  <c r="X38" i="3" s="1"/>
  <c r="V6" i="8"/>
  <c r="Q32" i="7"/>
  <c r="Q34" i="7" s="1"/>
  <c r="O12" i="8" s="1"/>
  <c r="Y32" i="7"/>
  <c r="AG32" i="7"/>
  <c r="K32" i="7"/>
  <c r="K34" i="7" s="1"/>
  <c r="I12" i="8" s="1"/>
  <c r="AE32" i="7"/>
  <c r="O32" i="7"/>
  <c r="O34" i="7" s="1"/>
  <c r="M12" i="8" s="1"/>
  <c r="X32" i="7"/>
  <c r="AH32" i="7"/>
  <c r="P32" i="7"/>
  <c r="P34" i="7" s="1"/>
  <c r="N12" i="8" s="1"/>
  <c r="Z32" i="7"/>
  <c r="R32" i="7"/>
  <c r="AA32" i="7"/>
  <c r="J32" i="7"/>
  <c r="J34" i="7" s="1"/>
  <c r="H12" i="8" s="1"/>
  <c r="AB32" i="7"/>
  <c r="AF32" i="7"/>
  <c r="L32" i="7"/>
  <c r="L34" i="7" s="1"/>
  <c r="J12" i="8" s="1"/>
  <c r="S32" i="7"/>
  <c r="S34" i="7" s="1"/>
  <c r="Q12" i="8" s="1"/>
  <c r="N32" i="7"/>
  <c r="N34" i="7" s="1"/>
  <c r="L12" i="8" s="1"/>
  <c r="U32" i="7"/>
  <c r="AD32" i="7"/>
  <c r="W32" i="7"/>
  <c r="T32" i="7"/>
  <c r="V32" i="7"/>
  <c r="AC32" i="7"/>
  <c r="M32" i="7"/>
  <c r="M34" i="7" s="1"/>
  <c r="K12" i="8" s="1"/>
  <c r="E32" i="7"/>
  <c r="E34" i="7" s="1"/>
  <c r="C12" i="8" s="1"/>
  <c r="G32" i="7"/>
  <c r="D32" i="7"/>
  <c r="F32" i="7"/>
  <c r="H32" i="7"/>
  <c r="H34" i="7" s="1"/>
  <c r="F12" i="8" s="1"/>
  <c r="I32" i="7"/>
  <c r="I34" i="7" s="1"/>
  <c r="G12" i="8" s="1"/>
  <c r="W14" i="7"/>
  <c r="W43" i="7"/>
  <c r="W47" i="7" s="1"/>
  <c r="W41" i="7"/>
  <c r="W45" i="7" s="1"/>
  <c r="W48" i="7" s="1"/>
  <c r="V34" i="4" s="1"/>
  <c r="U11" i="8" s="1"/>
  <c r="B60" i="2"/>
  <c r="V23" i="4"/>
  <c r="P48" i="7"/>
  <c r="O34" i="4" s="1"/>
  <c r="N11" i="8" s="1"/>
  <c r="V48" i="7"/>
  <c r="U34" i="4" s="1"/>
  <c r="T11" i="8" s="1"/>
  <c r="R34" i="7"/>
  <c r="P12" i="8" s="1"/>
  <c r="V34" i="7"/>
  <c r="T12" i="8" s="1"/>
  <c r="C66" i="2"/>
  <c r="C16" i="29"/>
  <c r="D11" i="2"/>
  <c r="F41" i="19"/>
  <c r="N41" i="19"/>
  <c r="V41" i="19"/>
  <c r="AD41" i="19"/>
  <c r="H47" i="2"/>
  <c r="B11" i="2"/>
  <c r="K41" i="19"/>
  <c r="T41" i="19"/>
  <c r="AC41" i="19"/>
  <c r="D41" i="19"/>
  <c r="M41" i="19"/>
  <c r="W41" i="19"/>
  <c r="AF41" i="19"/>
  <c r="H41" i="19"/>
  <c r="S41" i="19"/>
  <c r="AG41" i="19"/>
  <c r="J41" i="19"/>
  <c r="X41" i="19"/>
  <c r="P41" i="19"/>
  <c r="AE41" i="19"/>
  <c r="C14" i="2"/>
  <c r="C41" i="19"/>
  <c r="C43" i="19" s="1"/>
  <c r="C45" i="19" s="1"/>
  <c r="R41" i="19"/>
  <c r="G41" i="19"/>
  <c r="AA41" i="19"/>
  <c r="I41" i="19"/>
  <c r="AB41" i="19"/>
  <c r="Q41" i="19"/>
  <c r="O41" i="19"/>
  <c r="E41" i="19"/>
  <c r="L41" i="19"/>
  <c r="Y41" i="19"/>
  <c r="Z41" i="19"/>
  <c r="AH41" i="19"/>
  <c r="B36" i="25"/>
  <c r="B38" i="25" s="1"/>
  <c r="B25" i="25"/>
  <c r="B49" i="25"/>
  <c r="B52" i="25" s="1"/>
  <c r="B42" i="25"/>
  <c r="B45" i="25" s="1"/>
  <c r="B56" i="25"/>
  <c r="B59" i="25" s="1"/>
  <c r="U41" i="19"/>
  <c r="H48" i="2"/>
  <c r="D12" i="2"/>
  <c r="C34" i="19"/>
  <c r="C37" i="19" s="1"/>
  <c r="B33" i="6"/>
  <c r="D19" i="19" l="1"/>
  <c r="L19" i="19"/>
  <c r="T19" i="19"/>
  <c r="E19" i="19"/>
  <c r="N19" i="19"/>
  <c r="W19" i="19"/>
  <c r="G19" i="19"/>
  <c r="P19" i="19"/>
  <c r="J19" i="19"/>
  <c r="V19" i="19"/>
  <c r="M19" i="19"/>
  <c r="H19" i="19"/>
  <c r="I19" i="19"/>
  <c r="K19" i="19"/>
  <c r="Q19" i="19"/>
  <c r="S19" i="19"/>
  <c r="U19" i="19"/>
  <c r="F19" i="19"/>
  <c r="O19" i="19"/>
  <c r="C34" i="4"/>
  <c r="B11" i="8" s="1"/>
  <c r="R19" i="19"/>
  <c r="W14" i="30"/>
  <c r="W10" i="4"/>
  <c r="W13" i="4" s="1"/>
  <c r="B14" i="2"/>
  <c r="D14" i="2"/>
  <c r="W23" i="4"/>
  <c r="W18" i="7"/>
  <c r="W19" i="7" s="1"/>
  <c r="W21" i="7" s="1"/>
  <c r="W28" i="7"/>
  <c r="W33" i="7" s="1"/>
  <c r="W34" i="7" s="1"/>
  <c r="U12" i="8" s="1"/>
  <c r="X41" i="7"/>
  <c r="X45" i="7" s="1"/>
  <c r="X48" i="7" s="1"/>
  <c r="W34" i="4" s="1"/>
  <c r="V11" i="8" s="1"/>
  <c r="X43" i="7"/>
  <c r="X47" i="7" s="1"/>
  <c r="X14" i="7"/>
  <c r="Y6" i="19"/>
  <c r="X6" i="4"/>
  <c r="Y6" i="7"/>
  <c r="Y35" i="3"/>
  <c r="Y36" i="3" s="1"/>
  <c r="Y38" i="3" s="1"/>
  <c r="Z7" i="3"/>
  <c r="X6" i="25"/>
  <c r="W6" i="8"/>
  <c r="Y7" i="4"/>
  <c r="Y15" i="30" s="1"/>
  <c r="Z7" i="19"/>
  <c r="Z7" i="7"/>
  <c r="AA8" i="3"/>
  <c r="X7" i="8"/>
  <c r="Y7" i="25"/>
  <c r="B36" i="6"/>
  <c r="E67" i="6"/>
  <c r="K18" i="19"/>
  <c r="K20" i="19" s="1"/>
  <c r="K25" i="19" s="1"/>
  <c r="S18" i="19"/>
  <c r="AA18" i="19"/>
  <c r="F18" i="19"/>
  <c r="N18" i="19"/>
  <c r="N20" i="19" s="1"/>
  <c r="N25" i="19" s="1"/>
  <c r="V18" i="19"/>
  <c r="V20" i="19" s="1"/>
  <c r="V25" i="19" s="1"/>
  <c r="AD18" i="19"/>
  <c r="D18" i="19"/>
  <c r="D20" i="19" s="1"/>
  <c r="D25" i="19" s="1"/>
  <c r="O18" i="19"/>
  <c r="O20" i="19" s="1"/>
  <c r="O25" i="19" s="1"/>
  <c r="Y18" i="19"/>
  <c r="G18" i="19"/>
  <c r="G20" i="19" s="1"/>
  <c r="G25" i="19" s="1"/>
  <c r="Q18" i="19"/>
  <c r="AB18" i="19"/>
  <c r="M18" i="19"/>
  <c r="AC18" i="19"/>
  <c r="R18" i="19"/>
  <c r="R20" i="19" s="1"/>
  <c r="R25" i="19" s="1"/>
  <c r="AF18" i="19"/>
  <c r="U18" i="19"/>
  <c r="U20" i="19" s="1"/>
  <c r="U25" i="19" s="1"/>
  <c r="E18" i="19"/>
  <c r="E20" i="19" s="1"/>
  <c r="E25" i="19" s="1"/>
  <c r="W18" i="19"/>
  <c r="H18" i="19"/>
  <c r="X18" i="19"/>
  <c r="J18" i="19"/>
  <c r="AE18" i="19"/>
  <c r="P18" i="19"/>
  <c r="P20" i="19" s="1"/>
  <c r="P25" i="19" s="1"/>
  <c r="T18" i="19"/>
  <c r="AH18" i="19"/>
  <c r="I18" i="19"/>
  <c r="AG18" i="19"/>
  <c r="L18" i="19"/>
  <c r="L20" i="19" s="1"/>
  <c r="L25" i="19" s="1"/>
  <c r="Z18" i="19"/>
  <c r="B50" i="7"/>
  <c r="D50" i="7"/>
  <c r="B29" i="25"/>
  <c r="C25" i="25" s="1"/>
  <c r="C26" i="25"/>
  <c r="Z18" i="4"/>
  <c r="Y21" i="3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C16" i="30"/>
  <c r="M17" i="30"/>
  <c r="Z17" i="30"/>
  <c r="I17" i="30"/>
  <c r="Y17" i="30"/>
  <c r="U17" i="30"/>
  <c r="D17" i="30"/>
  <c r="AB17" i="30"/>
  <c r="O17" i="30"/>
  <c r="AC17" i="30"/>
  <c r="Q17" i="30"/>
  <c r="J17" i="30"/>
  <c r="C17" i="30"/>
  <c r="G17" i="30"/>
  <c r="AD17" i="30"/>
  <c r="L17" i="30"/>
  <c r="K17" i="30"/>
  <c r="H17" i="30"/>
  <c r="V17" i="30"/>
  <c r="N17" i="30"/>
  <c r="F17" i="30"/>
  <c r="S17" i="30"/>
  <c r="W17" i="30"/>
  <c r="T17" i="30"/>
  <c r="X17" i="30"/>
  <c r="AA17" i="30"/>
  <c r="AE17" i="30"/>
  <c r="P17" i="30"/>
  <c r="AF17" i="30"/>
  <c r="E17" i="30"/>
  <c r="R17" i="30"/>
  <c r="AG17" i="4"/>
  <c r="C24" i="4" l="1"/>
  <c r="E50" i="7"/>
  <c r="AA18" i="4"/>
  <c r="Z6" i="19"/>
  <c r="X6" i="8"/>
  <c r="Z6" i="7"/>
  <c r="AA7" i="3"/>
  <c r="AA21" i="3" s="1"/>
  <c r="Y6" i="25"/>
  <c r="Y6" i="4"/>
  <c r="Z35" i="3"/>
  <c r="Z36" i="3" s="1"/>
  <c r="Z38" i="3" s="1"/>
  <c r="J20" i="19"/>
  <c r="J25" i="19" s="1"/>
  <c r="AA7" i="19"/>
  <c r="Z7" i="4"/>
  <c r="Z15" i="30" s="1"/>
  <c r="Y7" i="8"/>
  <c r="AA7" i="7"/>
  <c r="AB8" i="3"/>
  <c r="Z7" i="25"/>
  <c r="M20" i="19"/>
  <c r="M25" i="19" s="1"/>
  <c r="Y14" i="7"/>
  <c r="Y43" i="7"/>
  <c r="Y47" i="7" s="1"/>
  <c r="Y41" i="7"/>
  <c r="Y45" i="7" s="1"/>
  <c r="H20" i="19"/>
  <c r="H25" i="19" s="1"/>
  <c r="B49" i="6"/>
  <c r="X10" i="4"/>
  <c r="X13" i="4" s="1"/>
  <c r="X14" i="30"/>
  <c r="X23" i="4"/>
  <c r="W36" i="7"/>
  <c r="I20" i="19"/>
  <c r="I25" i="19" s="1"/>
  <c r="W20" i="19"/>
  <c r="W25" i="19" s="1"/>
  <c r="Q20" i="19"/>
  <c r="Q25" i="19" s="1"/>
  <c r="F20" i="19"/>
  <c r="F25" i="19" s="1"/>
  <c r="X28" i="7"/>
  <c r="X33" i="7" s="1"/>
  <c r="X34" i="7" s="1"/>
  <c r="V12" i="8" s="1"/>
  <c r="X18" i="7"/>
  <c r="X19" i="7" s="1"/>
  <c r="X21" i="7" s="1"/>
  <c r="C18" i="30"/>
  <c r="C38" i="4" s="1"/>
  <c r="C12" i="25" s="1"/>
  <c r="T20" i="19"/>
  <c r="T25" i="19" s="1"/>
  <c r="S20" i="19"/>
  <c r="S25" i="19" s="1"/>
  <c r="Z21" i="3"/>
  <c r="X19" i="19"/>
  <c r="X20" i="19" s="1"/>
  <c r="X25" i="19" s="1"/>
  <c r="X36" i="7" l="1"/>
  <c r="C19" i="30"/>
  <c r="Y23" i="4"/>
  <c r="Y10" i="4"/>
  <c r="Y13" i="4" s="1"/>
  <c r="Y14" i="30"/>
  <c r="F50" i="7"/>
  <c r="D24" i="4"/>
  <c r="D30" i="4" s="1"/>
  <c r="D32" i="4" s="1"/>
  <c r="Y48" i="7"/>
  <c r="N31" i="2"/>
  <c r="O31" i="2" s="1"/>
  <c r="C30" i="4"/>
  <c r="C32" i="4" s="1"/>
  <c r="AB7" i="19"/>
  <c r="AB7" i="7"/>
  <c r="Z7" i="8"/>
  <c r="AA7" i="4"/>
  <c r="AA15" i="30" s="1"/>
  <c r="AC8" i="3"/>
  <c r="AA7" i="25"/>
  <c r="AA6" i="19"/>
  <c r="AA6" i="7"/>
  <c r="AB7" i="3"/>
  <c r="Z6" i="4"/>
  <c r="AA35" i="3"/>
  <c r="AA36" i="3" s="1"/>
  <c r="AA38" i="3" s="1"/>
  <c r="Y6" i="8"/>
  <c r="Z6" i="25"/>
  <c r="AB18" i="4"/>
  <c r="Y28" i="7"/>
  <c r="Y33" i="7" s="1"/>
  <c r="Y34" i="7" s="1"/>
  <c r="W12" i="8" s="1"/>
  <c r="Y18" i="7"/>
  <c r="Y19" i="7" s="1"/>
  <c r="Y21" i="7" s="1"/>
  <c r="Z14" i="7"/>
  <c r="Z41" i="7"/>
  <c r="Z45" i="7" s="1"/>
  <c r="Z43" i="7"/>
  <c r="Z47" i="7" s="1"/>
  <c r="X34" i="4" l="1"/>
  <c r="W11" i="8" s="1"/>
  <c r="Y19" i="19"/>
  <c r="Y20" i="19" s="1"/>
  <c r="Y25" i="19" s="1"/>
  <c r="Z10" i="4"/>
  <c r="Z13" i="4" s="1"/>
  <c r="Z14" i="30"/>
  <c r="C78" i="2"/>
  <c r="D36" i="4"/>
  <c r="C38" i="6"/>
  <c r="D21" i="30"/>
  <c r="D11" i="25"/>
  <c r="C29" i="6"/>
  <c r="C11" i="6" s="1"/>
  <c r="C13" i="6" s="1"/>
  <c r="AB6" i="7"/>
  <c r="AB6" i="19"/>
  <c r="AA6" i="4"/>
  <c r="AC7" i="3"/>
  <c r="AA6" i="25"/>
  <c r="Z6" i="8"/>
  <c r="AB35" i="3"/>
  <c r="AB36" i="3" s="1"/>
  <c r="AB38" i="3" s="1"/>
  <c r="G50" i="7"/>
  <c r="E24" i="4"/>
  <c r="E30" i="4" s="1"/>
  <c r="E32" i="4" s="1"/>
  <c r="AC18" i="4"/>
  <c r="B38" i="6"/>
  <c r="B78" i="2"/>
  <c r="C36" i="4"/>
  <c r="C40" i="4" s="1"/>
  <c r="C21" i="30"/>
  <c r="C22" i="30" s="1"/>
  <c r="C11" i="25"/>
  <c r="C13" i="25" s="1"/>
  <c r="C16" i="25"/>
  <c r="C52" i="4"/>
  <c r="D16" i="30"/>
  <c r="Z48" i="7"/>
  <c r="Y34" i="4" s="1"/>
  <c r="X11" i="8" s="1"/>
  <c r="Y36" i="7"/>
  <c r="AA14" i="7"/>
  <c r="AA41" i="7"/>
  <c r="AA45" i="7" s="1"/>
  <c r="AA48" i="7" s="1"/>
  <c r="Z34" i="4" s="1"/>
  <c r="Y11" i="8" s="1"/>
  <c r="AA43" i="7"/>
  <c r="AA47" i="7" s="1"/>
  <c r="Z23" i="4"/>
  <c r="Z28" i="7"/>
  <c r="Z33" i="7" s="1"/>
  <c r="Z34" i="7" s="1"/>
  <c r="X12" i="8" s="1"/>
  <c r="Z18" i="7"/>
  <c r="Z19" i="7" s="1"/>
  <c r="Z21" i="7" s="1"/>
  <c r="AB21" i="3"/>
  <c r="AC7" i="19"/>
  <c r="AB7" i="4"/>
  <c r="AB15" i="30" s="1"/>
  <c r="AB7" i="25"/>
  <c r="AA7" i="8"/>
  <c r="AC7" i="7"/>
  <c r="AD8" i="3"/>
  <c r="AC6" i="19" l="1"/>
  <c r="AC35" i="3"/>
  <c r="AC36" i="3" s="1"/>
  <c r="AC38" i="3" s="1"/>
  <c r="AC6" i="7"/>
  <c r="AD7" i="3"/>
  <c r="AD21" i="3" s="1"/>
  <c r="AA6" i="8"/>
  <c r="AB6" i="4"/>
  <c r="AB6" i="25"/>
  <c r="AA23" i="4"/>
  <c r="AD18" i="4"/>
  <c r="AA10" i="4"/>
  <c r="AA13" i="4" s="1"/>
  <c r="AA14" i="30"/>
  <c r="D78" i="2"/>
  <c r="E11" i="25"/>
  <c r="E21" i="30"/>
  <c r="E36" i="4"/>
  <c r="D38" i="6"/>
  <c r="D29" i="6"/>
  <c r="D11" i="6" s="1"/>
  <c r="D13" i="6" s="1"/>
  <c r="H50" i="7"/>
  <c r="F24" i="4"/>
  <c r="F30" i="4" s="1"/>
  <c r="F32" i="4" s="1"/>
  <c r="AB43" i="7"/>
  <c r="AB47" i="7" s="1"/>
  <c r="AB41" i="7"/>
  <c r="AB45" i="7" s="1"/>
  <c r="AB48" i="7" s="1"/>
  <c r="AA34" i="4" s="1"/>
  <c r="Z11" i="8" s="1"/>
  <c r="AB14" i="7"/>
  <c r="AA18" i="7"/>
  <c r="AA19" i="7" s="1"/>
  <c r="AA21" i="7" s="1"/>
  <c r="AA28" i="7"/>
  <c r="AA33" i="7" s="1"/>
  <c r="AA34" i="7" s="1"/>
  <c r="Y12" i="8" s="1"/>
  <c r="Z36" i="7"/>
  <c r="AA36" i="7" s="1"/>
  <c r="C42" i="4"/>
  <c r="C43" i="4" s="1"/>
  <c r="B10" i="8"/>
  <c r="B13" i="8" s="1"/>
  <c r="AA19" i="19"/>
  <c r="AA20" i="19" s="1"/>
  <c r="AA25" i="19" s="1"/>
  <c r="B80" i="2"/>
  <c r="AC21" i="3"/>
  <c r="Z19" i="19"/>
  <c r="Z20" i="19" s="1"/>
  <c r="Z25" i="19" s="1"/>
  <c r="AD7" i="19"/>
  <c r="AD7" i="7"/>
  <c r="AC7" i="25"/>
  <c r="AC7" i="4"/>
  <c r="AC15" i="30" s="1"/>
  <c r="AB7" i="8"/>
  <c r="AE8" i="3"/>
  <c r="D18" i="30"/>
  <c r="B11" i="6"/>
  <c r="B13" i="6" s="1"/>
  <c r="B37" i="6" s="1"/>
  <c r="B16" i="8" l="1"/>
  <c r="B24" i="8"/>
  <c r="B28" i="8"/>
  <c r="AB10" i="4"/>
  <c r="AB13" i="4" s="1"/>
  <c r="AB14" i="30"/>
  <c r="AE7" i="19"/>
  <c r="AE7" i="7"/>
  <c r="AD7" i="4"/>
  <c r="AD15" i="30" s="1"/>
  <c r="AF8" i="3"/>
  <c r="AD7" i="25"/>
  <c r="AC7" i="8"/>
  <c r="C45" i="4"/>
  <c r="AB18" i="7"/>
  <c r="AB19" i="7" s="1"/>
  <c r="AB21" i="7" s="1"/>
  <c r="AB28" i="7"/>
  <c r="AB33" i="7" s="1"/>
  <c r="AB34" i="7" s="1"/>
  <c r="Z12" i="8" s="1"/>
  <c r="AE18" i="4"/>
  <c r="AD6" i="7"/>
  <c r="AD6" i="19"/>
  <c r="AC6" i="4"/>
  <c r="AE7" i="3"/>
  <c r="AC6" i="25"/>
  <c r="AB6" i="8"/>
  <c r="AD35" i="3"/>
  <c r="AD36" i="3" s="1"/>
  <c r="AD38" i="3" s="1"/>
  <c r="AB23" i="4"/>
  <c r="AC14" i="7"/>
  <c r="AC41" i="7"/>
  <c r="AC45" i="7" s="1"/>
  <c r="AC43" i="7"/>
  <c r="AC47" i="7" s="1"/>
  <c r="AB19" i="19"/>
  <c r="AB20" i="19" s="1"/>
  <c r="AB25" i="19" s="1"/>
  <c r="F36" i="4"/>
  <c r="E29" i="6"/>
  <c r="E11" i="6" s="1"/>
  <c r="E13" i="6" s="1"/>
  <c r="F11" i="25"/>
  <c r="F21" i="30"/>
  <c r="E38" i="6"/>
  <c r="B42" i="6"/>
  <c r="B35" i="6"/>
  <c r="G24" i="4"/>
  <c r="G30" i="4" s="1"/>
  <c r="G32" i="4" s="1"/>
  <c r="I50" i="7"/>
  <c r="D38" i="4"/>
  <c r="D19" i="30"/>
  <c r="AC23" i="4" l="1"/>
  <c r="AE6" i="19"/>
  <c r="AE6" i="7"/>
  <c r="AD6" i="4"/>
  <c r="AF21" i="3"/>
  <c r="AE35" i="3"/>
  <c r="AE36" i="3" s="1"/>
  <c r="AE38" i="3" s="1"/>
  <c r="AC6" i="8"/>
  <c r="AF7" i="3"/>
  <c r="AD6" i="25"/>
  <c r="AC10" i="4"/>
  <c r="AC13" i="4" s="1"/>
  <c r="AC14" i="30"/>
  <c r="D52" i="4"/>
  <c r="D16" i="25"/>
  <c r="D22" i="30"/>
  <c r="E16" i="30"/>
  <c r="AB36" i="7"/>
  <c r="D12" i="25"/>
  <c r="D13" i="25" s="1"/>
  <c r="D40" i="4"/>
  <c r="B44" i="6"/>
  <c r="B57" i="6" s="1"/>
  <c r="B45" i="6"/>
  <c r="C24" i="6" s="1"/>
  <c r="AD14" i="7"/>
  <c r="AD41" i="7"/>
  <c r="AD45" i="7" s="1"/>
  <c r="AD43" i="7"/>
  <c r="AD47" i="7" s="1"/>
  <c r="B56" i="6"/>
  <c r="B48" i="6"/>
  <c r="B50" i="6" s="1"/>
  <c r="B52" i="6" s="1"/>
  <c r="B30" i="8"/>
  <c r="J50" i="7"/>
  <c r="H24" i="4"/>
  <c r="H30" i="4" s="1"/>
  <c r="H32" i="4" s="1"/>
  <c r="AC48" i="7"/>
  <c r="AF7" i="19"/>
  <c r="AF7" i="7"/>
  <c r="AE7" i="4"/>
  <c r="AE15" i="30" s="1"/>
  <c r="AG8" i="3"/>
  <c r="AE7" i="25"/>
  <c r="AD7" i="8"/>
  <c r="B29" i="8"/>
  <c r="B39" i="6"/>
  <c r="B79" i="2"/>
  <c r="D42" i="19"/>
  <c r="D43" i="19" s="1"/>
  <c r="C51" i="4"/>
  <c r="C54" i="4" s="1"/>
  <c r="G36" i="4"/>
  <c r="G11" i="25"/>
  <c r="G21" i="30"/>
  <c r="F38" i="6"/>
  <c r="F29" i="6"/>
  <c r="F11" i="6" s="1"/>
  <c r="F13" i="6" s="1"/>
  <c r="AC28" i="7"/>
  <c r="AC33" i="7" s="1"/>
  <c r="AC34" i="7" s="1"/>
  <c r="AA12" i="8" s="1"/>
  <c r="AC18" i="7"/>
  <c r="AC19" i="7" s="1"/>
  <c r="AC21" i="7" s="1"/>
  <c r="AE21" i="3"/>
  <c r="AF18" i="4"/>
  <c r="B21" i="8"/>
  <c r="B19" i="8"/>
  <c r="C10" i="8" l="1"/>
  <c r="C13" i="8" s="1"/>
  <c r="D42" i="4"/>
  <c r="D45" i="4" s="1"/>
  <c r="D43" i="4"/>
  <c r="AD10" i="4"/>
  <c r="AD13" i="4" s="1"/>
  <c r="AD14" i="30"/>
  <c r="B58" i="6"/>
  <c r="C80" i="2"/>
  <c r="AE14" i="7"/>
  <c r="AE41" i="7"/>
  <c r="AE45" i="7" s="1"/>
  <c r="AE43" i="7"/>
  <c r="AE47" i="7" s="1"/>
  <c r="B41" i="8"/>
  <c r="C15" i="25" s="1"/>
  <c r="B33" i="8"/>
  <c r="C27" i="6"/>
  <c r="AB34" i="4"/>
  <c r="AA11" i="8" s="1"/>
  <c r="AC19" i="19"/>
  <c r="AC20" i="19" s="1"/>
  <c r="AC25" i="19" s="1"/>
  <c r="AD48" i="7"/>
  <c r="AC36" i="7"/>
  <c r="AD36" i="7" s="1"/>
  <c r="AG7" i="19"/>
  <c r="AG7" i="7"/>
  <c r="AF7" i="4"/>
  <c r="AF15" i="30" s="1"/>
  <c r="AH8" i="3"/>
  <c r="AF7" i="25"/>
  <c r="AE7" i="8"/>
  <c r="B22" i="8"/>
  <c r="C18" i="8" s="1"/>
  <c r="H11" i="25"/>
  <c r="H36" i="4"/>
  <c r="H21" i="30"/>
  <c r="G29" i="6"/>
  <c r="G11" i="6" s="1"/>
  <c r="G13" i="6" s="1"/>
  <c r="G38" i="6"/>
  <c r="AD28" i="7"/>
  <c r="AD33" i="7" s="1"/>
  <c r="AD34" i="7" s="1"/>
  <c r="AB12" i="8" s="1"/>
  <c r="AD18" i="7"/>
  <c r="AD19" i="7" s="1"/>
  <c r="AD21" i="7" s="1"/>
  <c r="E18" i="30"/>
  <c r="AF6" i="19"/>
  <c r="AF6" i="7"/>
  <c r="AG7" i="3"/>
  <c r="AE6" i="4"/>
  <c r="AE6" i="25"/>
  <c r="AF35" i="3"/>
  <c r="AF36" i="3" s="1"/>
  <c r="AF38" i="3" s="1"/>
  <c r="AD6" i="8"/>
  <c r="AG21" i="3"/>
  <c r="AD23" i="4"/>
  <c r="AG18" i="4"/>
  <c r="K50" i="7"/>
  <c r="I24" i="4"/>
  <c r="I30" i="4" s="1"/>
  <c r="I32" i="4" s="1"/>
  <c r="C79" i="2" l="1"/>
  <c r="E42" i="19"/>
  <c r="E43" i="19" s="1"/>
  <c r="D51" i="4"/>
  <c r="D54" i="4" s="1"/>
  <c r="AH7" i="7"/>
  <c r="AG7" i="4"/>
  <c r="AF7" i="8"/>
  <c r="AH7" i="19"/>
  <c r="AG7" i="25"/>
  <c r="L50" i="7"/>
  <c r="J24" i="4"/>
  <c r="J30" i="4" s="1"/>
  <c r="J32" i="4" s="1"/>
  <c r="AE36" i="7"/>
  <c r="AE28" i="7"/>
  <c r="AE33" i="7" s="1"/>
  <c r="AE34" i="7" s="1"/>
  <c r="AC12" i="8" s="1"/>
  <c r="AE18" i="7"/>
  <c r="AE19" i="7" s="1"/>
  <c r="AE21" i="7" s="1"/>
  <c r="AC34" i="4"/>
  <c r="AB11" i="8" s="1"/>
  <c r="AD19" i="19"/>
  <c r="AD20" i="19" s="1"/>
  <c r="AD25" i="19" s="1"/>
  <c r="C28" i="6"/>
  <c r="C16" i="8"/>
  <c r="C24" i="8"/>
  <c r="C28" i="8"/>
  <c r="AF41" i="7"/>
  <c r="AF45" i="7" s="1"/>
  <c r="AF48" i="7" s="1"/>
  <c r="AF43" i="7"/>
  <c r="AF47" i="7" s="1"/>
  <c r="AF14" i="7"/>
  <c r="AE48" i="7"/>
  <c r="AE10" i="4"/>
  <c r="AE13" i="4" s="1"/>
  <c r="AE14" i="30"/>
  <c r="D32" i="19"/>
  <c r="C18" i="25"/>
  <c r="C21" i="25" s="1"/>
  <c r="AE23" i="4"/>
  <c r="I21" i="30"/>
  <c r="I11" i="25"/>
  <c r="I36" i="4"/>
  <c r="H29" i="6"/>
  <c r="H38" i="6"/>
  <c r="E38" i="4"/>
  <c r="E19" i="30"/>
  <c r="AG6" i="19"/>
  <c r="AF6" i="4"/>
  <c r="AG6" i="7"/>
  <c r="AG35" i="3"/>
  <c r="AG36" i="3" s="1"/>
  <c r="AG38" i="3" s="1"/>
  <c r="AH7" i="3"/>
  <c r="AF6" i="25"/>
  <c r="AE6" i="8"/>
  <c r="B38" i="8"/>
  <c r="B36" i="8"/>
  <c r="AG14" i="7" l="1"/>
  <c r="AG41" i="7"/>
  <c r="AG45" i="7" s="1"/>
  <c r="AG43" i="7"/>
  <c r="AG47" i="7" s="1"/>
  <c r="C29" i="8"/>
  <c r="C30" i="8" s="1"/>
  <c r="C30" i="6"/>
  <c r="C33" i="6"/>
  <c r="C26" i="6"/>
  <c r="M50" i="7"/>
  <c r="K24" i="4"/>
  <c r="K30" i="4" s="1"/>
  <c r="K32" i="4" s="1"/>
  <c r="AH6" i="19"/>
  <c r="AH6" i="7"/>
  <c r="AF6" i="8"/>
  <c r="AG6" i="4"/>
  <c r="AH35" i="3"/>
  <c r="AH36" i="3" s="1"/>
  <c r="AH38" i="3" s="1"/>
  <c r="AG6" i="25"/>
  <c r="AF36" i="7"/>
  <c r="B39" i="8"/>
  <c r="C35" i="8" s="1"/>
  <c r="AF10" i="4"/>
  <c r="AF13" i="4" s="1"/>
  <c r="AF14" i="30"/>
  <c r="C19" i="8"/>
  <c r="C21" i="8"/>
  <c r="AD34" i="4"/>
  <c r="AC11" i="8" s="1"/>
  <c r="AE19" i="19"/>
  <c r="AE20" i="19" s="1"/>
  <c r="AE25" i="19" s="1"/>
  <c r="J36" i="4"/>
  <c r="J21" i="30"/>
  <c r="J11" i="25"/>
  <c r="I38" i="6"/>
  <c r="I29" i="6"/>
  <c r="I11" i="6" s="1"/>
  <c r="I13" i="6" s="1"/>
  <c r="AH21" i="3"/>
  <c r="E52" i="4"/>
  <c r="E16" i="25"/>
  <c r="E22" i="30"/>
  <c r="F16" i="30"/>
  <c r="AF23" i="4"/>
  <c r="AF28" i="7"/>
  <c r="AF33" i="7" s="1"/>
  <c r="AF34" i="7" s="1"/>
  <c r="AD12" i="8" s="1"/>
  <c r="AF18" i="7"/>
  <c r="AF19" i="7" s="1"/>
  <c r="AF21" i="7" s="1"/>
  <c r="E12" i="25"/>
  <c r="E13" i="25" s="1"/>
  <c r="E40" i="4"/>
  <c r="B81" i="2"/>
  <c r="C27" i="25"/>
  <c r="C28" i="25" s="1"/>
  <c r="C29" i="25" s="1"/>
  <c r="D25" i="25" s="1"/>
  <c r="C37" i="25"/>
  <c r="C38" i="25" s="1"/>
  <c r="C50" i="25"/>
  <c r="C52" i="25" s="1"/>
  <c r="C43" i="25"/>
  <c r="C45" i="25" s="1"/>
  <c r="C57" i="25"/>
  <c r="C59" i="25" s="1"/>
  <c r="D37" i="19"/>
  <c r="D45" i="19" s="1"/>
  <c r="D47" i="19" s="1"/>
  <c r="AE34" i="4"/>
  <c r="AD11" i="8" s="1"/>
  <c r="AF19" i="19"/>
  <c r="AF20" i="19" s="1"/>
  <c r="AF25" i="19" s="1"/>
  <c r="H11" i="6"/>
  <c r="H13" i="6" s="1"/>
  <c r="C33" i="8" l="1"/>
  <c r="C41" i="8"/>
  <c r="D15" i="25" s="1"/>
  <c r="E42" i="4"/>
  <c r="E43" i="4"/>
  <c r="E45" i="4"/>
  <c r="D10" i="8"/>
  <c r="D13" i="8" s="1"/>
  <c r="K36" i="4"/>
  <c r="K21" i="30"/>
  <c r="K11" i="25"/>
  <c r="J38" i="6"/>
  <c r="J29" i="6"/>
  <c r="J11" i="6" s="1"/>
  <c r="J13" i="6" s="1"/>
  <c r="N50" i="7"/>
  <c r="L24" i="4"/>
  <c r="L30" i="4" s="1"/>
  <c r="L32" i="4" s="1"/>
  <c r="C22" i="8"/>
  <c r="D18" i="8" s="1"/>
  <c r="AG48" i="7"/>
  <c r="AG23" i="4"/>
  <c r="AG28" i="7"/>
  <c r="AG33" i="7" s="1"/>
  <c r="AG34" i="7" s="1"/>
  <c r="AE12" i="8" s="1"/>
  <c r="AG18" i="7"/>
  <c r="AG19" i="7" s="1"/>
  <c r="AG21" i="7" s="1"/>
  <c r="D80" i="2"/>
  <c r="AH14" i="7"/>
  <c r="AH41" i="7"/>
  <c r="AH45" i="7" s="1"/>
  <c r="AH43" i="7"/>
  <c r="AH47" i="7" s="1"/>
  <c r="D26" i="25"/>
  <c r="F18" i="30"/>
  <c r="AG10" i="4"/>
  <c r="AG13" i="4" s="1"/>
  <c r="C36" i="6"/>
  <c r="C37" i="6" s="1"/>
  <c r="C42" i="6" l="1"/>
  <c r="C39" i="6"/>
  <c r="C35" i="6"/>
  <c r="AH48" i="7"/>
  <c r="L36" i="4"/>
  <c r="L11" i="25"/>
  <c r="L21" i="30"/>
  <c r="K29" i="6"/>
  <c r="K38" i="6"/>
  <c r="M24" i="4"/>
  <c r="M30" i="4" s="1"/>
  <c r="M32" i="4" s="1"/>
  <c r="O50" i="7"/>
  <c r="F42" i="19"/>
  <c r="F43" i="19" s="1"/>
  <c r="D79" i="2"/>
  <c r="E51" i="4"/>
  <c r="E54" i="4" s="1"/>
  <c r="F38" i="4"/>
  <c r="F19" i="30"/>
  <c r="AH18" i="7"/>
  <c r="AH19" i="7" s="1"/>
  <c r="AH21" i="7" s="1"/>
  <c r="AH28" i="7"/>
  <c r="AH33" i="7" s="1"/>
  <c r="AH34" i="7" s="1"/>
  <c r="AF12" i="8" s="1"/>
  <c r="AF34" i="4"/>
  <c r="AE11" i="8" s="1"/>
  <c r="AG19" i="19"/>
  <c r="AG20" i="19" s="1"/>
  <c r="AG25" i="19" s="1"/>
  <c r="AG36" i="7"/>
  <c r="D18" i="25"/>
  <c r="D21" i="25" s="1"/>
  <c r="E32" i="19"/>
  <c r="D16" i="8"/>
  <c r="D24" i="8"/>
  <c r="D28" i="8"/>
  <c r="C49" i="6"/>
  <c r="C36" i="8"/>
  <c r="C38" i="8"/>
  <c r="P50" i="7" l="1"/>
  <c r="N24" i="4"/>
  <c r="N30" i="4" s="1"/>
  <c r="N32" i="4" s="1"/>
  <c r="D29" i="8"/>
  <c r="M11" i="25"/>
  <c r="M21" i="30"/>
  <c r="M36" i="4"/>
  <c r="L38" i="6"/>
  <c r="L29" i="6"/>
  <c r="D19" i="8"/>
  <c r="D21" i="8"/>
  <c r="F12" i="25"/>
  <c r="F13" i="25" s="1"/>
  <c r="F40" i="4"/>
  <c r="C39" i="8"/>
  <c r="D35" i="8" s="1"/>
  <c r="C81" i="2"/>
  <c r="D57" i="25"/>
  <c r="D59" i="25" s="1"/>
  <c r="D27" i="25"/>
  <c r="D28" i="25" s="1"/>
  <c r="D29" i="25" s="1"/>
  <c r="E25" i="25" s="1"/>
  <c r="D50" i="25"/>
  <c r="D52" i="25" s="1"/>
  <c r="D43" i="25"/>
  <c r="D45" i="25" s="1"/>
  <c r="D37" i="25"/>
  <c r="D38" i="25" s="1"/>
  <c r="K11" i="6"/>
  <c r="K13" i="6" s="1"/>
  <c r="C48" i="6"/>
  <c r="C50" i="6" s="1"/>
  <c r="C52" i="6" s="1"/>
  <c r="C56" i="6"/>
  <c r="D30" i="8"/>
  <c r="AG34" i="4"/>
  <c r="AF11" i="8" s="1"/>
  <c r="AH19" i="19"/>
  <c r="AH20" i="19" s="1"/>
  <c r="AH25" i="19" s="1"/>
  <c r="F52" i="4"/>
  <c r="F16" i="25"/>
  <c r="F22" i="30"/>
  <c r="G16" i="30"/>
  <c r="E37" i="19"/>
  <c r="E45" i="19" s="1"/>
  <c r="E47" i="19" s="1"/>
  <c r="AH36" i="7"/>
  <c r="C44" i="6"/>
  <c r="C57" i="6" s="1"/>
  <c r="C45" i="6"/>
  <c r="D24" i="6" s="1"/>
  <c r="F45" i="4" l="1"/>
  <c r="F42" i="4"/>
  <c r="F43" i="4"/>
  <c r="E10" i="8"/>
  <c r="E13" i="8" s="1"/>
  <c r="E26" i="25"/>
  <c r="D41" i="8"/>
  <c r="E15" i="25" s="1"/>
  <c r="D33" i="8"/>
  <c r="D27" i="6"/>
  <c r="D28" i="6" s="1"/>
  <c r="G18" i="30"/>
  <c r="C58" i="6"/>
  <c r="D22" i="8"/>
  <c r="E18" i="8" s="1"/>
  <c r="M38" i="6"/>
  <c r="N36" i="4"/>
  <c r="N21" i="30"/>
  <c r="N11" i="25"/>
  <c r="M29" i="6"/>
  <c r="M11" i="6" s="1"/>
  <c r="M13" i="6" s="1"/>
  <c r="L11" i="6"/>
  <c r="L13" i="6" s="1"/>
  <c r="O24" i="4"/>
  <c r="O30" i="4" s="1"/>
  <c r="O32" i="4" s="1"/>
  <c r="Q50" i="7"/>
  <c r="D33" i="6" l="1"/>
  <c r="D30" i="6"/>
  <c r="D26" i="6"/>
  <c r="G38" i="4"/>
  <c r="G19" i="30"/>
  <c r="E28" i="8"/>
  <c r="E24" i="8"/>
  <c r="E16" i="8"/>
  <c r="G42" i="19"/>
  <c r="G43" i="19" s="1"/>
  <c r="F51" i="4"/>
  <c r="F54" i="4" s="1"/>
  <c r="E18" i="25"/>
  <c r="E21" i="25" s="1"/>
  <c r="F32" i="19"/>
  <c r="P24" i="4"/>
  <c r="P30" i="4" s="1"/>
  <c r="P32" i="4" s="1"/>
  <c r="R50" i="7"/>
  <c r="N29" i="6"/>
  <c r="O36" i="4"/>
  <c r="O11" i="25"/>
  <c r="N38" i="6"/>
  <c r="O21" i="30"/>
  <c r="D38" i="8"/>
  <c r="D36" i="8"/>
  <c r="D81" i="2" l="1"/>
  <c r="E43" i="25"/>
  <c r="E45" i="25" s="1"/>
  <c r="E27" i="25"/>
  <c r="E28" i="25" s="1"/>
  <c r="E29" i="25" s="1"/>
  <c r="F25" i="25" s="1"/>
  <c r="E37" i="25"/>
  <c r="E38" i="25" s="1"/>
  <c r="E57" i="25"/>
  <c r="E59" i="25" s="1"/>
  <c r="E50" i="25"/>
  <c r="E52" i="25" s="1"/>
  <c r="G12" i="25"/>
  <c r="G13" i="25" s="1"/>
  <c r="G40" i="4"/>
  <c r="E29" i="8"/>
  <c r="E30" i="8" s="1"/>
  <c r="G52" i="4"/>
  <c r="G16" i="25"/>
  <c r="G22" i="30"/>
  <c r="H16" i="30"/>
  <c r="N11" i="6"/>
  <c r="N13" i="6" s="1"/>
  <c r="O29" i="6"/>
  <c r="P36" i="4"/>
  <c r="P21" i="30"/>
  <c r="P11" i="25"/>
  <c r="O38" i="6"/>
  <c r="F37" i="19"/>
  <c r="F45" i="19" s="1"/>
  <c r="F47" i="19" s="1"/>
  <c r="D39" i="8"/>
  <c r="E35" i="8" s="1"/>
  <c r="S50" i="7"/>
  <c r="Q24" i="4"/>
  <c r="Q30" i="4" s="1"/>
  <c r="Q32" i="4" s="1"/>
  <c r="E21" i="8"/>
  <c r="E19" i="8"/>
  <c r="D36" i="6"/>
  <c r="D37" i="6" s="1"/>
  <c r="D42" i="6" l="1"/>
  <c r="D35" i="6"/>
  <c r="E33" i="8"/>
  <c r="E41" i="8"/>
  <c r="F15" i="25" s="1"/>
  <c r="F26" i="25"/>
  <c r="O11" i="6"/>
  <c r="O13" i="6" s="1"/>
  <c r="E22" i="8"/>
  <c r="F18" i="8" s="1"/>
  <c r="G42" i="4"/>
  <c r="G43" i="4" s="1"/>
  <c r="F10" i="8"/>
  <c r="F13" i="8" s="1"/>
  <c r="T50" i="7"/>
  <c r="R24" i="4"/>
  <c r="R30" i="4" s="1"/>
  <c r="R32" i="4" s="1"/>
  <c r="D49" i="6"/>
  <c r="Q21" i="30"/>
  <c r="Q36" i="4"/>
  <c r="Q11" i="25"/>
  <c r="P29" i="6"/>
  <c r="P11" i="6" s="1"/>
  <c r="P13" i="6" s="1"/>
  <c r="P38" i="6"/>
  <c r="H18" i="30"/>
  <c r="F18" i="25" l="1"/>
  <c r="F21" i="25" s="1"/>
  <c r="G32" i="19"/>
  <c r="G45" i="4"/>
  <c r="R36" i="4"/>
  <c r="R21" i="30"/>
  <c r="R11" i="25"/>
  <c r="Q38" i="6"/>
  <c r="Q29" i="6"/>
  <c r="E36" i="8"/>
  <c r="E38" i="8"/>
  <c r="S24" i="4"/>
  <c r="S30" i="4" s="1"/>
  <c r="S32" i="4" s="1"/>
  <c r="U50" i="7"/>
  <c r="D48" i="6"/>
  <c r="D50" i="6" s="1"/>
  <c r="D52" i="6" s="1"/>
  <c r="D56" i="6"/>
  <c r="H38" i="4"/>
  <c r="H19" i="30"/>
  <c r="F28" i="8"/>
  <c r="F16" i="8"/>
  <c r="F24" i="8"/>
  <c r="D44" i="6"/>
  <c r="D57" i="6" s="1"/>
  <c r="D45" i="6"/>
  <c r="E24" i="6" s="1"/>
  <c r="D39" i="6"/>
  <c r="H12" i="25" l="1"/>
  <c r="H13" i="25" s="1"/>
  <c r="H40" i="4"/>
  <c r="F21" i="8"/>
  <c r="F19" i="8"/>
  <c r="F30" i="8"/>
  <c r="S36" i="4"/>
  <c r="S21" i="30"/>
  <c r="S11" i="25"/>
  <c r="R29" i="6"/>
  <c r="R11" i="6" s="1"/>
  <c r="R13" i="6" s="1"/>
  <c r="R38" i="6"/>
  <c r="F57" i="25"/>
  <c r="F59" i="25" s="1"/>
  <c r="F43" i="25"/>
  <c r="F45" i="25" s="1"/>
  <c r="F27" i="25"/>
  <c r="F28" i="25" s="1"/>
  <c r="F29" i="25" s="1"/>
  <c r="G25" i="25" s="1"/>
  <c r="F50" i="25"/>
  <c r="F52" i="25" s="1"/>
  <c r="F37" i="25"/>
  <c r="F38" i="25" s="1"/>
  <c r="D58" i="6"/>
  <c r="F29" i="8"/>
  <c r="V50" i="7"/>
  <c r="T24" i="4"/>
  <c r="T30" i="4" s="1"/>
  <c r="T32" i="4" s="1"/>
  <c r="H42" i="19"/>
  <c r="H43" i="19" s="1"/>
  <c r="G51" i="4"/>
  <c r="G54" i="4" s="1"/>
  <c r="H52" i="4"/>
  <c r="H16" i="25"/>
  <c r="H22" i="30"/>
  <c r="I16" i="30"/>
  <c r="G37" i="19"/>
  <c r="G45" i="19" s="1"/>
  <c r="G47" i="19" s="1"/>
  <c r="E39" i="8"/>
  <c r="F35" i="8" s="1"/>
  <c r="E27" i="6"/>
  <c r="E28" i="6"/>
  <c r="Q11" i="6"/>
  <c r="Q13" i="6" s="1"/>
  <c r="F41" i="8" l="1"/>
  <c r="G15" i="25" s="1"/>
  <c r="F33" i="8"/>
  <c r="I18" i="30"/>
  <c r="F22" i="8"/>
  <c r="G18" i="8" s="1"/>
  <c r="E33" i="6"/>
  <c r="W50" i="7"/>
  <c r="U24" i="4"/>
  <c r="U30" i="4" s="1"/>
  <c r="U32" i="4" s="1"/>
  <c r="H42" i="4"/>
  <c r="H43" i="4"/>
  <c r="G10" i="8"/>
  <c r="G13" i="8" s="1"/>
  <c r="H45" i="4"/>
  <c r="E26" i="6"/>
  <c r="E30" i="6" s="1"/>
  <c r="T11" i="25"/>
  <c r="T36" i="4"/>
  <c r="T21" i="30"/>
  <c r="S38" i="6"/>
  <c r="S29" i="6"/>
  <c r="S11" i="6" s="1"/>
  <c r="S13" i="6" s="1"/>
  <c r="G26" i="25"/>
  <c r="I38" i="4" l="1"/>
  <c r="I19" i="30"/>
  <c r="F36" i="8"/>
  <c r="F38" i="8"/>
  <c r="G18" i="25"/>
  <c r="G21" i="25" s="1"/>
  <c r="H32" i="19"/>
  <c r="E36" i="6"/>
  <c r="E37" i="6" s="1"/>
  <c r="I42" i="19"/>
  <c r="I43" i="19" s="1"/>
  <c r="H51" i="4"/>
  <c r="H54" i="4" s="1"/>
  <c r="G24" i="8"/>
  <c r="G28" i="8"/>
  <c r="G16" i="8"/>
  <c r="U11" i="25"/>
  <c r="U21" i="30"/>
  <c r="U36" i="4"/>
  <c r="T38" i="6"/>
  <c r="T29" i="6"/>
  <c r="T11" i="6" s="1"/>
  <c r="T13" i="6" s="1"/>
  <c r="X50" i="7"/>
  <c r="V24" i="4"/>
  <c r="V30" i="4" s="1"/>
  <c r="V32" i="4" s="1"/>
  <c r="E42" i="6" l="1"/>
  <c r="E39" i="6"/>
  <c r="E35" i="6"/>
  <c r="G29" i="8"/>
  <c r="G30" i="8" s="1"/>
  <c r="G50" i="25"/>
  <c r="G52" i="25" s="1"/>
  <c r="G43" i="25"/>
  <c r="G45" i="25" s="1"/>
  <c r="G37" i="25"/>
  <c r="G38" i="25" s="1"/>
  <c r="G27" i="25"/>
  <c r="G28" i="25" s="1"/>
  <c r="G29" i="25" s="1"/>
  <c r="H25" i="25" s="1"/>
  <c r="G57" i="25"/>
  <c r="G59" i="25" s="1"/>
  <c r="F39" i="8"/>
  <c r="G35" i="8" s="1"/>
  <c r="I52" i="4"/>
  <c r="I16" i="25"/>
  <c r="I22" i="30"/>
  <c r="J16" i="30"/>
  <c r="H37" i="19"/>
  <c r="H45" i="19" s="1"/>
  <c r="H47" i="19" s="1"/>
  <c r="V36" i="4"/>
  <c r="V11" i="25"/>
  <c r="V21" i="30"/>
  <c r="U38" i="6"/>
  <c r="U29" i="6"/>
  <c r="U11" i="6" s="1"/>
  <c r="U13" i="6" s="1"/>
  <c r="E49" i="6"/>
  <c r="I12" i="25"/>
  <c r="I13" i="25" s="1"/>
  <c r="I40" i="4"/>
  <c r="W24" i="4"/>
  <c r="W30" i="4" s="1"/>
  <c r="W32" i="4" s="1"/>
  <c r="Y50" i="7"/>
  <c r="G21" i="8"/>
  <c r="G19" i="8"/>
  <c r="G33" i="8" l="1"/>
  <c r="G41" i="8"/>
  <c r="H15" i="25" s="1"/>
  <c r="G22" i="8"/>
  <c r="H18" i="8" s="1"/>
  <c r="V38" i="6"/>
  <c r="W36" i="4"/>
  <c r="V29" i="6"/>
  <c r="V11" i="6" s="1"/>
  <c r="V13" i="6" s="1"/>
  <c r="W11" i="25"/>
  <c r="W44" i="25"/>
  <c r="W21" i="30"/>
  <c r="I42" i="4"/>
  <c r="I43" i="4"/>
  <c r="I45" i="4"/>
  <c r="H10" i="8"/>
  <c r="H13" i="8" s="1"/>
  <c r="E56" i="6"/>
  <c r="E48" i="6"/>
  <c r="E50" i="6" s="1"/>
  <c r="E52" i="6" s="1"/>
  <c r="H26" i="25"/>
  <c r="J18" i="30"/>
  <c r="Z50" i="7"/>
  <c r="X24" i="4"/>
  <c r="X30" i="4" s="1"/>
  <c r="X32" i="4" s="1"/>
  <c r="E45" i="6"/>
  <c r="F24" i="6" s="1"/>
  <c r="E44" i="6"/>
  <c r="E57" i="6" s="1"/>
  <c r="AA50" i="7" l="1"/>
  <c r="Y24" i="4"/>
  <c r="Y30" i="4" s="1"/>
  <c r="Y32" i="4" s="1"/>
  <c r="H16" i="8"/>
  <c r="H24" i="8"/>
  <c r="H28" i="8"/>
  <c r="J42" i="19"/>
  <c r="J43" i="19" s="1"/>
  <c r="I51" i="4"/>
  <c r="I54" i="4" s="1"/>
  <c r="W29" i="6"/>
  <c r="X11" i="25"/>
  <c r="X36" i="4"/>
  <c r="X21" i="30"/>
  <c r="W38" i="6"/>
  <c r="J38" i="4"/>
  <c r="J19" i="30"/>
  <c r="E58" i="6"/>
  <c r="H18" i="25"/>
  <c r="H21" i="25" s="1"/>
  <c r="I32" i="19"/>
  <c r="F28" i="6"/>
  <c r="F27" i="6"/>
  <c r="G38" i="8"/>
  <c r="G36" i="8"/>
  <c r="J12" i="25" l="1"/>
  <c r="J13" i="25" s="1"/>
  <c r="J40" i="4"/>
  <c r="H29" i="8"/>
  <c r="W11" i="6"/>
  <c r="W13" i="6" s="1"/>
  <c r="H19" i="8"/>
  <c r="H21" i="8"/>
  <c r="F33" i="6"/>
  <c r="I37" i="19"/>
  <c r="I45" i="19" s="1"/>
  <c r="I47" i="19" s="1"/>
  <c r="H57" i="25"/>
  <c r="H59" i="25" s="1"/>
  <c r="H27" i="25"/>
  <c r="H28" i="25" s="1"/>
  <c r="H29" i="25" s="1"/>
  <c r="I25" i="25" s="1"/>
  <c r="H43" i="25"/>
  <c r="H45" i="25" s="1"/>
  <c r="H50" i="25"/>
  <c r="H52" i="25" s="1"/>
  <c r="H37" i="25"/>
  <c r="H38" i="25" s="1"/>
  <c r="G39" i="8"/>
  <c r="H35" i="8" s="1"/>
  <c r="Y21" i="30"/>
  <c r="Y36" i="4"/>
  <c r="Y11" i="25"/>
  <c r="X29" i="6"/>
  <c r="X38" i="6"/>
  <c r="H30" i="8"/>
  <c r="F26" i="6"/>
  <c r="F30" i="6" s="1"/>
  <c r="J16" i="25"/>
  <c r="J52" i="4"/>
  <c r="J22" i="30"/>
  <c r="K16" i="30"/>
  <c r="AB50" i="7"/>
  <c r="Z24" i="4"/>
  <c r="Z30" i="4" s="1"/>
  <c r="Z32" i="4" s="1"/>
  <c r="Z21" i="30" l="1"/>
  <c r="Z11" i="25"/>
  <c r="Z36" i="4"/>
  <c r="Y29" i="6"/>
  <c r="Y38" i="6"/>
  <c r="AA24" i="4"/>
  <c r="AA30" i="4" s="1"/>
  <c r="AA32" i="4" s="1"/>
  <c r="AC50" i="7"/>
  <c r="F36" i="6"/>
  <c r="F37" i="6" s="1"/>
  <c r="K18" i="30"/>
  <c r="I26" i="25"/>
  <c r="H33" i="8"/>
  <c r="H41" i="8"/>
  <c r="I15" i="25" s="1"/>
  <c r="X11" i="6"/>
  <c r="X13" i="6" s="1"/>
  <c r="H22" i="8"/>
  <c r="I18" i="8" s="1"/>
  <c r="I10" i="8"/>
  <c r="I13" i="8" s="1"/>
  <c r="J42" i="4"/>
  <c r="F39" i="6" l="1"/>
  <c r="F42" i="6"/>
  <c r="F35" i="6"/>
  <c r="J45" i="4"/>
  <c r="AD50" i="7"/>
  <c r="AB24" i="4"/>
  <c r="AB30" i="4" s="1"/>
  <c r="AB32" i="4" s="1"/>
  <c r="I18" i="25"/>
  <c r="I21" i="25" s="1"/>
  <c r="J32" i="19"/>
  <c r="H38" i="8"/>
  <c r="H36" i="8"/>
  <c r="F49" i="6"/>
  <c r="I28" i="8"/>
  <c r="I16" i="8"/>
  <c r="I24" i="8"/>
  <c r="J43" i="4"/>
  <c r="AA36" i="4"/>
  <c r="AA21" i="30"/>
  <c r="AA11" i="25"/>
  <c r="Z29" i="6"/>
  <c r="Z38" i="6"/>
  <c r="K38" i="4"/>
  <c r="K19" i="30"/>
  <c r="Y11" i="6"/>
  <c r="Y13" i="6" s="1"/>
  <c r="I19" i="8" l="1"/>
  <c r="I21" i="8"/>
  <c r="Z11" i="6"/>
  <c r="Z13" i="6" s="1"/>
  <c r="I27" i="25"/>
  <c r="I28" i="25" s="1"/>
  <c r="I29" i="25" s="1"/>
  <c r="J25" i="25" s="1"/>
  <c r="I37" i="25"/>
  <c r="I38" i="25" s="1"/>
  <c r="I50" i="25"/>
  <c r="I52" i="25" s="1"/>
  <c r="I43" i="25"/>
  <c r="I45" i="25" s="1"/>
  <c r="I57" i="25"/>
  <c r="I59" i="25" s="1"/>
  <c r="AE50" i="7"/>
  <c r="AC24" i="4"/>
  <c r="AC30" i="4" s="1"/>
  <c r="AC32" i="4" s="1"/>
  <c r="H39" i="8"/>
  <c r="I35" i="8" s="1"/>
  <c r="K42" i="19"/>
  <c r="K43" i="19" s="1"/>
  <c r="J51" i="4"/>
  <c r="J54" i="4" s="1"/>
  <c r="F48" i="6"/>
  <c r="F50" i="6" s="1"/>
  <c r="F52" i="6" s="1"/>
  <c r="F56" i="6"/>
  <c r="K12" i="25"/>
  <c r="K13" i="25" s="1"/>
  <c r="K40" i="4"/>
  <c r="J37" i="19"/>
  <c r="J45" i="19" s="1"/>
  <c r="J47" i="19" s="1"/>
  <c r="AB36" i="4"/>
  <c r="AB21" i="30"/>
  <c r="AB11" i="25"/>
  <c r="AA29" i="6"/>
  <c r="AA38" i="6"/>
  <c r="K52" i="4"/>
  <c r="K16" i="25"/>
  <c r="K22" i="30"/>
  <c r="L16" i="30"/>
  <c r="I29" i="8"/>
  <c r="I30" i="8" s="1"/>
  <c r="F44" i="6"/>
  <c r="F57" i="6" s="1"/>
  <c r="F45" i="6"/>
  <c r="G24" i="6" s="1"/>
  <c r="I33" i="8" l="1"/>
  <c r="I41" i="8"/>
  <c r="J15" i="25" s="1"/>
  <c r="AB29" i="6"/>
  <c r="AB11" i="6" s="1"/>
  <c r="AB13" i="6" s="1"/>
  <c r="AC11" i="25"/>
  <c r="AC21" i="30"/>
  <c r="AB38" i="6"/>
  <c r="AC36" i="4"/>
  <c r="AF50" i="7"/>
  <c r="AD24" i="4"/>
  <c r="AD30" i="4" s="1"/>
  <c r="AD32" i="4" s="1"/>
  <c r="I22" i="8"/>
  <c r="J18" i="8" s="1"/>
  <c r="AA11" i="6"/>
  <c r="AA13" i="6" s="1"/>
  <c r="F58" i="6"/>
  <c r="L18" i="30"/>
  <c r="J26" i="25"/>
  <c r="G27" i="6"/>
  <c r="K42" i="4"/>
  <c r="K43" i="4"/>
  <c r="K45" i="4"/>
  <c r="J10" i="8"/>
  <c r="J13" i="8" s="1"/>
  <c r="J20" i="8"/>
  <c r="I36" i="8" l="1"/>
  <c r="I38" i="8"/>
  <c r="L42" i="19"/>
  <c r="L43" i="19" s="1"/>
  <c r="K51" i="4"/>
  <c r="K54" i="4" s="1"/>
  <c r="AD21" i="30"/>
  <c r="AD11" i="25"/>
  <c r="AD36" i="4"/>
  <c r="AC38" i="6"/>
  <c r="AC29" i="6"/>
  <c r="AE24" i="4"/>
  <c r="AE30" i="4" s="1"/>
  <c r="AE32" i="4" s="1"/>
  <c r="AG50" i="7"/>
  <c r="G28" i="6"/>
  <c r="J16" i="8"/>
  <c r="J24" i="8"/>
  <c r="J28" i="8"/>
  <c r="L38" i="4"/>
  <c r="L19" i="30"/>
  <c r="J18" i="25"/>
  <c r="J21" i="25" s="1"/>
  <c r="K32" i="19"/>
  <c r="J21" i="8" l="1"/>
  <c r="J19" i="8"/>
  <c r="J57" i="25"/>
  <c r="J59" i="25" s="1"/>
  <c r="J50" i="25"/>
  <c r="J52" i="25" s="1"/>
  <c r="J37" i="25"/>
  <c r="J38" i="25" s="1"/>
  <c r="J43" i="25"/>
  <c r="J45" i="25" s="1"/>
  <c r="J27" i="25"/>
  <c r="J28" i="25" s="1"/>
  <c r="J29" i="25" s="1"/>
  <c r="K25" i="25" s="1"/>
  <c r="L52" i="4"/>
  <c r="L16" i="25"/>
  <c r="L22" i="30"/>
  <c r="M16" i="30"/>
  <c r="L12" i="25"/>
  <c r="L13" i="25" s="1"/>
  <c r="L40" i="4"/>
  <c r="AH50" i="7"/>
  <c r="AG24" i="4" s="1"/>
  <c r="AG30" i="4" s="1"/>
  <c r="AG32" i="4" s="1"/>
  <c r="AF24" i="4"/>
  <c r="AF30" i="4" s="1"/>
  <c r="AF32" i="4" s="1"/>
  <c r="J30" i="8"/>
  <c r="AE36" i="4"/>
  <c r="AE11" i="25"/>
  <c r="AE21" i="30"/>
  <c r="AD29" i="6"/>
  <c r="AD38" i="6"/>
  <c r="K37" i="19"/>
  <c r="K45" i="19" s="1"/>
  <c r="K47" i="19" s="1"/>
  <c r="G33" i="6"/>
  <c r="G30" i="6"/>
  <c r="G26" i="6"/>
  <c r="J29" i="8"/>
  <c r="AC11" i="6"/>
  <c r="AC13" i="6" s="1"/>
  <c r="I39" i="8"/>
  <c r="J35" i="8" s="1"/>
  <c r="AG36" i="4" l="1"/>
  <c r="AG40" i="4" s="1"/>
  <c r="AG11" i="25"/>
  <c r="AF38" i="6"/>
  <c r="AF29" i="6"/>
  <c r="AF11" i="6" s="1"/>
  <c r="AF13" i="6" s="1"/>
  <c r="K20" i="8"/>
  <c r="G36" i="6"/>
  <c r="K26" i="25"/>
  <c r="M18" i="30"/>
  <c r="J33" i="8"/>
  <c r="J41" i="8"/>
  <c r="K15" i="25" s="1"/>
  <c r="AD11" i="6"/>
  <c r="AD13" i="6" s="1"/>
  <c r="K10" i="8"/>
  <c r="K13" i="8" s="1"/>
  <c r="L42" i="4"/>
  <c r="AE38" i="6"/>
  <c r="AF36" i="4"/>
  <c r="AG44" i="25"/>
  <c r="AF21" i="30"/>
  <c r="AF11" i="25"/>
  <c r="AE29" i="6"/>
  <c r="J22" i="8"/>
  <c r="K18" i="8" s="1"/>
  <c r="K28" i="8" l="1"/>
  <c r="K16" i="8"/>
  <c r="K24" i="8"/>
  <c r="J38" i="8"/>
  <c r="J36" i="8"/>
  <c r="AE11" i="6"/>
  <c r="AE13" i="6" s="1"/>
  <c r="L43" i="4"/>
  <c r="L45" i="4" s="1"/>
  <c r="M38" i="4"/>
  <c r="M19" i="30"/>
  <c r="K18" i="25"/>
  <c r="K21" i="25" s="1"/>
  <c r="L32" i="19"/>
  <c r="G49" i="6"/>
  <c r="G37" i="6"/>
  <c r="AG42" i="4"/>
  <c r="AG43" i="4"/>
  <c r="AG45" i="4"/>
  <c r="AF10" i="8"/>
  <c r="AF13" i="8" s="1"/>
  <c r="M42" i="19" l="1"/>
  <c r="M43" i="19" s="1"/>
  <c r="L51" i="4"/>
  <c r="L54" i="4" s="1"/>
  <c r="K27" i="25"/>
  <c r="K28" i="25" s="1"/>
  <c r="K29" i="25" s="1"/>
  <c r="L25" i="25" s="1"/>
  <c r="K37" i="25"/>
  <c r="K38" i="25" s="1"/>
  <c r="K50" i="25"/>
  <c r="K52" i="25" s="1"/>
  <c r="K57" i="25"/>
  <c r="K59" i="25" s="1"/>
  <c r="K43" i="25"/>
  <c r="K45" i="25" s="1"/>
  <c r="L37" i="19"/>
  <c r="L45" i="19" s="1"/>
  <c r="L47" i="19" s="1"/>
  <c r="M16" i="25"/>
  <c r="M52" i="4"/>
  <c r="M22" i="30"/>
  <c r="N16" i="30"/>
  <c r="K29" i="8"/>
  <c r="K30" i="8" s="1"/>
  <c r="G42" i="6"/>
  <c r="G39" i="6"/>
  <c r="G35" i="6"/>
  <c r="M12" i="25"/>
  <c r="M13" i="25" s="1"/>
  <c r="M40" i="4"/>
  <c r="K21" i="8"/>
  <c r="K19" i="8"/>
  <c r="AF16" i="8"/>
  <c r="AF28" i="8"/>
  <c r="AH42" i="19"/>
  <c r="AH43" i="19" s="1"/>
  <c r="AG51" i="4"/>
  <c r="AG54" i="4" s="1"/>
  <c r="J39" i="8"/>
  <c r="K35" i="8" s="1"/>
  <c r="K41" i="8" l="1"/>
  <c r="L15" i="25" s="1"/>
  <c r="K33" i="8"/>
  <c r="K22" i="8"/>
  <c r="L18" i="8" s="1"/>
  <c r="M42" i="4"/>
  <c r="M43" i="4"/>
  <c r="L10" i="8"/>
  <c r="L13" i="8" s="1"/>
  <c r="M45" i="4"/>
  <c r="L26" i="25"/>
  <c r="G45" i="6"/>
  <c r="H24" i="6" s="1"/>
  <c r="G44" i="6"/>
  <c r="G57" i="6" s="1"/>
  <c r="AF19" i="8"/>
  <c r="L20" i="8"/>
  <c r="G56" i="6"/>
  <c r="G58" i="6" s="1"/>
  <c r="G48" i="6"/>
  <c r="G50" i="6" s="1"/>
  <c r="G52" i="6" s="1"/>
  <c r="N18" i="30"/>
  <c r="N42" i="19" l="1"/>
  <c r="N43" i="19" s="1"/>
  <c r="M51" i="4"/>
  <c r="M54" i="4" s="1"/>
  <c r="H27" i="6"/>
  <c r="H28" i="6"/>
  <c r="L16" i="8"/>
  <c r="L24" i="8"/>
  <c r="L28" i="8"/>
  <c r="N38" i="4"/>
  <c r="N19" i="30"/>
  <c r="K38" i="8"/>
  <c r="K36" i="8"/>
  <c r="L18" i="25"/>
  <c r="L21" i="25" s="1"/>
  <c r="M32" i="19"/>
  <c r="M37" i="19" l="1"/>
  <c r="M45" i="19" s="1"/>
  <c r="M47" i="19" s="1"/>
  <c r="L19" i="8"/>
  <c r="L21" i="8"/>
  <c r="H33" i="6"/>
  <c r="H30" i="6"/>
  <c r="H26" i="6"/>
  <c r="N16" i="25"/>
  <c r="N52" i="4"/>
  <c r="N22" i="30"/>
  <c r="O16" i="30"/>
  <c r="L57" i="25"/>
  <c r="L59" i="25" s="1"/>
  <c r="L37" i="25"/>
  <c r="L38" i="25" s="1"/>
  <c r="L27" i="25"/>
  <c r="L28" i="25" s="1"/>
  <c r="L29" i="25" s="1"/>
  <c r="M25" i="25" s="1"/>
  <c r="L43" i="25"/>
  <c r="L45" i="25" s="1"/>
  <c r="L50" i="25"/>
  <c r="L52" i="25" s="1"/>
  <c r="L29" i="8"/>
  <c r="L30" i="8" s="1"/>
  <c r="K39" i="8"/>
  <c r="L35" i="8" s="1"/>
  <c r="N12" i="25"/>
  <c r="N13" i="25" s="1"/>
  <c r="N40" i="4"/>
  <c r="L33" i="8" l="1"/>
  <c r="L41" i="8"/>
  <c r="M15" i="25" s="1"/>
  <c r="N42" i="4"/>
  <c r="N45" i="4" s="1"/>
  <c r="N43" i="4"/>
  <c r="M10" i="8"/>
  <c r="M13" i="8" s="1"/>
  <c r="H36" i="6"/>
  <c r="M20" i="8"/>
  <c r="M26" i="25"/>
  <c r="L22" i="8"/>
  <c r="M18" i="8" s="1"/>
  <c r="O18" i="30"/>
  <c r="O42" i="19" l="1"/>
  <c r="O43" i="19" s="1"/>
  <c r="N51" i="4"/>
  <c r="N54" i="4" s="1"/>
  <c r="O38" i="4"/>
  <c r="O19" i="30"/>
  <c r="M28" i="8"/>
  <c r="M16" i="8"/>
  <c r="M24" i="8"/>
  <c r="H49" i="6"/>
  <c r="M18" i="25"/>
  <c r="M21" i="25" s="1"/>
  <c r="N32" i="19"/>
  <c r="H37" i="6"/>
  <c r="L38" i="8"/>
  <c r="L36" i="8"/>
  <c r="L39" i="8" l="1"/>
  <c r="M35" i="8" s="1"/>
  <c r="M21" i="8"/>
  <c r="M19" i="8"/>
  <c r="H42" i="6"/>
  <c r="H35" i="6"/>
  <c r="M30" i="8"/>
  <c r="N37" i="19"/>
  <c r="N45" i="19" s="1"/>
  <c r="N47" i="19" s="1"/>
  <c r="O16" i="25"/>
  <c r="O52" i="4"/>
  <c r="O22" i="30"/>
  <c r="P16" i="30"/>
  <c r="M43" i="25"/>
  <c r="M45" i="25" s="1"/>
  <c r="M27" i="25"/>
  <c r="M28" i="25" s="1"/>
  <c r="M29" i="25" s="1"/>
  <c r="N25" i="25" s="1"/>
  <c r="M37" i="25"/>
  <c r="M38" i="25" s="1"/>
  <c r="M50" i="25"/>
  <c r="M52" i="25" s="1"/>
  <c r="M57" i="25"/>
  <c r="M59" i="25" s="1"/>
  <c r="O12" i="25"/>
  <c r="O13" i="25" s="1"/>
  <c r="O40" i="4"/>
  <c r="M29" i="8"/>
  <c r="M33" i="8" l="1"/>
  <c r="M41" i="8"/>
  <c r="N15" i="25" s="1"/>
  <c r="H48" i="6"/>
  <c r="H50" i="6" s="1"/>
  <c r="H52" i="6" s="1"/>
  <c r="H56" i="6"/>
  <c r="P18" i="30"/>
  <c r="H39" i="6"/>
  <c r="N26" i="25"/>
  <c r="N20" i="8"/>
  <c r="O42" i="4"/>
  <c r="O43" i="4" s="1"/>
  <c r="O45" i="4" s="1"/>
  <c r="N10" i="8"/>
  <c r="N13" i="8" s="1"/>
  <c r="H44" i="6"/>
  <c r="H57" i="6" s="1"/>
  <c r="H45" i="6"/>
  <c r="I24" i="6" s="1"/>
  <c r="M22" i="8"/>
  <c r="N18" i="8" s="1"/>
  <c r="P42" i="19" l="1"/>
  <c r="P43" i="19" s="1"/>
  <c r="O51" i="4"/>
  <c r="O54" i="4" s="1"/>
  <c r="I27" i="6"/>
  <c r="H58" i="6"/>
  <c r="P38" i="4"/>
  <c r="P19" i="30"/>
  <c r="N16" i="8"/>
  <c r="N24" i="8"/>
  <c r="N28" i="8"/>
  <c r="N18" i="25"/>
  <c r="N21" i="25" s="1"/>
  <c r="O32" i="19"/>
  <c r="M36" i="8"/>
  <c r="M38" i="8"/>
  <c r="N57" i="25" l="1"/>
  <c r="N59" i="25" s="1"/>
  <c r="N27" i="25"/>
  <c r="N28" i="25" s="1"/>
  <c r="N29" i="25" s="1"/>
  <c r="O25" i="25" s="1"/>
  <c r="N37" i="25"/>
  <c r="N38" i="25" s="1"/>
  <c r="N50" i="25"/>
  <c r="N52" i="25" s="1"/>
  <c r="N43" i="25"/>
  <c r="N45" i="25" s="1"/>
  <c r="P12" i="25"/>
  <c r="P13" i="25" s="1"/>
  <c r="P40" i="4"/>
  <c r="M39" i="8"/>
  <c r="N35" i="8" s="1"/>
  <c r="O37" i="19"/>
  <c r="O45" i="19" s="1"/>
  <c r="O47" i="19" s="1"/>
  <c r="N29" i="8"/>
  <c r="N30" i="8" s="1"/>
  <c r="I28" i="6"/>
  <c r="N21" i="8"/>
  <c r="N19" i="8"/>
  <c r="P52" i="4"/>
  <c r="P16" i="25"/>
  <c r="P22" i="30"/>
  <c r="Q16" i="30"/>
  <c r="N41" i="8" l="1"/>
  <c r="O15" i="25" s="1"/>
  <c r="N33" i="8"/>
  <c r="N22" i="8"/>
  <c r="O18" i="8" s="1"/>
  <c r="O20" i="8"/>
  <c r="I33" i="6"/>
  <c r="I26" i="6"/>
  <c r="I30" i="6" s="1"/>
  <c r="P42" i="4"/>
  <c r="P43" i="4"/>
  <c r="O10" i="8"/>
  <c r="O13" i="8" s="1"/>
  <c r="P45" i="4"/>
  <c r="O26" i="25"/>
  <c r="Q18" i="30"/>
  <c r="Q38" i="4" l="1"/>
  <c r="Q19" i="30"/>
  <c r="Q42" i="19"/>
  <c r="Q43" i="19" s="1"/>
  <c r="P51" i="4"/>
  <c r="P54" i="4" s="1"/>
  <c r="I37" i="6"/>
  <c r="I35" i="6" s="1"/>
  <c r="I36" i="6"/>
  <c r="O16" i="8"/>
  <c r="O28" i="8"/>
  <c r="N36" i="8"/>
  <c r="N38" i="8"/>
  <c r="O18" i="25"/>
  <c r="O21" i="25" s="1"/>
  <c r="P32" i="19"/>
  <c r="I56" i="6" l="1"/>
  <c r="I48" i="6"/>
  <c r="I50" i="6" s="1"/>
  <c r="I52" i="6" s="1"/>
  <c r="O50" i="25"/>
  <c r="O52" i="25" s="1"/>
  <c r="O43" i="25"/>
  <c r="O45" i="25" s="1"/>
  <c r="O37" i="25"/>
  <c r="O38" i="25" s="1"/>
  <c r="O57" i="25"/>
  <c r="O59" i="25" s="1"/>
  <c r="O27" i="25"/>
  <c r="O28" i="25" s="1"/>
  <c r="O29" i="25" s="1"/>
  <c r="P25" i="25" s="1"/>
  <c r="P37" i="19"/>
  <c r="P45" i="19" s="1"/>
  <c r="P47" i="19" s="1"/>
  <c r="I39" i="6"/>
  <c r="I42" i="6"/>
  <c r="N39" i="8"/>
  <c r="O35" i="8" s="1"/>
  <c r="O19" i="8"/>
  <c r="O21" i="8"/>
  <c r="Q52" i="4"/>
  <c r="Q16" i="25"/>
  <c r="Q22" i="30"/>
  <c r="R16" i="30"/>
  <c r="I49" i="6"/>
  <c r="Q12" i="25"/>
  <c r="Q13" i="25" s="1"/>
  <c r="Q40" i="4"/>
  <c r="P20" i="8" l="1"/>
  <c r="O24" i="8"/>
  <c r="P26" i="25"/>
  <c r="Q42" i="4"/>
  <c r="Q43" i="4"/>
  <c r="Q45" i="4"/>
  <c r="P10" i="8"/>
  <c r="P13" i="8" s="1"/>
  <c r="O22" i="8"/>
  <c r="P18" i="8" s="1"/>
  <c r="R18" i="30"/>
  <c r="I44" i="6"/>
  <c r="I57" i="6" s="1"/>
  <c r="I45" i="6"/>
  <c r="J24" i="6" s="1"/>
  <c r="I58" i="6"/>
  <c r="P16" i="8" l="1"/>
  <c r="P28" i="8"/>
  <c r="R42" i="19"/>
  <c r="R43" i="19" s="1"/>
  <c r="Q51" i="4"/>
  <c r="Q54" i="4" s="1"/>
  <c r="O29" i="8"/>
  <c r="O30" i="8" s="1"/>
  <c r="J27" i="6"/>
  <c r="R38" i="4"/>
  <c r="R19" i="30"/>
  <c r="O33" i="8" l="1"/>
  <c r="R16" i="25"/>
  <c r="R52" i="4"/>
  <c r="R22" i="30"/>
  <c r="S16" i="30"/>
  <c r="R12" i="25"/>
  <c r="R13" i="25" s="1"/>
  <c r="R40" i="4"/>
  <c r="J28" i="6"/>
  <c r="P19" i="8"/>
  <c r="P21" i="8"/>
  <c r="Q20" i="8" l="1"/>
  <c r="P24" i="8"/>
  <c r="J30" i="6"/>
  <c r="J33" i="6"/>
  <c r="J26" i="6"/>
  <c r="S18" i="30"/>
  <c r="P22" i="8"/>
  <c r="Q18" i="8" s="1"/>
  <c r="R42" i="4"/>
  <c r="Q10" i="8"/>
  <c r="Q13" i="8" s="1"/>
  <c r="O36" i="8"/>
  <c r="O38" i="8"/>
  <c r="J36" i="6" l="1"/>
  <c r="J37" i="6"/>
  <c r="R43" i="4"/>
  <c r="R45" i="4" s="1"/>
  <c r="P29" i="8"/>
  <c r="P30" i="8" s="1"/>
  <c r="O41" i="8"/>
  <c r="P15" i="25" s="1"/>
  <c r="O39" i="8"/>
  <c r="P35" i="8" s="1"/>
  <c r="S38" i="4"/>
  <c r="S19" i="30"/>
  <c r="Q28" i="8"/>
  <c r="Q16" i="8"/>
  <c r="S42" i="19" l="1"/>
  <c r="S43" i="19" s="1"/>
  <c r="R51" i="4"/>
  <c r="R54" i="4" s="1"/>
  <c r="P18" i="25"/>
  <c r="P21" i="25" s="1"/>
  <c r="Q32" i="19"/>
  <c r="Q19" i="8"/>
  <c r="Q21" i="8"/>
  <c r="P33" i="8"/>
  <c r="J39" i="6"/>
  <c r="J42" i="6"/>
  <c r="J49" i="6"/>
  <c r="S52" i="4"/>
  <c r="S16" i="25"/>
  <c r="S22" i="30"/>
  <c r="T16" i="30"/>
  <c r="J35" i="6"/>
  <c r="S12" i="25"/>
  <c r="S13" i="25" s="1"/>
  <c r="S40" i="4"/>
  <c r="P38" i="8" l="1"/>
  <c r="P36" i="8"/>
  <c r="R20" i="8"/>
  <c r="Q24" i="8"/>
  <c r="Q37" i="19"/>
  <c r="Q45" i="19" s="1"/>
  <c r="Q47" i="19" s="1"/>
  <c r="J56" i="6"/>
  <c r="J48" i="6"/>
  <c r="J50" i="6" s="1"/>
  <c r="J52" i="6" s="1"/>
  <c r="P43" i="25"/>
  <c r="P45" i="25" s="1"/>
  <c r="P27" i="25"/>
  <c r="P28" i="25" s="1"/>
  <c r="P29" i="25" s="1"/>
  <c r="Q25" i="25" s="1"/>
  <c r="P50" i="25"/>
  <c r="P52" i="25" s="1"/>
  <c r="P37" i="25"/>
  <c r="P38" i="25" s="1"/>
  <c r="P57" i="25"/>
  <c r="P59" i="25" s="1"/>
  <c r="S42" i="4"/>
  <c r="S43" i="4" s="1"/>
  <c r="S45" i="4" s="1"/>
  <c r="R10" i="8"/>
  <c r="R13" i="8" s="1"/>
  <c r="Q22" i="8"/>
  <c r="R18" i="8" s="1"/>
  <c r="T18" i="30"/>
  <c r="J45" i="6"/>
  <c r="K24" i="6" s="1"/>
  <c r="J44" i="6"/>
  <c r="J57" i="6" s="1"/>
  <c r="T42" i="19" l="1"/>
  <c r="T43" i="19" s="1"/>
  <c r="S51" i="4"/>
  <c r="S54" i="4" s="1"/>
  <c r="Q29" i="8"/>
  <c r="Q30" i="8" s="1"/>
  <c r="Q26" i="25"/>
  <c r="K27" i="6"/>
  <c r="J58" i="6"/>
  <c r="T38" i="4"/>
  <c r="T19" i="30"/>
  <c r="P39" i="8"/>
  <c r="Q35" i="8" s="1"/>
  <c r="R16" i="8"/>
  <c r="R28" i="8"/>
  <c r="Q37" i="8"/>
  <c r="P41" i="8"/>
  <c r="Q15" i="25" s="1"/>
  <c r="R21" i="8" l="1"/>
  <c r="R19" i="8"/>
  <c r="Q18" i="25"/>
  <c r="Q21" i="25" s="1"/>
  <c r="R32" i="19"/>
  <c r="T52" i="4"/>
  <c r="T16" i="25"/>
  <c r="T22" i="30"/>
  <c r="U16" i="30"/>
  <c r="T12" i="25"/>
  <c r="T13" i="25" s="1"/>
  <c r="T40" i="4"/>
  <c r="Q33" i="8"/>
  <c r="K28" i="6"/>
  <c r="U18" i="30" l="1"/>
  <c r="K33" i="6"/>
  <c r="K26" i="6"/>
  <c r="K30" i="6" s="1"/>
  <c r="R37" i="19"/>
  <c r="R45" i="19" s="1"/>
  <c r="R47" i="19" s="1"/>
  <c r="Q36" i="8"/>
  <c r="Q38" i="8"/>
  <c r="Q27" i="25"/>
  <c r="Q28" i="25" s="1"/>
  <c r="Q29" i="25" s="1"/>
  <c r="R25" i="25" s="1"/>
  <c r="Q37" i="25"/>
  <c r="Q38" i="25" s="1"/>
  <c r="Q50" i="25"/>
  <c r="Q52" i="25" s="1"/>
  <c r="Q43" i="25"/>
  <c r="Q45" i="25" s="1"/>
  <c r="Q57" i="25"/>
  <c r="Q59" i="25" s="1"/>
  <c r="S10" i="8"/>
  <c r="S13" i="8" s="1"/>
  <c r="T43" i="4"/>
  <c r="T45" i="4" s="1"/>
  <c r="T42" i="4"/>
  <c r="R22" i="8"/>
  <c r="S18" i="8" s="1"/>
  <c r="S20" i="8"/>
  <c r="R24" i="8"/>
  <c r="U42" i="19" l="1"/>
  <c r="U43" i="19" s="1"/>
  <c r="T51" i="4"/>
  <c r="T54" i="4" s="1"/>
  <c r="R37" i="8"/>
  <c r="Q41" i="8"/>
  <c r="R15" i="25" s="1"/>
  <c r="S16" i="8"/>
  <c r="S28" i="8"/>
  <c r="K36" i="6"/>
  <c r="R29" i="8"/>
  <c r="R30" i="8" s="1"/>
  <c r="Q39" i="8"/>
  <c r="R35" i="8" s="1"/>
  <c r="R26" i="25"/>
  <c r="U38" i="4"/>
  <c r="U19" i="30"/>
  <c r="U12" i="25" l="1"/>
  <c r="U13" i="25" s="1"/>
  <c r="U40" i="4"/>
  <c r="K49" i="6"/>
  <c r="U16" i="25"/>
  <c r="U52" i="4"/>
  <c r="U22" i="30"/>
  <c r="V16" i="30"/>
  <c r="K37" i="6"/>
  <c r="R18" i="25"/>
  <c r="R21" i="25" s="1"/>
  <c r="S32" i="19"/>
  <c r="R33" i="8"/>
  <c r="S19" i="8"/>
  <c r="S21" i="8"/>
  <c r="R38" i="8" l="1"/>
  <c r="R36" i="8"/>
  <c r="R39" i="8" s="1"/>
  <c r="S35" i="8" s="1"/>
  <c r="S22" i="8"/>
  <c r="V18" i="30"/>
  <c r="S37" i="19"/>
  <c r="S45" i="19" s="1"/>
  <c r="S47" i="19" s="1"/>
  <c r="R57" i="25"/>
  <c r="R59" i="25" s="1"/>
  <c r="R50" i="25"/>
  <c r="R52" i="25" s="1"/>
  <c r="R37" i="25"/>
  <c r="R38" i="25" s="1"/>
  <c r="R27" i="25"/>
  <c r="R28" i="25" s="1"/>
  <c r="R29" i="25" s="1"/>
  <c r="S25" i="25" s="1"/>
  <c r="R43" i="25"/>
  <c r="R45" i="25" s="1"/>
  <c r="U42" i="4"/>
  <c r="U43" i="4"/>
  <c r="U45" i="4"/>
  <c r="T10" i="8"/>
  <c r="T13" i="8" s="1"/>
  <c r="T20" i="8"/>
  <c r="S24" i="8"/>
  <c r="K42" i="6"/>
  <c r="K35" i="6"/>
  <c r="V42" i="19" l="1"/>
  <c r="V43" i="19" s="1"/>
  <c r="U51" i="4"/>
  <c r="U54" i="4" s="1"/>
  <c r="S29" i="8"/>
  <c r="S30" i="8" s="1"/>
  <c r="V38" i="4"/>
  <c r="V19" i="30"/>
  <c r="S26" i="25"/>
  <c r="K45" i="6"/>
  <c r="L24" i="6" s="1"/>
  <c r="K44" i="6"/>
  <c r="K57" i="6" s="1"/>
  <c r="K48" i="6"/>
  <c r="K50" i="6" s="1"/>
  <c r="K52" i="6" s="1"/>
  <c r="K56" i="6"/>
  <c r="K58" i="6" s="1"/>
  <c r="K39" i="6"/>
  <c r="T16" i="8"/>
  <c r="T28" i="8"/>
  <c r="S37" i="8"/>
  <c r="R41" i="8"/>
  <c r="S15" i="25" s="1"/>
  <c r="V52" i="4" l="1"/>
  <c r="V16" i="25"/>
  <c r="V22" i="30"/>
  <c r="W16" i="30"/>
  <c r="S18" i="25"/>
  <c r="S21" i="25" s="1"/>
  <c r="T32" i="19"/>
  <c r="T19" i="8"/>
  <c r="T21" i="8"/>
  <c r="V12" i="25"/>
  <c r="V13" i="25" s="1"/>
  <c r="V40" i="4"/>
  <c r="S33" i="8"/>
  <c r="L27" i="6"/>
  <c r="T37" i="19" l="1"/>
  <c r="T45" i="19" s="1"/>
  <c r="T47" i="19" s="1"/>
  <c r="S27" i="25"/>
  <c r="S28" i="25" s="1"/>
  <c r="S29" i="25" s="1"/>
  <c r="T25" i="25" s="1"/>
  <c r="S37" i="25"/>
  <c r="S38" i="25" s="1"/>
  <c r="S50" i="25"/>
  <c r="S52" i="25" s="1"/>
  <c r="S43" i="25"/>
  <c r="S45" i="25" s="1"/>
  <c r="S57" i="25"/>
  <c r="S59" i="25" s="1"/>
  <c r="W18" i="30"/>
  <c r="S36" i="8"/>
  <c r="S38" i="8"/>
  <c r="T22" i="8"/>
  <c r="U18" i="8" s="1"/>
  <c r="U20" i="8"/>
  <c r="T24" i="8"/>
  <c r="L28" i="6"/>
  <c r="U10" i="8"/>
  <c r="U13" i="8" s="1"/>
  <c r="V43" i="4"/>
  <c r="V42" i="4"/>
  <c r="V45" i="4" s="1"/>
  <c r="W42" i="19" l="1"/>
  <c r="W43" i="19" s="1"/>
  <c r="V51" i="4"/>
  <c r="V54" i="4" s="1"/>
  <c r="U28" i="8"/>
  <c r="U16" i="8"/>
  <c r="T29" i="8"/>
  <c r="T30" i="8" s="1"/>
  <c r="T37" i="8"/>
  <c r="S41" i="8"/>
  <c r="T15" i="25" s="1"/>
  <c r="T26" i="25"/>
  <c r="S39" i="8"/>
  <c r="L33" i="6"/>
  <c r="L30" i="6"/>
  <c r="L26" i="6"/>
  <c r="W38" i="4"/>
  <c r="W19" i="30"/>
  <c r="T33" i="8" l="1"/>
  <c r="U19" i="8"/>
  <c r="U21" i="8"/>
  <c r="W52" i="4"/>
  <c r="W16" i="25"/>
  <c r="W22" i="30"/>
  <c r="X16" i="30"/>
  <c r="W12" i="25"/>
  <c r="W13" i="25" s="1"/>
  <c r="W40" i="4"/>
  <c r="T18" i="25"/>
  <c r="T21" i="25" s="1"/>
  <c r="U32" i="19"/>
  <c r="L36" i="6"/>
  <c r="X18" i="30" l="1"/>
  <c r="U37" i="19"/>
  <c r="U45" i="19" s="1"/>
  <c r="U47" i="19" s="1"/>
  <c r="L49" i="6"/>
  <c r="L37" i="6"/>
  <c r="T57" i="25"/>
  <c r="T59" i="25" s="1"/>
  <c r="T37" i="25"/>
  <c r="T38" i="25" s="1"/>
  <c r="T27" i="25"/>
  <c r="T28" i="25" s="1"/>
  <c r="T29" i="25" s="1"/>
  <c r="U25" i="25" s="1"/>
  <c r="T43" i="25"/>
  <c r="T45" i="25" s="1"/>
  <c r="T50" i="25"/>
  <c r="T52" i="25" s="1"/>
  <c r="V20" i="8"/>
  <c r="U24" i="8"/>
  <c r="U22" i="8"/>
  <c r="V18" i="8" s="1"/>
  <c r="W42" i="4"/>
  <c r="V10" i="8"/>
  <c r="V13" i="8" s="1"/>
  <c r="W43" i="4"/>
  <c r="W45" i="4" s="1"/>
  <c r="T38" i="8"/>
  <c r="T36" i="8"/>
  <c r="T39" i="8" s="1"/>
  <c r="U35" i="8" s="1"/>
  <c r="X42" i="19" l="1"/>
  <c r="X43" i="19" s="1"/>
  <c r="W51" i="4"/>
  <c r="W54" i="4" s="1"/>
  <c r="L42" i="6"/>
  <c r="L35" i="6"/>
  <c r="L39" i="6" s="1"/>
  <c r="V16" i="8"/>
  <c r="V28" i="8"/>
  <c r="U37" i="8"/>
  <c r="T41" i="8"/>
  <c r="U15" i="25" s="1"/>
  <c r="U29" i="8"/>
  <c r="U30" i="8" s="1"/>
  <c r="U26" i="25"/>
  <c r="X38" i="4"/>
  <c r="X40" i="4" s="1"/>
  <c r="X19" i="30"/>
  <c r="V21" i="8" l="1"/>
  <c r="V19" i="8"/>
  <c r="X42" i="4"/>
  <c r="X43" i="4" s="1"/>
  <c r="X45" i="4" s="1"/>
  <c r="W10" i="8"/>
  <c r="W13" i="8" s="1"/>
  <c r="U33" i="8"/>
  <c r="U18" i="25"/>
  <c r="U21" i="25" s="1"/>
  <c r="V32" i="19"/>
  <c r="L44" i="6"/>
  <c r="L57" i="6" s="1"/>
  <c r="L45" i="6"/>
  <c r="M24" i="6" s="1"/>
  <c r="L48" i="6"/>
  <c r="L50" i="6" s="1"/>
  <c r="L52" i="6" s="1"/>
  <c r="L56" i="6"/>
  <c r="L58" i="6" s="1"/>
  <c r="X52" i="4"/>
  <c r="X22" i="30"/>
  <c r="Y16" i="30"/>
  <c r="Y42" i="19" l="1"/>
  <c r="Y43" i="19" s="1"/>
  <c r="X51" i="4"/>
  <c r="X54" i="4" s="1"/>
  <c r="W28" i="8"/>
  <c r="W16" i="8"/>
  <c r="M27" i="6"/>
  <c r="M28" i="6"/>
  <c r="M26" i="6" s="1"/>
  <c r="V37" i="19"/>
  <c r="V45" i="19" s="1"/>
  <c r="V47" i="19" s="1"/>
  <c r="V22" i="8"/>
  <c r="W18" i="8" s="1"/>
  <c r="Y18" i="30"/>
  <c r="U43" i="25"/>
  <c r="U45" i="25" s="1"/>
  <c r="U27" i="25"/>
  <c r="U28" i="25" s="1"/>
  <c r="U29" i="25" s="1"/>
  <c r="V25" i="25" s="1"/>
  <c r="U37" i="25"/>
  <c r="U38" i="25" s="1"/>
  <c r="U57" i="25"/>
  <c r="U59" i="25" s="1"/>
  <c r="U50" i="25"/>
  <c r="U52" i="25" s="1"/>
  <c r="W20" i="8"/>
  <c r="V24" i="8"/>
  <c r="U36" i="8"/>
  <c r="U39" i="8" s="1"/>
  <c r="V35" i="8" s="1"/>
  <c r="U38" i="8"/>
  <c r="W21" i="8" l="1"/>
  <c r="W19" i="8"/>
  <c r="V37" i="8"/>
  <c r="U41" i="8"/>
  <c r="V15" i="25" s="1"/>
  <c r="M30" i="6"/>
  <c r="M33" i="6"/>
  <c r="V26" i="25"/>
  <c r="Y38" i="4"/>
  <c r="Y40" i="4" s="1"/>
  <c r="Y19" i="30"/>
  <c r="V29" i="8"/>
  <c r="V30" i="8" s="1"/>
  <c r="Y42" i="4" l="1"/>
  <c r="Y43" i="4" s="1"/>
  <c r="X10" i="8"/>
  <c r="X13" i="8" s="1"/>
  <c r="V18" i="25"/>
  <c r="V21" i="25" s="1"/>
  <c r="W32" i="19"/>
  <c r="Y52" i="4"/>
  <c r="Y22" i="30"/>
  <c r="Z16" i="30"/>
  <c r="X20" i="8"/>
  <c r="W24" i="8"/>
  <c r="M36" i="6"/>
  <c r="M37" i="6" s="1"/>
  <c r="W22" i="8"/>
  <c r="X18" i="8" s="1"/>
  <c r="V33" i="8"/>
  <c r="M42" i="6" l="1"/>
  <c r="M39" i="6"/>
  <c r="M35" i="6"/>
  <c r="W37" i="19"/>
  <c r="W45" i="19" s="1"/>
  <c r="W47" i="19" s="1"/>
  <c r="Z18" i="30"/>
  <c r="V57" i="25"/>
  <c r="V59" i="25" s="1"/>
  <c r="V50" i="25"/>
  <c r="V52" i="25" s="1"/>
  <c r="V43" i="25"/>
  <c r="V45" i="25" s="1"/>
  <c r="V37" i="25"/>
  <c r="V38" i="25" s="1"/>
  <c r="V27" i="25"/>
  <c r="V28" i="25" s="1"/>
  <c r="V29" i="25" s="1"/>
  <c r="W25" i="25" s="1"/>
  <c r="W29" i="8"/>
  <c r="W30" i="8" s="1"/>
  <c r="X16" i="8"/>
  <c r="X28" i="8"/>
  <c r="Y45" i="4"/>
  <c r="V36" i="8"/>
  <c r="V38" i="8"/>
  <c r="M49" i="6"/>
  <c r="Z38" i="4" l="1"/>
  <c r="Z40" i="4" s="1"/>
  <c r="Z19" i="30"/>
  <c r="W33" i="8"/>
  <c r="X19" i="8"/>
  <c r="X21" i="8"/>
  <c r="W26" i="25"/>
  <c r="V39" i="8"/>
  <c r="W35" i="8" s="1"/>
  <c r="Z42" i="19"/>
  <c r="Z43" i="19" s="1"/>
  <c r="Y51" i="4"/>
  <c r="Y54" i="4" s="1"/>
  <c r="M48" i="6"/>
  <c r="M50" i="6" s="1"/>
  <c r="M52" i="6" s="1"/>
  <c r="M56" i="6"/>
  <c r="W37" i="8"/>
  <c r="V41" i="8"/>
  <c r="W15" i="25" s="1"/>
  <c r="M45" i="6"/>
  <c r="N24" i="6" s="1"/>
  <c r="M44" i="6"/>
  <c r="M57" i="6" s="1"/>
  <c r="Y20" i="8" l="1"/>
  <c r="X24" i="8"/>
  <c r="M58" i="6"/>
  <c r="X22" i="8"/>
  <c r="Y18" i="8" s="1"/>
  <c r="W18" i="25"/>
  <c r="W21" i="25" s="1"/>
  <c r="X32" i="19"/>
  <c r="W38" i="8"/>
  <c r="W36" i="8"/>
  <c r="Z52" i="4"/>
  <c r="Z22" i="30"/>
  <c r="AA16" i="30"/>
  <c r="N27" i="6"/>
  <c r="N28" i="6" s="1"/>
  <c r="W39" i="8"/>
  <c r="X35" i="8" s="1"/>
  <c r="Z43" i="4"/>
  <c r="Z45" i="4" s="1"/>
  <c r="Y10" i="8"/>
  <c r="Y13" i="8" s="1"/>
  <c r="Z42" i="4"/>
  <c r="AA42" i="19" l="1"/>
  <c r="AA43" i="19" s="1"/>
  <c r="Z51" i="4"/>
  <c r="Z54" i="4" s="1"/>
  <c r="N33" i="6"/>
  <c r="N26" i="6"/>
  <c r="N30" i="6" s="1"/>
  <c r="Y28" i="8"/>
  <c r="Y16" i="8"/>
  <c r="X29" i="8"/>
  <c r="X30" i="8" s="1"/>
  <c r="X37" i="8"/>
  <c r="W41" i="8"/>
  <c r="X15" i="25" s="1"/>
  <c r="Y32" i="19"/>
  <c r="X37" i="19"/>
  <c r="X45" i="19" s="1"/>
  <c r="X47" i="19" s="1"/>
  <c r="W50" i="25"/>
  <c r="W52" i="25" s="1"/>
  <c r="W43" i="25"/>
  <c r="W45" i="25" s="1"/>
  <c r="W37" i="25"/>
  <c r="W38" i="25" s="1"/>
  <c r="W57" i="25"/>
  <c r="W59" i="25" s="1"/>
  <c r="W27" i="25"/>
  <c r="W28" i="25" s="1"/>
  <c r="W29" i="25" s="1"/>
  <c r="X25" i="25" s="1"/>
  <c r="AA18" i="30"/>
  <c r="Y19" i="8" l="1"/>
  <c r="Y21" i="8"/>
  <c r="AA38" i="4"/>
  <c r="AA40" i="4" s="1"/>
  <c r="AA19" i="30"/>
  <c r="Y37" i="19"/>
  <c r="Y45" i="19" s="1"/>
  <c r="Y47" i="19" s="1"/>
  <c r="C40" i="25"/>
  <c r="D72" i="2" s="1"/>
  <c r="C39" i="25"/>
  <c r="N36" i="6"/>
  <c r="N37" i="6" s="1"/>
  <c r="X26" i="25"/>
  <c r="X33" i="8"/>
  <c r="N42" i="6" l="1"/>
  <c r="N35" i="6"/>
  <c r="X36" i="8"/>
  <c r="X38" i="8"/>
  <c r="AA52" i="4"/>
  <c r="AA22" i="30"/>
  <c r="AB16" i="30"/>
  <c r="AA42" i="4"/>
  <c r="AA45" i="4" s="1"/>
  <c r="AA43" i="4"/>
  <c r="Z10" i="8"/>
  <c r="Z13" i="8" s="1"/>
  <c r="N49" i="6"/>
  <c r="Z20" i="8"/>
  <c r="Y24" i="8"/>
  <c r="C72" i="2"/>
  <c r="B9" i="16"/>
  <c r="B12" i="16" s="1"/>
  <c r="Y22" i="8"/>
  <c r="Z18" i="8" s="1"/>
  <c r="AB42" i="19" l="1"/>
  <c r="AB43" i="19" s="1"/>
  <c r="AA51" i="4"/>
  <c r="AA54" i="4" s="1"/>
  <c r="AB18" i="30"/>
  <c r="Y37" i="8"/>
  <c r="X41" i="8"/>
  <c r="Y15" i="25" s="1"/>
  <c r="Z32" i="19" s="1"/>
  <c r="Y29" i="8"/>
  <c r="Y30" i="8" s="1"/>
  <c r="Z16" i="8"/>
  <c r="Z28" i="8"/>
  <c r="X39" i="8"/>
  <c r="Y35" i="8" s="1"/>
  <c r="N48" i="6"/>
  <c r="N50" i="6" s="1"/>
  <c r="N52" i="6" s="1"/>
  <c r="N56" i="6"/>
  <c r="N44" i="6"/>
  <c r="N57" i="6" s="1"/>
  <c r="N45" i="6"/>
  <c r="O24" i="6" s="1"/>
  <c r="N39" i="6"/>
  <c r="Z37" i="19" l="1"/>
  <c r="Z45" i="19" s="1"/>
  <c r="Z47" i="19" s="1"/>
  <c r="AB38" i="4"/>
  <c r="AB40" i="4" s="1"/>
  <c r="AB19" i="30"/>
  <c r="N58" i="6"/>
  <c r="Z21" i="8"/>
  <c r="Z19" i="8"/>
  <c r="O27" i="6"/>
  <c r="Y33" i="8"/>
  <c r="AB52" i="4" l="1"/>
  <c r="AB22" i="30"/>
  <c r="AC16" i="30"/>
  <c r="AA20" i="8"/>
  <c r="Z24" i="8"/>
  <c r="AA10" i="8"/>
  <c r="AA13" i="8" s="1"/>
  <c r="AB42" i="4"/>
  <c r="AB43" i="4"/>
  <c r="AB45" i="4" s="1"/>
  <c r="Y36" i="8"/>
  <c r="Y38" i="8"/>
  <c r="O28" i="6"/>
  <c r="Z22" i="8"/>
  <c r="AA18" i="8" s="1"/>
  <c r="AC42" i="19" l="1"/>
  <c r="AC43" i="19" s="1"/>
  <c r="AB51" i="4"/>
  <c r="AB54" i="4" s="1"/>
  <c r="O33" i="6"/>
  <c r="O26" i="6"/>
  <c r="O30" i="6" s="1"/>
  <c r="Z37" i="8"/>
  <c r="Y41" i="8"/>
  <c r="Z15" i="25" s="1"/>
  <c r="AA32" i="19" s="1"/>
  <c r="Y39" i="8"/>
  <c r="Z35" i="8" s="1"/>
  <c r="AC18" i="30"/>
  <c r="Z29" i="8"/>
  <c r="Z30" i="8" s="1"/>
  <c r="AA28" i="8"/>
  <c r="AA16" i="8"/>
  <c r="AA37" i="19" l="1"/>
  <c r="AA45" i="19" s="1"/>
  <c r="AA47" i="19" s="1"/>
  <c r="O36" i="6"/>
  <c r="Z33" i="8"/>
  <c r="AA19" i="8"/>
  <c r="AA21" i="8"/>
  <c r="AC38" i="4"/>
  <c r="AC40" i="4" s="1"/>
  <c r="AC19" i="30"/>
  <c r="Z38" i="8" l="1"/>
  <c r="Z36" i="8"/>
  <c r="Z39" i="8" s="1"/>
  <c r="AA35" i="8" s="1"/>
  <c r="AC52" i="4"/>
  <c r="AC22" i="30"/>
  <c r="AD16" i="30"/>
  <c r="O49" i="6"/>
  <c r="AA22" i="8"/>
  <c r="AB18" i="8" s="1"/>
  <c r="O37" i="6"/>
  <c r="AC42" i="4"/>
  <c r="AC43" i="4" s="1"/>
  <c r="AB10" i="8"/>
  <c r="AB13" i="8" s="1"/>
  <c r="AB20" i="8"/>
  <c r="AA24" i="8"/>
  <c r="AA29" i="8" l="1"/>
  <c r="AA30" i="8" s="1"/>
  <c r="AB16" i="8"/>
  <c r="AB28" i="8"/>
  <c r="AD18" i="30"/>
  <c r="AC45" i="4"/>
  <c r="O42" i="6"/>
  <c r="O35" i="6"/>
  <c r="AA37" i="8"/>
  <c r="Z41" i="8"/>
  <c r="AA15" i="25" s="1"/>
  <c r="AB32" i="19" s="1"/>
  <c r="O48" i="6" l="1"/>
  <c r="O50" i="6" s="1"/>
  <c r="O52" i="6" s="1"/>
  <c r="O56" i="6"/>
  <c r="AD38" i="4"/>
  <c r="AD40" i="4" s="1"/>
  <c r="AD19" i="30"/>
  <c r="O45" i="6"/>
  <c r="P24" i="6" s="1"/>
  <c r="O44" i="6"/>
  <c r="O57" i="6" s="1"/>
  <c r="O39" i="6"/>
  <c r="AB19" i="8"/>
  <c r="AB21" i="8"/>
  <c r="AB37" i="19"/>
  <c r="AB45" i="19" s="1"/>
  <c r="AB47" i="19" s="1"/>
  <c r="AA33" i="8"/>
  <c r="AD42" i="19"/>
  <c r="AD43" i="19" s="1"/>
  <c r="AC51" i="4"/>
  <c r="AC54" i="4" s="1"/>
  <c r="AA36" i="8" l="1"/>
  <c r="AA38" i="8"/>
  <c r="P27" i="6"/>
  <c r="P28" i="6"/>
  <c r="AD52" i="4"/>
  <c r="AD22" i="30"/>
  <c r="AE16" i="30"/>
  <c r="AC10" i="8"/>
  <c r="AC13" i="8" s="1"/>
  <c r="AD42" i="4"/>
  <c r="AD45" i="4" s="1"/>
  <c r="AD43" i="4"/>
  <c r="AC20" i="8"/>
  <c r="AB24" i="8"/>
  <c r="O58" i="6"/>
  <c r="AB22" i="8"/>
  <c r="AC18" i="8" s="1"/>
  <c r="AE42" i="19" l="1"/>
  <c r="AE43" i="19" s="1"/>
  <c r="AD51" i="4"/>
  <c r="AD54" i="4" s="1"/>
  <c r="AB29" i="8"/>
  <c r="AB30" i="8" s="1"/>
  <c r="P33" i="6"/>
  <c r="P26" i="6"/>
  <c r="P30" i="6" s="1"/>
  <c r="AC28" i="8"/>
  <c r="AC16" i="8"/>
  <c r="AB37" i="8"/>
  <c r="AA41" i="8"/>
  <c r="AB15" i="25" s="1"/>
  <c r="AC32" i="19" s="1"/>
  <c r="AE18" i="30"/>
  <c r="AA39" i="8"/>
  <c r="AB35" i="8" s="1"/>
  <c r="AC37" i="19" l="1"/>
  <c r="AC45" i="19" s="1"/>
  <c r="AC47" i="19" s="1"/>
  <c r="P36" i="6"/>
  <c r="P37" i="6"/>
  <c r="P35" i="6" s="1"/>
  <c r="AB33" i="8"/>
  <c r="AE38" i="4"/>
  <c r="AE40" i="4" s="1"/>
  <c r="AE19" i="30"/>
  <c r="AC21" i="8"/>
  <c r="AC19" i="8"/>
  <c r="P48" i="6" l="1"/>
  <c r="P56" i="6"/>
  <c r="AC22" i="8"/>
  <c r="AD18" i="8" s="1"/>
  <c r="AD20" i="8"/>
  <c r="AC24" i="8"/>
  <c r="P49" i="6"/>
  <c r="AE52" i="4"/>
  <c r="AE22" i="30"/>
  <c r="AF16" i="30"/>
  <c r="AF18" i="30" s="1"/>
  <c r="P39" i="6"/>
  <c r="P42" i="6"/>
  <c r="AE42" i="4"/>
  <c r="AE43" i="4" s="1"/>
  <c r="AE45" i="4" s="1"/>
  <c r="AD10" i="8"/>
  <c r="AD13" i="8" s="1"/>
  <c r="AB38" i="8"/>
  <c r="AB36" i="8"/>
  <c r="AB39" i="8" s="1"/>
  <c r="AC35" i="8" s="1"/>
  <c r="AF42" i="19" l="1"/>
  <c r="AF43" i="19" s="1"/>
  <c r="AE51" i="4"/>
  <c r="AE54" i="4" s="1"/>
  <c r="AD28" i="8"/>
  <c r="AD16" i="8"/>
  <c r="AC29" i="8"/>
  <c r="AC30" i="8" s="1"/>
  <c r="P44" i="6"/>
  <c r="P57" i="6" s="1"/>
  <c r="P58" i="6" s="1"/>
  <c r="P45" i="6"/>
  <c r="Q24" i="6" s="1"/>
  <c r="AF38" i="4"/>
  <c r="AF40" i="4" s="1"/>
  <c r="AF19" i="30"/>
  <c r="AC37" i="8"/>
  <c r="AB41" i="8"/>
  <c r="AC15" i="25" s="1"/>
  <c r="AD32" i="19" s="1"/>
  <c r="P50" i="6"/>
  <c r="P52" i="6" s="1"/>
  <c r="AC33" i="8" l="1"/>
  <c r="AF52" i="4"/>
  <c r="AF22" i="30"/>
  <c r="AD21" i="8"/>
  <c r="AD19" i="8"/>
  <c r="AE10" i="8"/>
  <c r="AE13" i="8" s="1"/>
  <c r="AF43" i="4"/>
  <c r="AF45" i="4" s="1"/>
  <c r="AF42" i="4"/>
  <c r="AD37" i="19"/>
  <c r="AD45" i="19" s="1"/>
  <c r="AD47" i="19" s="1"/>
  <c r="Q27" i="6"/>
  <c r="Q28" i="6" s="1"/>
  <c r="AG42" i="19" l="1"/>
  <c r="AG43" i="19" s="1"/>
  <c r="AF51" i="4"/>
  <c r="AF54" i="4" s="1"/>
  <c r="B56" i="4" s="1"/>
  <c r="Q33" i="6"/>
  <c r="Q26" i="6"/>
  <c r="Q30" i="6" s="1"/>
  <c r="AE16" i="8"/>
  <c r="AE28" i="8"/>
  <c r="AD22" i="8"/>
  <c r="AE18" i="8" s="1"/>
  <c r="AE20" i="8"/>
  <c r="AD24" i="8"/>
  <c r="AC36" i="8"/>
  <c r="AC39" i="8" s="1"/>
  <c r="AD35" i="8" s="1"/>
  <c r="AC38" i="8"/>
  <c r="AD37" i="8" l="1"/>
  <c r="AC41" i="8"/>
  <c r="AD15" i="25" s="1"/>
  <c r="AE32" i="19" s="1"/>
  <c r="AE21" i="8"/>
  <c r="AE19" i="8"/>
  <c r="Q36" i="6"/>
  <c r="Q37" i="6" s="1"/>
  <c r="AD29" i="8"/>
  <c r="AD30" i="8" s="1"/>
  <c r="AE22" i="8"/>
  <c r="AF18" i="8" s="1"/>
  <c r="Q42" i="6" l="1"/>
  <c r="Q35" i="6"/>
  <c r="AF21" i="8"/>
  <c r="AF24" i="8" s="1"/>
  <c r="AD33" i="8"/>
  <c r="AF20" i="8"/>
  <c r="AF22" i="8" s="1"/>
  <c r="AE24" i="8"/>
  <c r="AE37" i="19"/>
  <c r="AE45" i="19" s="1"/>
  <c r="AE47" i="19" s="1"/>
  <c r="Q49" i="6"/>
  <c r="AD36" i="8" l="1"/>
  <c r="AD38" i="8"/>
  <c r="AF29" i="8"/>
  <c r="AF30" i="8" s="1"/>
  <c r="Q48" i="6"/>
  <c r="Q50" i="6" s="1"/>
  <c r="Q52" i="6" s="1"/>
  <c r="Q56" i="6"/>
  <c r="Q44" i="6"/>
  <c r="Q57" i="6" s="1"/>
  <c r="Q45" i="6"/>
  <c r="R24" i="6" s="1"/>
  <c r="AE29" i="8"/>
  <c r="AE30" i="8" s="1"/>
  <c r="Q39" i="6"/>
  <c r="Q58" i="6" l="1"/>
  <c r="AF33" i="8"/>
  <c r="AE37" i="8"/>
  <c r="AD41" i="8"/>
  <c r="AE15" i="25" s="1"/>
  <c r="AF32" i="19" s="1"/>
  <c r="R27" i="6"/>
  <c r="AE33" i="8"/>
  <c r="AD39" i="8"/>
  <c r="AE35" i="8" s="1"/>
  <c r="R28" i="6" l="1"/>
  <c r="AF37" i="19"/>
  <c r="AF45" i="19" s="1"/>
  <c r="AF47" i="19" s="1"/>
  <c r="AF36" i="8"/>
  <c r="AE36" i="8"/>
  <c r="AE39" i="8" s="1"/>
  <c r="AF35" i="8" s="1"/>
  <c r="AE38" i="8"/>
  <c r="AF38" i="8" l="1"/>
  <c r="AF41" i="8" s="1"/>
  <c r="AG15" i="25" s="1"/>
  <c r="R33" i="6"/>
  <c r="R26" i="6"/>
  <c r="R30" i="6" s="1"/>
  <c r="AF37" i="8"/>
  <c r="AF39" i="8" s="1"/>
  <c r="AE41" i="8"/>
  <c r="AF15" i="25" s="1"/>
  <c r="AG32" i="19" s="1"/>
  <c r="AG37" i="19" l="1"/>
  <c r="AG45" i="19" s="1"/>
  <c r="AG47" i="19" s="1"/>
  <c r="AH32" i="19"/>
  <c r="AH37" i="19" s="1"/>
  <c r="AH45" i="19" s="1"/>
  <c r="AH47" i="19" s="1"/>
  <c r="R36" i="6"/>
  <c r="R37" i="6"/>
  <c r="R42" i="6" l="1"/>
  <c r="R39" i="6"/>
  <c r="R35" i="6"/>
  <c r="R49" i="6"/>
  <c r="R45" i="6" l="1"/>
  <c r="S24" i="6" s="1"/>
  <c r="R44" i="6"/>
  <c r="R57" i="6" s="1"/>
  <c r="R56" i="6"/>
  <c r="R48" i="6"/>
  <c r="R50" i="6" s="1"/>
  <c r="R52" i="6" s="1"/>
  <c r="S27" i="6" l="1"/>
  <c r="R58" i="6"/>
  <c r="S28" i="6" l="1"/>
  <c r="S30" i="6" l="1"/>
  <c r="S33" i="6"/>
  <c r="S26" i="6"/>
  <c r="S36" i="6" l="1"/>
  <c r="S37" i="6"/>
  <c r="S52" i="6"/>
  <c r="S35" i="6"/>
  <c r="S56" i="6" l="1"/>
  <c r="S48" i="6"/>
  <c r="S42" i="6"/>
  <c r="S39" i="6"/>
  <c r="S49" i="6"/>
  <c r="S44" i="6" l="1"/>
  <c r="S57" i="6" s="1"/>
  <c r="S58" i="6" s="1"/>
  <c r="S45" i="6"/>
  <c r="T24" i="6" s="1"/>
  <c r="S50" i="6"/>
  <c r="T27" i="6" l="1"/>
  <c r="T28" i="6" s="1"/>
  <c r="T33" i="6" l="1"/>
  <c r="T30" i="6"/>
  <c r="T26" i="6"/>
  <c r="T52" i="6" l="1"/>
  <c r="T37" i="6"/>
  <c r="T36" i="6"/>
  <c r="T42" i="6" l="1"/>
  <c r="T39" i="6"/>
  <c r="T49" i="6"/>
  <c r="T35" i="6"/>
  <c r="T56" i="6" l="1"/>
  <c r="T48" i="6"/>
  <c r="T50" i="6" s="1"/>
  <c r="T44" i="6"/>
  <c r="T57" i="6" s="1"/>
  <c r="T45" i="6"/>
  <c r="U24" i="6" s="1"/>
  <c r="U27" i="6" l="1"/>
  <c r="T58" i="6"/>
  <c r="U28" i="6" l="1"/>
  <c r="U30" i="6" l="1"/>
  <c r="U33" i="6"/>
  <c r="U26" i="6"/>
  <c r="U52" i="6" l="1"/>
  <c r="U36" i="6"/>
  <c r="U37" i="6"/>
  <c r="U42" i="6" l="1"/>
  <c r="U39" i="6"/>
  <c r="U49" i="6"/>
  <c r="U35" i="6"/>
  <c r="U48" i="6" l="1"/>
  <c r="U50" i="6" s="1"/>
  <c r="U56" i="6"/>
  <c r="U45" i="6"/>
  <c r="V24" i="6" s="1"/>
  <c r="U44" i="6"/>
  <c r="U57" i="6" s="1"/>
  <c r="V27" i="6" l="1"/>
  <c r="U58" i="6"/>
  <c r="V28" i="6" l="1"/>
  <c r="V33" i="6" l="1"/>
  <c r="B20" i="6"/>
  <c r="V30" i="6"/>
  <c r="V26" i="6"/>
  <c r="V36" i="6" l="1"/>
  <c r="V37" i="6"/>
  <c r="V52" i="6"/>
  <c r="V35" i="6"/>
  <c r="V48" i="6" l="1"/>
  <c r="V56" i="6"/>
  <c r="V39" i="6"/>
  <c r="V42" i="6"/>
  <c r="V49" i="6"/>
  <c r="V44" i="6" l="1"/>
  <c r="V45" i="6"/>
  <c r="W24" i="6" s="1"/>
  <c r="V50" i="6"/>
  <c r="W27" i="6" l="1"/>
  <c r="W28" i="6" s="1"/>
  <c r="V57" i="6"/>
  <c r="V58" i="6" s="1"/>
  <c r="W33" i="6" l="1"/>
  <c r="W30" i="6"/>
  <c r="W26" i="6"/>
  <c r="W37" i="6" l="1"/>
  <c r="W36" i="6"/>
  <c r="W52" i="6"/>
  <c r="W42" i="6" l="1"/>
  <c r="W39" i="6"/>
  <c r="W35" i="6"/>
  <c r="W49" i="6"/>
  <c r="X12" i="25"/>
  <c r="X13" i="25" s="1"/>
  <c r="W45" i="6" l="1"/>
  <c r="X24" i="6" s="1"/>
  <c r="W44" i="6"/>
  <c r="W48" i="6"/>
  <c r="W56" i="6"/>
  <c r="W58" i="6" l="1"/>
  <c r="W50" i="6"/>
  <c r="X16" i="25"/>
  <c r="X18" i="25" s="1"/>
  <c r="X21" i="25" s="1"/>
  <c r="W57" i="6"/>
  <c r="X27" i="6"/>
  <c r="X28" i="6" s="1"/>
  <c r="X30" i="6" l="1"/>
  <c r="X33" i="6"/>
  <c r="X26" i="6"/>
  <c r="X57" i="25"/>
  <c r="X59" i="25" s="1"/>
  <c r="X27" i="25"/>
  <c r="X28" i="25" s="1"/>
  <c r="X29" i="25" s="1"/>
  <c r="Y25" i="25" s="1"/>
  <c r="X37" i="25"/>
  <c r="X38" i="25" s="1"/>
  <c r="X50" i="25"/>
  <c r="X52" i="25" s="1"/>
  <c r="X43" i="25"/>
  <c r="X45" i="25" s="1"/>
  <c r="Y26" i="25" l="1"/>
  <c r="X36" i="6"/>
  <c r="X37" i="6"/>
  <c r="X52" i="6"/>
  <c r="X42" i="6" l="1"/>
  <c r="X39" i="6"/>
  <c r="X35" i="6"/>
  <c r="X49" i="6"/>
  <c r="Y12" i="25"/>
  <c r="Y13" i="25" s="1"/>
  <c r="X48" i="6" l="1"/>
  <c r="X56" i="6"/>
  <c r="X45" i="6"/>
  <c r="Y24" i="6" s="1"/>
  <c r="X44" i="6"/>
  <c r="X57" i="6" l="1"/>
  <c r="Y27" i="6"/>
  <c r="X58" i="6"/>
  <c r="X50" i="6"/>
  <c r="Y16" i="25"/>
  <c r="Y18" i="25" s="1"/>
  <c r="Y21" i="25" s="1"/>
  <c r="Y27" i="25" l="1"/>
  <c r="Y28" i="25" s="1"/>
  <c r="Y29" i="25" s="1"/>
  <c r="Z25" i="25" s="1"/>
  <c r="Y37" i="25"/>
  <c r="Y38" i="25" s="1"/>
  <c r="Y50" i="25"/>
  <c r="Y52" i="25" s="1"/>
  <c r="Y43" i="25"/>
  <c r="Y45" i="25" s="1"/>
  <c r="Y57" i="25"/>
  <c r="Y59" i="25" s="1"/>
  <c r="Y28" i="6"/>
  <c r="Y30" i="6" l="1"/>
  <c r="Y33" i="6"/>
  <c r="Y26" i="6"/>
  <c r="Z26" i="25"/>
  <c r="Y52" i="6" l="1"/>
  <c r="Y37" i="6"/>
  <c r="Y35" i="6" s="1"/>
  <c r="Y36" i="6"/>
  <c r="Y56" i="6" l="1"/>
  <c r="Y48" i="6"/>
  <c r="Z12" i="25"/>
  <c r="Z13" i="25" s="1"/>
  <c r="Y49" i="6"/>
  <c r="Y39" i="6"/>
  <c r="Y42" i="6"/>
  <c r="Y44" i="6" l="1"/>
  <c r="Y45" i="6"/>
  <c r="Z24" i="6" s="1"/>
  <c r="Y50" i="6"/>
  <c r="Z16" i="25"/>
  <c r="Z18" i="25" s="1"/>
  <c r="Z21" i="25" s="1"/>
  <c r="Z57" i="25" l="1"/>
  <c r="Z59" i="25" s="1"/>
  <c r="Z27" i="25"/>
  <c r="Z28" i="25" s="1"/>
  <c r="Z29" i="25" s="1"/>
  <c r="AA25" i="25" s="1"/>
  <c r="Z50" i="25"/>
  <c r="Z52" i="25" s="1"/>
  <c r="Z37" i="25"/>
  <c r="Z38" i="25" s="1"/>
  <c r="Z43" i="25"/>
  <c r="Z45" i="25" s="1"/>
  <c r="Z27" i="6"/>
  <c r="Y57" i="6"/>
  <c r="Y58" i="6" s="1"/>
  <c r="Z28" i="6" l="1"/>
  <c r="AA26" i="25"/>
  <c r="Z30" i="6" l="1"/>
  <c r="Z33" i="6"/>
  <c r="Z26" i="6"/>
  <c r="Z37" i="6" l="1"/>
  <c r="Z52" i="6"/>
  <c r="Z36" i="6"/>
  <c r="Z42" i="6" l="1"/>
  <c r="Z39" i="6"/>
  <c r="AA12" i="25"/>
  <c r="AA13" i="25" s="1"/>
  <c r="Z49" i="6"/>
  <c r="Z35" i="6"/>
  <c r="Z56" i="6" l="1"/>
  <c r="Z48" i="6"/>
  <c r="Z45" i="6"/>
  <c r="AA24" i="6" s="1"/>
  <c r="Z44" i="6"/>
  <c r="Z57" i="6" l="1"/>
  <c r="AA27" i="6"/>
  <c r="Z50" i="6"/>
  <c r="AA16" i="25"/>
  <c r="AA18" i="25" s="1"/>
  <c r="AA21" i="25" s="1"/>
  <c r="Z58" i="6"/>
  <c r="AA27" i="25" l="1"/>
  <c r="AA28" i="25" s="1"/>
  <c r="AA29" i="25" s="1"/>
  <c r="AB25" i="25" s="1"/>
  <c r="AA37" i="25"/>
  <c r="AA38" i="25" s="1"/>
  <c r="AA50" i="25"/>
  <c r="AA52" i="25" s="1"/>
  <c r="AA57" i="25"/>
  <c r="AA59" i="25" s="1"/>
  <c r="AA43" i="25"/>
  <c r="AA45" i="25" s="1"/>
  <c r="AA28" i="6"/>
  <c r="AA30" i="6" l="1"/>
  <c r="AA33" i="6"/>
  <c r="AA26" i="6"/>
  <c r="AB26" i="25"/>
  <c r="AA52" i="6" l="1"/>
  <c r="AA37" i="6"/>
  <c r="AA36" i="6"/>
  <c r="AA42" i="6" l="1"/>
  <c r="AA39" i="6"/>
  <c r="AB12" i="25"/>
  <c r="AB13" i="25" s="1"/>
  <c r="AA49" i="6"/>
  <c r="AA35" i="6"/>
  <c r="AA48" i="6" l="1"/>
  <c r="AA56" i="6"/>
  <c r="AA44" i="6"/>
  <c r="AA45" i="6"/>
  <c r="AB24" i="6" s="1"/>
  <c r="AB27" i="6" l="1"/>
  <c r="AA57" i="6"/>
  <c r="AA58" i="6"/>
  <c r="AA50" i="6"/>
  <c r="AB16" i="25"/>
  <c r="AB18" i="25" s="1"/>
  <c r="AB21" i="25" s="1"/>
  <c r="AB57" i="25" l="1"/>
  <c r="AB59" i="25" s="1"/>
  <c r="AB43" i="25"/>
  <c r="AB45" i="25" s="1"/>
  <c r="AB27" i="25"/>
  <c r="AB28" i="25" s="1"/>
  <c r="AB29" i="25" s="1"/>
  <c r="AC25" i="25" s="1"/>
  <c r="AB37" i="25"/>
  <c r="AB38" i="25" s="1"/>
  <c r="AB50" i="25"/>
  <c r="AB52" i="25" s="1"/>
  <c r="AB28" i="6"/>
  <c r="AB33" i="6" l="1"/>
  <c r="AB30" i="6"/>
  <c r="AB26" i="6"/>
  <c r="AC26" i="25"/>
  <c r="AB52" i="6" l="1"/>
  <c r="AB36" i="6"/>
  <c r="AB37" i="6" s="1"/>
  <c r="AB39" i="6" l="1"/>
  <c r="AB42" i="6"/>
  <c r="AB35" i="6"/>
  <c r="AC12" i="25"/>
  <c r="AC13" i="25" s="1"/>
  <c r="AB49" i="6"/>
  <c r="AB48" i="6" l="1"/>
  <c r="AB56" i="6"/>
  <c r="AB44" i="6"/>
  <c r="AB45" i="6"/>
  <c r="AC24" i="6" s="1"/>
  <c r="AB57" i="6" l="1"/>
  <c r="AB58" i="6" s="1"/>
  <c r="AC27" i="6"/>
  <c r="AC28" i="6"/>
  <c r="AB50" i="6"/>
  <c r="AC16" i="25"/>
  <c r="AC18" i="25" s="1"/>
  <c r="AC21" i="25" s="1"/>
  <c r="AC43" i="25" l="1"/>
  <c r="AC45" i="25" s="1"/>
  <c r="AC27" i="25"/>
  <c r="AC28" i="25" s="1"/>
  <c r="AC29" i="25" s="1"/>
  <c r="AD25" i="25" s="1"/>
  <c r="AC37" i="25"/>
  <c r="AC38" i="25" s="1"/>
  <c r="AC50" i="25"/>
  <c r="AC52" i="25" s="1"/>
  <c r="AC57" i="25"/>
  <c r="AC59" i="25" s="1"/>
  <c r="AC30" i="6"/>
  <c r="AC33" i="6"/>
  <c r="AC26" i="6"/>
  <c r="AC52" i="6" l="1"/>
  <c r="AC36" i="6"/>
  <c r="AC37" i="6"/>
  <c r="AD26" i="25"/>
  <c r="AC42" i="6" l="1"/>
  <c r="AC39" i="6"/>
  <c r="AC49" i="6"/>
  <c r="AD12" i="25"/>
  <c r="AD13" i="25" s="1"/>
  <c r="AC35" i="6"/>
  <c r="AC48" i="6" l="1"/>
  <c r="AC56" i="6"/>
  <c r="AC45" i="6"/>
  <c r="AD24" i="6" s="1"/>
  <c r="AC44" i="6"/>
  <c r="AD16" i="25" l="1"/>
  <c r="AD18" i="25" s="1"/>
  <c r="AD21" i="25" s="1"/>
  <c r="AC50" i="6"/>
  <c r="AC57" i="6"/>
  <c r="AC58" i="6" s="1"/>
  <c r="AD27" i="6"/>
  <c r="AD28" i="6"/>
  <c r="AD33" i="6" l="1"/>
  <c r="AD30" i="6"/>
  <c r="AD26" i="6"/>
  <c r="AD57" i="25"/>
  <c r="AD59" i="25" s="1"/>
  <c r="AD27" i="25"/>
  <c r="AD28" i="25" s="1"/>
  <c r="AD29" i="25" s="1"/>
  <c r="AE25" i="25" s="1"/>
  <c r="AD50" i="25"/>
  <c r="AD52" i="25" s="1"/>
  <c r="AD43" i="25"/>
  <c r="AD45" i="25" s="1"/>
  <c r="AD37" i="25"/>
  <c r="AD38" i="25" s="1"/>
  <c r="AE26" i="25" l="1"/>
  <c r="AD36" i="6"/>
  <c r="AD37" i="6"/>
  <c r="AD52" i="6"/>
  <c r="AD42" i="6" l="1"/>
  <c r="AD39" i="6"/>
  <c r="AD35" i="6"/>
  <c r="AD49" i="6"/>
  <c r="AE12" i="25"/>
  <c r="AE13" i="25" s="1"/>
  <c r="AD48" i="6" l="1"/>
  <c r="AD56" i="6"/>
  <c r="AD44" i="6"/>
  <c r="AD45" i="6"/>
  <c r="AE24" i="6" s="1"/>
  <c r="AD57" i="6" l="1"/>
  <c r="AE27" i="6"/>
  <c r="AD58" i="6"/>
  <c r="AD50" i="6"/>
  <c r="AE16" i="25"/>
  <c r="AE18" i="25" s="1"/>
  <c r="AE21" i="25" s="1"/>
  <c r="AE50" i="25" l="1"/>
  <c r="AE52" i="25" s="1"/>
  <c r="AE43" i="25"/>
  <c r="AE45" i="25" s="1"/>
  <c r="AE57" i="25"/>
  <c r="AE59" i="25" s="1"/>
  <c r="AE37" i="25"/>
  <c r="AE38" i="25" s="1"/>
  <c r="AE27" i="25"/>
  <c r="AE28" i="25" s="1"/>
  <c r="AE29" i="25" s="1"/>
  <c r="AF25" i="25" s="1"/>
  <c r="AE28" i="6"/>
  <c r="AF26" i="25" l="1"/>
  <c r="AE33" i="6"/>
  <c r="AE30" i="6"/>
  <c r="AE26" i="6"/>
  <c r="AE36" i="6" l="1"/>
  <c r="AE52" i="6"/>
  <c r="AE49" i="6" l="1"/>
  <c r="AF12" i="25"/>
  <c r="AF13" i="25" s="1"/>
  <c r="AE37" i="6"/>
  <c r="AE39" i="6" l="1"/>
  <c r="AE42" i="6"/>
  <c r="AE35" i="6"/>
  <c r="AE56" i="6" l="1"/>
  <c r="AE48" i="6"/>
  <c r="AE45" i="6"/>
  <c r="AF24" i="6" s="1"/>
  <c r="AE44" i="6"/>
  <c r="AF27" i="6" l="1"/>
  <c r="AF28" i="6" s="1"/>
  <c r="AF16" i="25"/>
  <c r="AF18" i="25" s="1"/>
  <c r="AF21" i="25" s="1"/>
  <c r="AE50" i="6"/>
  <c r="AE57" i="6"/>
  <c r="AE58" i="6"/>
  <c r="AF30" i="6" l="1"/>
  <c r="AF33" i="6"/>
  <c r="AF26" i="6"/>
  <c r="AF37" i="25"/>
  <c r="AF38" i="25" s="1"/>
  <c r="AF43" i="25"/>
  <c r="AF45" i="25" s="1"/>
  <c r="AF27" i="25"/>
  <c r="AF28" i="25" s="1"/>
  <c r="AF29" i="25" s="1"/>
  <c r="AG25" i="25" s="1"/>
  <c r="AF50" i="25"/>
  <c r="AF52" i="25" s="1"/>
  <c r="AF57" i="25"/>
  <c r="AF59" i="25" s="1"/>
  <c r="AG26" i="25" l="1"/>
  <c r="AF36" i="6"/>
  <c r="AF52" i="6"/>
  <c r="AG12" i="25" l="1"/>
  <c r="AG13" i="25" s="1"/>
  <c r="AF49" i="6"/>
  <c r="AF37" i="6"/>
  <c r="E69" i="6"/>
  <c r="E68" i="6"/>
  <c r="AF39" i="6" l="1"/>
  <c r="AF42" i="6"/>
  <c r="AF35" i="6"/>
  <c r="C69" i="2"/>
  <c r="D9" i="16"/>
  <c r="D12" i="16" s="1"/>
  <c r="D69" i="2"/>
  <c r="C9" i="16"/>
  <c r="C12" i="16" s="1"/>
  <c r="AF48" i="6" l="1"/>
  <c r="AF56" i="6"/>
  <c r="B77" i="6"/>
  <c r="E66" i="6" s="1"/>
  <c r="G35" i="2" s="1"/>
  <c r="AF45" i="6"/>
  <c r="AF44" i="6"/>
  <c r="AF57" i="6" s="1"/>
  <c r="AF58" i="6" l="1"/>
  <c r="AF50" i="6"/>
  <c r="AG16" i="25"/>
  <c r="AG18" i="25" s="1"/>
  <c r="AG21" i="25" s="1"/>
  <c r="AG27" i="25" l="1"/>
  <c r="AG28" i="25" s="1"/>
  <c r="AG29" i="25" s="1"/>
  <c r="AG37" i="25"/>
  <c r="AG38" i="25" s="1"/>
  <c r="AG50" i="25"/>
  <c r="AG52" i="25" s="1"/>
  <c r="AG43" i="25"/>
  <c r="AG45" i="25" s="1"/>
  <c r="AG57" i="25"/>
  <c r="AG59" i="25" s="1"/>
  <c r="C54" i="25" l="1"/>
  <c r="D74" i="2" s="1"/>
  <c r="C53" i="25"/>
  <c r="C74" i="2" s="1"/>
  <c r="C46" i="25"/>
  <c r="C73" i="2" s="1"/>
  <c r="C47" i="25"/>
  <c r="D73" i="2" s="1"/>
  <c r="C61" i="25"/>
  <c r="D75" i="2" s="1"/>
  <c r="C60" i="25"/>
  <c r="C75" i="2" s="1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from Bruce Golden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given by Bruce Golden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4 SCR's for a 4 on 1 or 5 SCR's for a 5 on 1 configuration
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A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MOB from Scot Chambers
</t>
        </r>
      </text>
    </comment>
    <comment ref="C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<sst xmlns="http://schemas.openxmlformats.org/spreadsheetml/2006/main" count="714" uniqueCount="577">
  <si>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</si>
  <si>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</si>
  <si>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</si>
  <si>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</si>
  <si>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</si>
  <si>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</si>
  <si>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</si>
  <si>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</si>
  <si>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</si>
  <si>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</si>
  <si>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</si>
  <si>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</si>
  <si>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</si>
  <si>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</si>
  <si>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</si>
  <si>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</si>
  <si>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</si>
  <si>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</si>
  <si>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</si>
  <si>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</si>
  <si>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</si>
  <si>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</si>
  <si>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</si>
  <si>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</si>
  <si>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</si>
  <si>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</si>
  <si>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</si>
  <si>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</si>
  <si>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</si>
  <si>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</si>
  <si>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</si>
  <si>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</si>
  <si>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</si>
  <si>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</si>
  <si>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</si>
  <si>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</si>
  <si>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</si>
  <si>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</si>
  <si>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</si>
  <si>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</si>
  <si>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</si>
  <si>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</si>
  <si>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</si>
  <si>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</si>
  <si>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</si>
  <si>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</si>
  <si>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</si>
  <si>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</si>
  <si>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</si>
  <si>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</si>
  <si>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</si>
  <si>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</si>
  <si>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</si>
  <si>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</si>
  <si>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</si>
  <si>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</si>
  <si>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</si>
  <si>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</si>
  <si>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</si>
  <si>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</si>
  <si>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</si>
  <si>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</si>
  <si>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</si>
  <si>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</si>
  <si>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</si>
  <si>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</si>
  <si>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</si>
  <si>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</si>
  <si>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</si>
  <si>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</si>
  <si>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</si>
  <si>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</si>
  <si>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</si>
  <si>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</si>
  <si>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</si>
  <si>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</si>
  <si>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</si>
  <si>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</si>
  <si>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</si>
  <si>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</si>
  <si>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</si>
  <si>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</si>
  <si>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</si>
  <si>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</si>
  <si>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</si>
  <si>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</si>
  <si>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</si>
  <si>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</si>
  <si>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</si>
  <si>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</si>
  <si>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</si>
  <si>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</si>
  <si>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</si>
  <si>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</si>
  <si>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</si>
  <si>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</si>
  <si>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</si>
  <si>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</si>
  <si>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</si>
  <si>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</si>
  <si>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</si>
  <si>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</si>
  <si>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</si>
  <si>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</si>
  <si>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</si>
  <si>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</si>
  <si>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</si>
  <si>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SCR</t>
  </si>
  <si>
    <t xml:space="preserve">  Dual Fuel 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</si>
  <si>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</si>
  <si>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</si>
  <si>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</si>
  <si>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</si>
  <si>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</si>
  <si>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</si>
  <si>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</si>
  <si>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</si>
  <si>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</si>
  <si>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</si>
  <si>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</si>
  <si>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</si>
  <si>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</si>
  <si>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</si>
  <si>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</si>
  <si>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</si>
  <si>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</si>
  <si>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</si>
  <si>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</si>
  <si>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</si>
  <si>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</si>
  <si>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</si>
  <si>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</si>
  <si>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</si>
  <si>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</si>
  <si>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</si>
  <si>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</si>
  <si>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</si>
  <si>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</si>
  <si>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</si>
  <si>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</si>
  <si>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</si>
  <si>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</si>
  <si>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</si>
  <si>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</si>
  <si>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</si>
  <si>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</si>
  <si>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</si>
  <si>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</si>
  <si>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</si>
  <si>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</si>
  <si>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</si>
  <si>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</si>
  <si>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</si>
  <si>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</si>
  <si>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</si>
  <si>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</si>
  <si>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</si>
  <si>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</si>
  <si>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</si>
  <si>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</si>
  <si>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</si>
  <si>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</si>
  <si>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</si>
  <si>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</si>
  <si>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</si>
  <si>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</si>
  <si>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</si>
  <si>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</si>
  <si>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</si>
  <si>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</si>
  <si>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</si>
  <si>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Overhead &amp; Fees - Nepco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</si>
  <si>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</si>
  <si>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</si>
  <si>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</si>
  <si>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</si>
  <si>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</si>
  <si>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</si>
  <si>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</si>
  <si>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</si>
  <si>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</si>
  <si>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</si>
  <si>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</si>
  <si>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</si>
  <si>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</si>
  <si>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</si>
  <si>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</si>
  <si>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</si>
  <si>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</si>
  <si>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</si>
  <si>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</si>
  <si>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</si>
  <si>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</si>
  <si>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</si>
  <si>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</si>
  <si>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</si>
  <si>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</si>
  <si>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</si>
  <si>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</si>
  <si>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</si>
  <si>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</si>
  <si>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</si>
  <si>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</si>
  <si>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</si>
  <si>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</si>
  <si>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</si>
  <si>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</si>
  <si>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</si>
  <si>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</si>
  <si>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</si>
  <si>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</si>
  <si>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</si>
  <si>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</si>
  <si>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</si>
  <si>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</si>
  <si>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</si>
  <si>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</si>
  <si>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</si>
  <si>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</si>
  <si>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</si>
  <si>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</si>
  <si>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</si>
  <si>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</si>
  <si>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</si>
  <si>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</si>
  <si>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</si>
  <si>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</si>
  <si>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</si>
  <si>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</si>
  <si>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</si>
  <si>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</si>
  <si>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</si>
  <si>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</si>
  <si>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</si>
  <si>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</si>
  <si>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</si>
  <si>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</si>
  <si>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</si>
  <si>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</si>
  <si>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</si>
  <si>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</si>
  <si>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</si>
  <si>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</si>
  <si>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</si>
  <si>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</si>
  <si>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</si>
  <si>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</si>
  <si>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</si>
  <si>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</si>
  <si>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</si>
  <si>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</si>
  <si>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</si>
  <si>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</si>
  <si>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</si>
  <si>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</si>
  <si>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</si>
  <si>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</si>
  <si>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</si>
  <si>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</si>
  <si>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</si>
  <si>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</si>
  <si>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</si>
  <si>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</si>
  <si>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</si>
  <si>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</si>
  <si>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</si>
  <si>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</si>
  <si>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</si>
  <si>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</si>
  <si>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</si>
  <si>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</si>
  <si>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</si>
  <si>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</si>
  <si>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</si>
  <si>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</si>
  <si>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</si>
  <si>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</si>
  <si>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</si>
  <si>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</si>
  <si>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</si>
  <si>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</si>
  <si>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</si>
  <si>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</si>
  <si>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</si>
  <si>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</si>
  <si>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</si>
  <si>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</si>
  <si>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</si>
  <si>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</si>
  <si>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</si>
  <si>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</si>
  <si>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</si>
  <si>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</si>
  <si>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</si>
  <si>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</si>
  <si>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</si>
  <si>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</si>
  <si>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</si>
  <si>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</si>
  <si>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</si>
  <si>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</si>
  <si>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</si>
  <si>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</si>
  <si>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</si>
  <si>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</si>
  <si>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</si>
  <si>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</si>
  <si>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</si>
  <si>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</si>
  <si>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</si>
  <si>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</si>
  <si>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</si>
  <si>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</si>
  <si>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</si>
  <si>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</si>
  <si>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</si>
  <si>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</si>
  <si>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</si>
  <si>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</si>
  <si>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</si>
  <si>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</si>
  <si>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</si>
  <si>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</si>
  <si>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</si>
  <si>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</si>
  <si>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</si>
  <si>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</si>
  <si>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</si>
  <si>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</si>
  <si>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</si>
  <si>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</si>
  <si>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</si>
  <si>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</si>
  <si>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</si>
  <si>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</si>
  <si>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</si>
  <si>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</si>
  <si>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</si>
  <si>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</si>
  <si>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</si>
  <si>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</si>
  <si>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</si>
  <si>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</si>
  <si>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</si>
  <si>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</si>
  <si>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</si>
  <si>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</si>
  <si>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</si>
  <si>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</si>
  <si>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</si>
  <si>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</si>
  <si>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</si>
  <si>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</si>
  <si>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</si>
  <si>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</si>
  <si>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</si>
  <si>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</si>
  <si>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</si>
  <si>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</si>
  <si>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</si>
  <si>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</si>
  <si>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</si>
  <si>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</si>
  <si>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</si>
  <si>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</si>
  <si>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</si>
  <si>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</si>
  <si>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</si>
  <si>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</si>
  <si>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</si>
  <si>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</si>
  <si>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</si>
  <si>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</si>
  <si>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</si>
  <si>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</si>
  <si>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</si>
  <si>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</si>
  <si>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</si>
  <si>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</si>
  <si>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</si>
  <si>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</si>
  <si>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</si>
  <si>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</si>
  <si>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</si>
  <si>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</si>
  <si>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</si>
  <si>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</si>
  <si>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</si>
  <si>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</si>
  <si>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</si>
  <si>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</si>
  <si>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</si>
  <si>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</si>
  <si>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</si>
  <si>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</si>
  <si>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</si>
  <si>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</si>
  <si>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</si>
  <si>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</si>
  <si>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</si>
  <si>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</si>
  <si>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</si>
  <si>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</si>
  <si>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</si>
  <si>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</si>
  <si>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</si>
  <si>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</si>
  <si>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</si>
  <si>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</si>
  <si>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</si>
  <si>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</si>
  <si>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</si>
  <si>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</si>
  <si>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</si>
  <si>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</si>
  <si>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</si>
  <si>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</si>
  <si>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</si>
  <si>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</si>
  <si>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</si>
  <si>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</si>
  <si>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</si>
  <si>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</si>
  <si>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>Price</t>
  </si>
  <si>
    <t xml:space="preserve">  EE&amp;CC Program Management</t>
  </si>
  <si>
    <t>20 Yrs After-Tax Cashflow with Zero Residual Value</t>
  </si>
  <si>
    <t>PROJECT NAME: Homestead, Florida</t>
  </si>
  <si>
    <t>$/Mmbtu</t>
  </si>
  <si>
    <t>Oil</t>
  </si>
  <si>
    <t>Index (Fuel Oil # 2 Curve)</t>
  </si>
  <si>
    <t>Avg. Annual</t>
  </si>
  <si>
    <t>FL</t>
  </si>
  <si>
    <t>STG + HRSG</t>
  </si>
  <si>
    <t xml:space="preserve">  CTG Freight</t>
  </si>
  <si>
    <t xml:space="preserve">  Home Office</t>
  </si>
  <si>
    <t xml:space="preserve">  Salaried Staff</t>
  </si>
  <si>
    <t xml:space="preserve">  Hourly Staff</t>
  </si>
  <si>
    <t xml:space="preserve">  Equipment Costs</t>
  </si>
  <si>
    <t>MW's</t>
  </si>
  <si>
    <t xml:space="preserve">  Small Tools</t>
  </si>
  <si>
    <t xml:space="preserve">  Temp Facilities</t>
  </si>
  <si>
    <t xml:space="preserve">  GC Other</t>
  </si>
  <si>
    <t xml:space="preserve">  Per Diems</t>
  </si>
  <si>
    <t xml:space="preserve">  Tax/Bond</t>
  </si>
  <si>
    <t xml:space="preserve">  Engr. Labor</t>
  </si>
  <si>
    <t xml:space="preserve">  Major Equipment</t>
  </si>
  <si>
    <t>Engineering:</t>
  </si>
  <si>
    <t>Procurement:</t>
  </si>
  <si>
    <t>Indirect Costs:</t>
  </si>
  <si>
    <t>Project Management:</t>
  </si>
  <si>
    <t xml:space="preserve">  CTG's</t>
  </si>
  <si>
    <t xml:space="preserve">  Duel Fuel</t>
  </si>
  <si>
    <t xml:space="preserve">  HRSG's</t>
  </si>
  <si>
    <t xml:space="preserve">  STG - 75 MW</t>
  </si>
  <si>
    <t>Engineered Equipment</t>
  </si>
  <si>
    <t xml:space="preserve">  Buildings</t>
  </si>
  <si>
    <t xml:space="preserve">  Valves and specials</t>
  </si>
  <si>
    <t xml:space="preserve">  Bus Duct</t>
  </si>
  <si>
    <t xml:space="preserve">  Dry Transformers</t>
  </si>
  <si>
    <t xml:space="preserve">  Step-up transformers</t>
  </si>
  <si>
    <t xml:space="preserve">  Power Dist. Xformers</t>
  </si>
  <si>
    <t xml:space="preserve">  600V MCC</t>
  </si>
  <si>
    <t xml:space="preserve">  600V swgr</t>
  </si>
  <si>
    <t xml:space="preserve">  5kV swgr</t>
  </si>
  <si>
    <t xml:space="preserve">  15kV swgr</t>
  </si>
  <si>
    <t xml:space="preserve">  Control Panel</t>
  </si>
  <si>
    <t xml:space="preserve">  HV Device</t>
  </si>
  <si>
    <t xml:space="preserve">  DCS</t>
  </si>
  <si>
    <t xml:space="preserve">  UPS</t>
  </si>
  <si>
    <t xml:space="preserve">  Fld. Mntd Instr.</t>
  </si>
  <si>
    <t xml:space="preserve">  CEMS</t>
  </si>
  <si>
    <t xml:space="preserve">  Control Valves</t>
  </si>
  <si>
    <t>(000's)</t>
  </si>
  <si>
    <t xml:space="preserve">  Pumps</t>
  </si>
  <si>
    <t xml:space="preserve">  Cooling Tower</t>
  </si>
  <si>
    <t xml:space="preserve">  Fin Fan Coolers</t>
  </si>
  <si>
    <t xml:space="preserve">  APC equipment</t>
  </si>
  <si>
    <t xml:space="preserve">  Fuel Gas Filter</t>
  </si>
  <si>
    <t xml:space="preserve">  Chillers</t>
  </si>
  <si>
    <t xml:space="preserve">  Water Treatment</t>
  </si>
  <si>
    <t xml:space="preserve">  Oil/Water Seperator</t>
  </si>
  <si>
    <t xml:space="preserve">  Vender Reps</t>
  </si>
  <si>
    <t xml:space="preserve">  Tank Farm/Oil Filter</t>
  </si>
  <si>
    <t xml:space="preserve">  FLD/shop vessels</t>
  </si>
  <si>
    <t xml:space="preserve">  Other</t>
  </si>
  <si>
    <t xml:space="preserve">  Bulk Material</t>
  </si>
  <si>
    <t>Construction</t>
  </si>
  <si>
    <t xml:space="preserve">  site</t>
  </si>
  <si>
    <t xml:space="preserve">  u/g electrical</t>
  </si>
  <si>
    <t xml:space="preserve">  u/g piping</t>
  </si>
  <si>
    <t xml:space="preserve">  concrete</t>
  </si>
  <si>
    <t xml:space="preserve">  grout</t>
  </si>
  <si>
    <t xml:space="preserve">  steel</t>
  </si>
  <si>
    <t xml:space="preserve">  architectual</t>
  </si>
  <si>
    <t xml:space="preserve">  buildings</t>
  </si>
  <si>
    <t xml:space="preserve">  a/g piping</t>
  </si>
  <si>
    <t xml:space="preserve">  a/g eletrical</t>
  </si>
  <si>
    <t xml:space="preserve">  instrumentation</t>
  </si>
  <si>
    <t xml:space="preserve">  painting</t>
  </si>
  <si>
    <t xml:space="preserve">  mech. Equipment</t>
  </si>
  <si>
    <t>Startup</t>
  </si>
  <si>
    <t xml:space="preserve">  insulation</t>
  </si>
  <si>
    <t xml:space="preserve">  startup</t>
  </si>
  <si>
    <t xml:space="preserve">  oper training</t>
  </si>
  <si>
    <t xml:space="preserve">  initial fill/spares</t>
  </si>
  <si>
    <t xml:space="preserve">  manuels</t>
  </si>
  <si>
    <t xml:space="preserve">  startup support</t>
  </si>
  <si>
    <t>Warranty</t>
  </si>
  <si>
    <t>Owner Adds</t>
  </si>
  <si>
    <t xml:space="preserve">  sales and Used Tax</t>
  </si>
  <si>
    <t xml:space="preserve">  SCR air attemperation</t>
  </si>
  <si>
    <t xml:space="preserve">  Remote control</t>
  </si>
  <si>
    <t xml:space="preserve">  ENA Remote Monitoring</t>
  </si>
  <si>
    <t xml:space="preserve">  Switchyard</t>
  </si>
  <si>
    <t xml:space="preserve">  Transmission lines</t>
  </si>
  <si>
    <t xml:space="preserve">  Gas Line</t>
  </si>
  <si>
    <t xml:space="preserve">  Admin Buildings</t>
  </si>
  <si>
    <t xml:space="preserve">  Builders Risk</t>
  </si>
  <si>
    <t>Subtotal Costs</t>
  </si>
  <si>
    <t xml:space="preserve">  Fixed G&amp;A</t>
  </si>
  <si>
    <t>Total Costs</t>
  </si>
  <si>
    <t xml:space="preserve">  Margin</t>
  </si>
  <si>
    <t>Total EPC</t>
  </si>
  <si>
    <t>Combined Cycle</t>
  </si>
  <si>
    <t xml:space="preserve">  Project Management</t>
  </si>
  <si>
    <t xml:space="preserve">  Indirect Costs</t>
  </si>
  <si>
    <t xml:space="preserve">  Engineering Labor</t>
  </si>
  <si>
    <t xml:space="preserve">  Engineered Equipment</t>
  </si>
  <si>
    <t xml:space="preserve">  Construction</t>
  </si>
  <si>
    <t xml:space="preserve">  Startup</t>
  </si>
  <si>
    <t xml:space="preserve">  Owner's Adder (With Switchyard, T-lines, Gas Lines)</t>
  </si>
  <si>
    <t xml:space="preserve">  Nepco Margin</t>
  </si>
  <si>
    <t>Chemicals</t>
  </si>
  <si>
    <t>Payroll &amp; Burden</t>
  </si>
  <si>
    <t>Admin and Operations Expenses</t>
  </si>
  <si>
    <t>Maintenance Expenses</t>
  </si>
  <si>
    <t>Combined Facility</t>
  </si>
  <si>
    <t>B.I. Insurance</t>
  </si>
  <si>
    <t>Return</t>
  </si>
  <si>
    <t>Capacity Price</t>
  </si>
  <si>
    <t>Notes:</t>
  </si>
  <si>
    <t>Debt Term (yrs)</t>
  </si>
  <si>
    <t>Rate (%)</t>
  </si>
  <si>
    <t>Princ Amort Sched (yrs)</t>
  </si>
  <si>
    <t>Equity (%)</t>
  </si>
  <si>
    <t>Equity ($)</t>
  </si>
  <si>
    <t>Capacity (MW)</t>
  </si>
  <si>
    <t>Capacity Pmt ($/kw-mo)</t>
  </si>
  <si>
    <t>Total Debt</t>
  </si>
  <si>
    <t>Debt (%)</t>
  </si>
  <si>
    <t>Total Project Cost</t>
  </si>
  <si>
    <t>Principal Balance</t>
  </si>
  <si>
    <t>Payment</t>
  </si>
  <si>
    <t>Interest Payment</t>
  </si>
  <si>
    <t>Principal Payment</t>
  </si>
  <si>
    <t>NPV</t>
  </si>
  <si>
    <t>NPV (000's)</t>
  </si>
  <si>
    <t>Plant starting June 2001 (SC)</t>
  </si>
  <si>
    <t>12% Return Target</t>
  </si>
  <si>
    <t>Debt/Equity: 70%/30%</t>
  </si>
  <si>
    <t>Total Project Installed cost: (kW)</t>
  </si>
  <si>
    <t>12% Return Target (NPV Breakeven)</t>
  </si>
  <si>
    <t>Florida Project Return Analysis</t>
  </si>
  <si>
    <t>Total Project Cost (000's):</t>
  </si>
  <si>
    <t>Pricing Starts Summer 2001 with 5-year term</t>
  </si>
  <si>
    <t>Desk's Current Capacity Price (Bid)</t>
  </si>
  <si>
    <t>8% Interest Rate with 20 Yr. Debt &amp; Amort.</t>
  </si>
  <si>
    <t>30 Year SL with 10% Residual</t>
  </si>
  <si>
    <t>After Tax Free Cash Flow:</t>
  </si>
  <si>
    <t>Net Income + Depreciation</t>
  </si>
  <si>
    <t xml:space="preserve">  - Principal Payments</t>
  </si>
  <si>
    <t>Free Cash Flow to Equity</t>
  </si>
  <si>
    <t>Pre-Tax Enron Equity Returns</t>
  </si>
  <si>
    <t xml:space="preserve">  - CapEx or Working Capital Needs</t>
  </si>
  <si>
    <t>NPV @ 12%</t>
  </si>
  <si>
    <t xml:space="preserve">  SCR's</t>
  </si>
  <si>
    <t>Combine-Cycle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</si>
</sst>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u val="singleAccounting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06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2" fontId="0" fillId="0" borderId="0" xfId="0" applyNumberFormat="1"/>
    <xf numFmtId="0" fontId="111" fillId="0" borderId="0" xfId="0" applyFont="1" applyAlignment="1">
      <alignment horizontal="center"/>
    </xf>
    <xf numFmtId="0" fontId="102" fillId="11" borderId="7" xfId="0" applyFont="1" applyFill="1" applyBorder="1"/>
    <xf numFmtId="9" fontId="0" fillId="11" borderId="6" xfId="20" applyFont="1" applyFill="1" applyBorder="1"/>
    <xf numFmtId="187" fontId="102" fillId="0" borderId="0" xfId="0" applyNumberFormat="1" applyFont="1" applyBorder="1"/>
    <xf numFmtId="187" fontId="102" fillId="11" borderId="0" xfId="0" applyNumberFormat="1" applyFont="1" applyFill="1" applyBorder="1"/>
    <xf numFmtId="187" fontId="102" fillId="0" borderId="9" xfId="0" applyNumberFormat="1" applyFont="1" applyBorder="1"/>
    <xf numFmtId="0" fontId="9" fillId="0" borderId="0" xfId="0" applyFont="1" applyBorder="1" applyAlignment="1">
      <alignment horizontal="right"/>
    </xf>
    <xf numFmtId="322" fontId="0" fillId="0" borderId="0" xfId="0" applyNumberFormat="1"/>
    <xf numFmtId="0" fontId="102" fillId="0" borderId="0" xfId="0" applyFont="1"/>
    <xf numFmtId="44" fontId="0" fillId="0" borderId="0" xfId="4" applyFont="1"/>
    <xf numFmtId="166" fontId="9" fillId="0" borderId="0" xfId="3" applyNumberFormat="1" applyFont="1" applyBorder="1"/>
    <xf numFmtId="44" fontId="0" fillId="0" borderId="4" xfId="4" applyFont="1" applyBorder="1"/>
    <xf numFmtId="0" fontId="0" fillId="0" borderId="0" xfId="0" applyAlignment="1">
      <alignment horizontal="right"/>
    </xf>
    <xf numFmtId="44" fontId="102" fillId="0" borderId="0" xfId="4" applyFont="1"/>
    <xf numFmtId="44" fontId="102" fillId="0" borderId="0" xfId="0" applyNumberFormat="1" applyFont="1"/>
    <xf numFmtId="44" fontId="112" fillId="0" borderId="0" xfId="4" applyFont="1"/>
    <xf numFmtId="0" fontId="111" fillId="0" borderId="0" xfId="0" applyFont="1"/>
    <xf numFmtId="44" fontId="111" fillId="0" borderId="0" xfId="4" applyFont="1"/>
    <xf numFmtId="44" fontId="102" fillId="0" borderId="0" xfId="4" applyFont="1" applyAlignment="1"/>
    <xf numFmtId="165" fontId="22" fillId="8" borderId="0" xfId="4" applyNumberFormat="1" applyFont="1" applyFill="1" applyBorder="1" applyAlignment="1">
      <alignment horizontal="center"/>
    </xf>
    <xf numFmtId="165" fontId="22" fillId="0" borderId="0" xfId="4" applyNumberFormat="1" applyFont="1" applyFill="1" applyBorder="1" applyAlignment="1">
      <alignment horizontal="center"/>
    </xf>
    <xf numFmtId="165" fontId="30" fillId="8" borderId="0" xfId="4" applyNumberFormat="1" applyFont="1" applyFill="1" applyBorder="1" applyAlignment="1">
      <alignment horizontal="center"/>
    </xf>
    <xf numFmtId="165" fontId="3" fillId="0" borderId="0" xfId="4" applyNumberFormat="1" applyFont="1" applyBorder="1"/>
    <xf numFmtId="165" fontId="22" fillId="0" borderId="0" xfId="4" applyNumberFormat="1" applyFont="1" applyBorder="1" applyAlignment="1">
      <alignment horizontal="center"/>
    </xf>
    <xf numFmtId="165" fontId="19" fillId="0" borderId="6" xfId="4" applyNumberFormat="1" applyFont="1" applyFill="1" applyBorder="1" applyAlignment="1">
      <alignment horizontal="center"/>
    </xf>
    <xf numFmtId="165" fontId="109" fillId="8" borderId="0" xfId="4" applyNumberFormat="1" applyFont="1" applyFill="1" applyBorder="1" applyAlignment="1">
      <alignment horizontal="center"/>
    </xf>
    <xf numFmtId="193" fontId="22" fillId="8" borderId="9" xfId="3" applyNumberFormat="1" applyFont="1" applyFill="1" applyBorder="1"/>
    <xf numFmtId="193" fontId="30" fillId="8" borderId="9" xfId="3" applyNumberFormat="1" applyFont="1" applyFill="1" applyBorder="1"/>
    <xf numFmtId="193" fontId="22" fillId="0" borderId="9" xfId="3" applyNumberFormat="1" applyFont="1" applyFill="1" applyBorder="1"/>
    <xf numFmtId="0" fontId="9" fillId="0" borderId="9" xfId="0" applyFont="1" applyBorder="1" applyAlignment="1">
      <alignment horizontal="right"/>
    </xf>
    <xf numFmtId="38" fontId="22" fillId="8" borderId="9" xfId="0" applyNumberFormat="1" applyFont="1" applyFill="1" applyBorder="1"/>
    <xf numFmtId="165" fontId="22" fillId="8" borderId="0" xfId="4" applyNumberFormat="1" applyFont="1" applyFill="1" applyBorder="1" applyAlignment="1"/>
    <xf numFmtId="313" fontId="22" fillId="8" borderId="9" xfId="0" applyNumberFormat="1" applyFont="1" applyFill="1" applyBorder="1" applyAlignment="1" applyProtection="1">
      <alignment horizontal="right"/>
    </xf>
    <xf numFmtId="44" fontId="3" fillId="0" borderId="0" xfId="4" applyFont="1"/>
    <xf numFmtId="9" fontId="3" fillId="0" borderId="0" xfId="20" applyFont="1"/>
    <xf numFmtId="0" fontId="14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22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3" fillId="0" borderId="0" xfId="4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4" applyNumberFormat="1" applyFont="1"/>
    <xf numFmtId="10" fontId="3" fillId="0" borderId="0" xfId="20" applyNumberFormat="1" applyFont="1"/>
    <xf numFmtId="40" fontId="3" fillId="0" borderId="0" xfId="0" applyNumberFormat="1" applyFont="1"/>
    <xf numFmtId="164" fontId="2" fillId="0" borderId="0" xfId="20" applyNumberFormat="1" applyFont="1" applyFill="1" applyBorder="1" applyAlignment="1"/>
    <xf numFmtId="8" fontId="3" fillId="10" borderId="3" xfId="0" applyNumberFormat="1" applyFont="1" applyFill="1" applyBorder="1"/>
    <xf numFmtId="6" fontId="2" fillId="10" borderId="3" xfId="0" applyNumberFormat="1" applyFont="1" applyFill="1" applyBorder="1"/>
    <xf numFmtId="6" fontId="3" fillId="0" borderId="0" xfId="20" applyNumberFormat="1" applyFont="1"/>
    <xf numFmtId="10" fontId="2" fillId="10" borderId="3" xfId="20" applyNumberFormat="1" applyFont="1" applyFill="1" applyBorder="1" applyAlignment="1">
      <alignment horizontal="center"/>
    </xf>
    <xf numFmtId="166" fontId="110" fillId="8" borderId="0" xfId="3" applyNumberFormat="1" applyFont="1" applyFill="1" applyBorder="1"/>
    <xf numFmtId="205" fontId="22" fillId="8" borderId="0" xfId="0" applyNumberFormat="1" applyFont="1" applyFill="1" applyBorder="1"/>
    <xf numFmtId="9" fontId="109" fillId="0" borderId="0" xfId="20" applyFont="1" applyFill="1" applyBorder="1" applyAlignment="1">
      <alignment horizontal="center"/>
    </xf>
    <xf numFmtId="44" fontId="24" fillId="0" borderId="0" xfId="4" applyFont="1"/>
    <xf numFmtId="187" fontId="3" fillId="0" borderId="0" xfId="0" applyNumberFormat="1" applyFont="1"/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165" fontId="3" fillId="0" borderId="9" xfId="4" applyNumberFormat="1" applyFont="1" applyBorder="1" applyAlignment="1">
      <alignment horizontal="center"/>
    </xf>
    <xf numFmtId="165" fontId="3" fillId="0" borderId="9" xfId="4" applyNumberFormat="1" applyFont="1" applyBorder="1"/>
    <xf numFmtId="38" fontId="3" fillId="0" borderId="9" xfId="0" applyNumberFormat="1" applyFont="1" applyBorder="1"/>
    <xf numFmtId="9" fontId="3" fillId="0" borderId="9" xfId="0" applyNumberFormat="1" applyFont="1" applyBorder="1"/>
    <xf numFmtId="9" fontId="3" fillId="0" borderId="9" xfId="20" applyFont="1" applyBorder="1"/>
    <xf numFmtId="0" fontId="3" fillId="0" borderId="15" xfId="0" applyFont="1" applyBorder="1" applyAlignment="1">
      <alignment horizontal="right"/>
    </xf>
    <xf numFmtId="40" fontId="3" fillId="0" borderId="13" xfId="0" applyNumberFormat="1" applyFont="1" applyBorder="1"/>
    <xf numFmtId="2" fontId="24" fillId="0" borderId="0" xfId="0" applyNumberFormat="1" applyFont="1"/>
    <xf numFmtId="164" fontId="3" fillId="0" borderId="0" xfId="20" applyNumberFormat="1" applyFont="1"/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6" fontId="22" fillId="0" borderId="9" xfId="0" applyNumberFormat="1" applyFont="1" applyBorder="1" applyAlignment="1">
      <alignment horizontal="center"/>
    </xf>
    <xf numFmtId="37" fontId="3" fillId="0" borderId="9" xfId="0" applyNumberFormat="1" applyFont="1" applyBorder="1"/>
    <xf numFmtId="10" fontId="3" fillId="0" borderId="9" xfId="20" applyNumberFormat="1" applyFont="1" applyBorder="1"/>
    <xf numFmtId="10" fontId="22" fillId="11" borderId="16" xfId="0" applyNumberFormat="1" applyFont="1" applyFill="1" applyBorder="1" applyAlignment="1">
      <alignment horizontal="center"/>
    </xf>
    <xf numFmtId="6" fontId="22" fillId="11" borderId="3" xfId="20" applyNumberFormat="1" applyFont="1" applyFill="1" applyBorder="1" applyAlignment="1">
      <alignment horizontal="center"/>
    </xf>
    <xf numFmtId="165" fontId="3" fillId="0" borderId="0" xfId="4" applyNumberFormat="1" applyFont="1" applyFill="1" applyBorder="1"/>
    <xf numFmtId="165" fontId="2" fillId="0" borderId="0" xfId="4" applyNumberFormat="1" applyFont="1" applyFill="1" applyBorder="1"/>
    <xf numFmtId="165" fontId="0" fillId="0" borderId="0" xfId="4" applyNumberFormat="1" applyFont="1"/>
    <xf numFmtId="0" fontId="7" fillId="8" borderId="23" xfId="0" applyFont="1" applyFill="1" applyBorder="1"/>
    <xf numFmtId="0" fontId="7" fillId="8" borderId="24" xfId="0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159</v>
      </c>
      <c r="C2" s="5"/>
    </row>
    <row r="3" spans="1:18" s="46" customFormat="1" ht="15.75"/>
    <row r="4" spans="1:18" s="46" customFormat="1" ht="18.75">
      <c r="A4" s="462">
        <v>1</v>
      </c>
      <c r="B4" s="205" t="s">
        <v>388</v>
      </c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  <c r="O4" s="462"/>
      <c r="P4" s="462"/>
      <c r="Q4" s="462"/>
    </row>
    <row r="5" spans="1:18" s="46" customFormat="1" ht="18.75">
      <c r="B5" s="205" t="s">
        <v>389</v>
      </c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  <c r="N5" s="462"/>
      <c r="O5" s="462"/>
      <c r="P5" s="462"/>
      <c r="Q5" s="462"/>
    </row>
    <row r="6" spans="1:18" s="46" customFormat="1" ht="15.75">
      <c r="A6" s="12">
        <v>2</v>
      </c>
      <c r="B6" s="53" t="s">
        <v>301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309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196</v>
      </c>
    </row>
    <row r="13" spans="1:18" s="46" customFormat="1" ht="15.75">
      <c r="A13" s="463"/>
      <c r="B13" s="12"/>
      <c r="C13" s="12"/>
      <c r="D13" s="12"/>
      <c r="E13" s="12"/>
      <c r="F13" s="12"/>
      <c r="G13" s="12"/>
      <c r="H13" s="12"/>
      <c r="I13" s="464" t="s">
        <v>197</v>
      </c>
      <c r="J13" s="12"/>
      <c r="K13" s="12"/>
      <c r="L13" s="12"/>
      <c r="M13" s="12"/>
      <c r="N13" s="12"/>
      <c r="O13" s="464"/>
      <c r="P13" s="12"/>
    </row>
    <row r="14" spans="1:18" s="46" customFormat="1" ht="15.75">
      <c r="A14" s="12">
        <v>1</v>
      </c>
      <c r="B14" s="12" t="s">
        <v>361</v>
      </c>
      <c r="C14" s="12"/>
      <c r="D14" s="12"/>
      <c r="E14" s="12"/>
      <c r="F14" s="12"/>
      <c r="G14" s="12"/>
      <c r="H14" s="12"/>
      <c r="I14" s="12" t="s">
        <v>198</v>
      </c>
      <c r="J14" s="12"/>
      <c r="K14" s="12"/>
      <c r="L14" s="12"/>
      <c r="M14" s="12"/>
      <c r="N14" s="12"/>
      <c r="O14" s="465"/>
      <c r="P14" s="12"/>
    </row>
    <row r="15" spans="1:18" s="46" customFormat="1" ht="15.75">
      <c r="A15" s="12"/>
      <c r="B15" s="12" t="s">
        <v>263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65"/>
      <c r="P15" s="12"/>
    </row>
    <row r="16" spans="1:18" s="46" customFormat="1" ht="15.75">
      <c r="A16" s="12">
        <v>2</v>
      </c>
      <c r="B16" s="12" t="s">
        <v>224</v>
      </c>
      <c r="C16" s="12"/>
      <c r="D16" s="12"/>
      <c r="E16" s="12"/>
      <c r="F16" s="12"/>
      <c r="G16" s="12"/>
      <c r="H16" s="12"/>
      <c r="I16" s="12" t="s">
        <v>198</v>
      </c>
      <c r="J16" s="12"/>
      <c r="K16" s="12"/>
      <c r="L16" s="12"/>
      <c r="M16" s="12"/>
      <c r="N16" s="12"/>
      <c r="O16" s="465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356</v>
      </c>
      <c r="J17" s="12"/>
      <c r="K17" s="12"/>
      <c r="L17" s="12"/>
      <c r="M17" s="12"/>
      <c r="N17" s="12"/>
      <c r="O17" s="465"/>
      <c r="P17" s="12"/>
    </row>
    <row r="18" spans="1:16" s="46" customFormat="1" ht="15.75">
      <c r="A18" s="12">
        <v>4</v>
      </c>
      <c r="B18" s="12" t="s">
        <v>249</v>
      </c>
      <c r="C18" s="12"/>
      <c r="D18" s="12"/>
      <c r="E18" s="12"/>
      <c r="F18" s="12"/>
      <c r="G18" s="12"/>
      <c r="H18" s="12"/>
      <c r="I18" s="12" t="s">
        <v>407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303</v>
      </c>
      <c r="C19" s="12"/>
      <c r="D19" s="12"/>
      <c r="E19" s="12"/>
      <c r="F19" s="12"/>
      <c r="G19" s="12"/>
      <c r="H19" s="12"/>
      <c r="I19" s="12" t="s">
        <v>273</v>
      </c>
      <c r="J19" s="12"/>
      <c r="K19" s="12"/>
      <c r="L19" s="12"/>
      <c r="M19" s="12"/>
      <c r="N19" s="12"/>
      <c r="O19" s="465"/>
      <c r="P19" s="12"/>
    </row>
    <row r="20" spans="1:16" s="46" customFormat="1" ht="15.75">
      <c r="A20" s="12">
        <v>6</v>
      </c>
      <c r="B20" s="12" t="s">
        <v>323</v>
      </c>
      <c r="C20" s="12"/>
      <c r="D20" s="12"/>
      <c r="E20" s="12"/>
      <c r="F20" s="12"/>
      <c r="G20" s="12"/>
      <c r="H20" s="12"/>
      <c r="I20" s="12" t="s">
        <v>324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354</v>
      </c>
      <c r="C21" s="12"/>
      <c r="D21" s="12"/>
      <c r="E21" s="12"/>
      <c r="F21" s="12"/>
      <c r="G21" s="12"/>
      <c r="H21" s="12"/>
      <c r="I21" s="12" t="s">
        <v>273</v>
      </c>
      <c r="J21" s="12"/>
      <c r="K21" s="12"/>
      <c r="L21" s="12"/>
      <c r="M21" s="12"/>
      <c r="N21" s="12"/>
      <c r="O21" s="465"/>
      <c r="P21" s="12"/>
    </row>
    <row r="22" spans="1:16" s="46" customFormat="1" ht="15.75">
      <c r="A22" s="12">
        <v>8</v>
      </c>
      <c r="B22" s="12" t="s">
        <v>357</v>
      </c>
      <c r="C22" s="12"/>
      <c r="D22" s="12"/>
      <c r="E22" s="12"/>
      <c r="F22" s="12"/>
      <c r="G22" s="12"/>
      <c r="H22" s="12"/>
      <c r="I22" s="12" t="s">
        <v>358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397</v>
      </c>
      <c r="C23" s="12"/>
      <c r="D23" s="12"/>
      <c r="E23" s="12"/>
      <c r="F23" s="12"/>
      <c r="G23" s="12"/>
      <c r="H23" s="12"/>
      <c r="I23" s="12" t="s">
        <v>273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266</v>
      </c>
    </row>
    <row r="28" spans="1:16" s="46" customFormat="1" ht="18.75">
      <c r="A28" s="276"/>
    </row>
    <row r="29" spans="1:16" s="46" customFormat="1" ht="15.75">
      <c r="A29" s="12"/>
      <c r="B29" s="466" t="s">
        <v>291</v>
      </c>
      <c r="C29" s="12"/>
      <c r="D29" s="12"/>
      <c r="E29" s="466" t="s">
        <v>290</v>
      </c>
      <c r="F29" s="466"/>
      <c r="G29" s="466"/>
      <c r="H29" s="466" t="s">
        <v>292</v>
      </c>
      <c r="I29" s="12"/>
      <c r="J29" s="12"/>
    </row>
    <row r="30" spans="1:16" s="46" customFormat="1" ht="15.75">
      <c r="A30" s="12"/>
      <c r="B30" s="12" t="s">
        <v>363</v>
      </c>
      <c r="C30" s="12"/>
      <c r="D30" s="12"/>
      <c r="E30" s="12" t="s">
        <v>275</v>
      </c>
      <c r="F30" s="12"/>
      <c r="G30" s="12"/>
      <c r="H30" s="12" t="s">
        <v>287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276</v>
      </c>
      <c r="F31" s="12"/>
      <c r="G31" s="12"/>
      <c r="H31" s="12" t="s">
        <v>288</v>
      </c>
      <c r="I31" s="12"/>
      <c r="J31" s="12"/>
    </row>
    <row r="32" spans="1:16" s="46" customFormat="1" ht="15.75">
      <c r="A32" s="12"/>
      <c r="B32" s="12" t="s">
        <v>364</v>
      </c>
      <c r="C32" s="12"/>
      <c r="D32" s="12"/>
      <c r="E32" s="12" t="s">
        <v>277</v>
      </c>
      <c r="F32" s="12"/>
      <c r="G32" s="12"/>
      <c r="H32" s="12" t="s">
        <v>289</v>
      </c>
      <c r="I32" s="12"/>
      <c r="J32" s="12"/>
    </row>
    <row r="33" spans="1:10" s="46" customFormat="1" ht="15.75">
      <c r="A33" s="12"/>
      <c r="B33" s="12" t="s">
        <v>271</v>
      </c>
      <c r="C33" s="12"/>
      <c r="D33" s="12"/>
      <c r="E33" s="12" t="s">
        <v>272</v>
      </c>
      <c r="F33" s="12"/>
      <c r="G33" s="12"/>
      <c r="H33" s="12" t="s">
        <v>284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273</v>
      </c>
      <c r="F34" s="12"/>
      <c r="G34" s="12"/>
      <c r="H34" s="12" t="s">
        <v>285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274</v>
      </c>
      <c r="F35" s="12"/>
      <c r="G35" s="12"/>
      <c r="H35" s="12" t="s">
        <v>286</v>
      </c>
      <c r="I35" s="12"/>
      <c r="J35" s="12"/>
    </row>
    <row r="36" spans="1:10" s="46" customFormat="1" ht="15.75">
      <c r="A36" s="12"/>
      <c r="B36" s="12" t="s">
        <v>269</v>
      </c>
      <c r="C36" s="12"/>
      <c r="D36" s="12"/>
      <c r="E36" s="12" t="s">
        <v>270</v>
      </c>
      <c r="F36" s="12"/>
      <c r="G36" s="12"/>
      <c r="H36" s="12" t="s">
        <v>283</v>
      </c>
      <c r="I36" s="12"/>
      <c r="J36" s="12"/>
    </row>
    <row r="37" spans="1:10" s="46" customFormat="1" ht="15.75">
      <c r="A37" s="12"/>
      <c r="B37" s="12" t="s">
        <v>323</v>
      </c>
      <c r="C37" s="12"/>
      <c r="D37" s="12"/>
      <c r="E37" s="12" t="s">
        <v>324</v>
      </c>
      <c r="F37" s="12"/>
      <c r="G37" s="12"/>
      <c r="H37" s="12" t="s">
        <v>321</v>
      </c>
      <c r="I37" s="12"/>
      <c r="J37" s="12"/>
    </row>
    <row r="38" spans="1:10" s="46" customFormat="1" ht="15.75">
      <c r="A38" s="12"/>
      <c r="B38" s="12" t="s">
        <v>267</v>
      </c>
      <c r="C38" s="12"/>
      <c r="D38" s="12"/>
      <c r="E38" s="12" t="s">
        <v>268</v>
      </c>
      <c r="F38" s="12"/>
      <c r="G38" s="12"/>
      <c r="H38" s="12" t="s">
        <v>322</v>
      </c>
      <c r="I38" s="12"/>
      <c r="J38" s="12"/>
    </row>
    <row r="39" spans="1:10" s="46" customFormat="1" ht="15.75">
      <c r="A39" s="12"/>
      <c r="B39" s="12" t="s">
        <v>402</v>
      </c>
      <c r="C39" s="12"/>
      <c r="D39" s="12"/>
      <c r="E39" s="12" t="s">
        <v>386</v>
      </c>
      <c r="F39" s="12"/>
      <c r="G39" s="12"/>
      <c r="H39" s="12" t="s">
        <v>387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411</v>
      </c>
      <c r="F40" s="12"/>
      <c r="G40" s="12"/>
      <c r="H40" s="12" t="s">
        <v>412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198</v>
      </c>
      <c r="F41" s="12"/>
      <c r="G41" s="12"/>
      <c r="H41" s="12" t="s">
        <v>282</v>
      </c>
      <c r="I41" s="12"/>
      <c r="J41" s="12"/>
    </row>
    <row r="42" spans="1:10" s="46" customFormat="1" ht="15.75">
      <c r="A42" s="12"/>
      <c r="B42" s="12" t="s">
        <v>359</v>
      </c>
      <c r="C42" s="12"/>
      <c r="D42" s="12"/>
      <c r="E42" s="12" t="s">
        <v>384</v>
      </c>
      <c r="F42" s="12"/>
      <c r="G42" s="12"/>
      <c r="H42" s="12" t="s">
        <v>385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358</v>
      </c>
      <c r="F43" s="12"/>
      <c r="G43" s="12"/>
      <c r="H43" s="12" t="s">
        <v>360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Homestead, Florida</v>
      </c>
    </row>
    <row r="4" spans="1:60" ht="18.75">
      <c r="A4" s="60" t="s">
        <v>131</v>
      </c>
      <c r="B4" s="8"/>
      <c r="C4" s="8"/>
    </row>
    <row r="6" spans="1:60">
      <c r="C6" s="308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5" thickBot="1">
      <c r="A7" s="122" t="s">
        <v>38</v>
      </c>
      <c r="B7" s="7"/>
      <c r="C7" s="309" t="s">
        <v>244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0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132</v>
      </c>
      <c r="B9" s="12"/>
      <c r="C9" s="311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1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133</v>
      </c>
      <c r="B11" s="12"/>
      <c r="C11" s="312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1"/>
      <c r="AJ11" s="301"/>
      <c r="AK11" s="301"/>
      <c r="AL11" s="301"/>
      <c r="AM11" s="301"/>
      <c r="AN11" s="301"/>
      <c r="AO11" s="301"/>
      <c r="AP11" s="301"/>
      <c r="AQ11" s="301"/>
      <c r="AR11" s="301"/>
      <c r="AS11" s="301"/>
      <c r="AT11" s="301"/>
      <c r="AU11" s="301"/>
      <c r="AV11" s="301"/>
      <c r="AW11" s="301"/>
      <c r="AX11" s="301"/>
      <c r="AY11" s="301"/>
      <c r="AZ11" s="301"/>
      <c r="BA11" s="301"/>
      <c r="BB11" s="301"/>
      <c r="BC11" s="301"/>
      <c r="BD11" s="301"/>
      <c r="BE11" s="301"/>
      <c r="BF11" s="301"/>
      <c r="BG11" s="301"/>
      <c r="BH11" s="301"/>
    </row>
    <row r="12" spans="1:60">
      <c r="A12" s="23" t="s">
        <v>134</v>
      </c>
      <c r="B12" s="12"/>
      <c r="C12" s="312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1"/>
      <c r="AJ12" s="301"/>
      <c r="AK12" s="301"/>
      <c r="AL12" s="301"/>
      <c r="AM12" s="301"/>
      <c r="AN12" s="301"/>
      <c r="AO12" s="301"/>
      <c r="AP12" s="301"/>
      <c r="AQ12" s="301"/>
      <c r="AR12" s="301"/>
      <c r="AS12" s="301"/>
      <c r="AT12" s="301"/>
      <c r="AU12" s="301"/>
      <c r="AV12" s="301"/>
      <c r="AW12" s="301"/>
      <c r="AX12" s="301"/>
      <c r="AY12" s="301"/>
      <c r="AZ12" s="301"/>
      <c r="BA12" s="301"/>
      <c r="BB12" s="301"/>
      <c r="BC12" s="301"/>
      <c r="BD12" s="301"/>
      <c r="BE12" s="301"/>
      <c r="BF12" s="301"/>
      <c r="BG12" s="301"/>
      <c r="BH12" s="301"/>
    </row>
    <row r="13" spans="1:60">
      <c r="A13" s="23" t="s">
        <v>135</v>
      </c>
      <c r="B13" s="12"/>
      <c r="C13" s="312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1"/>
      <c r="AJ13" s="301"/>
      <c r="AK13" s="301"/>
      <c r="AL13" s="301"/>
      <c r="AM13" s="301"/>
      <c r="AN13" s="301"/>
      <c r="AO13" s="301"/>
      <c r="AP13" s="301"/>
      <c r="AQ13" s="301"/>
      <c r="AR13" s="301"/>
      <c r="AS13" s="301"/>
      <c r="AT13" s="301"/>
      <c r="AU13" s="301"/>
      <c r="AV13" s="301"/>
      <c r="AW13" s="301"/>
      <c r="AX13" s="301"/>
      <c r="AY13" s="301"/>
      <c r="AZ13" s="301"/>
      <c r="BA13" s="301"/>
      <c r="BB13" s="301"/>
      <c r="BC13" s="301"/>
      <c r="BD13" s="301"/>
      <c r="BE13" s="301"/>
      <c r="BF13" s="301"/>
      <c r="BG13" s="301"/>
      <c r="BH13" s="301"/>
    </row>
    <row r="14" spans="1:60">
      <c r="A14" s="23" t="s">
        <v>136</v>
      </c>
      <c r="B14" s="12"/>
      <c r="C14" s="312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1"/>
      <c r="AJ14" s="301"/>
      <c r="AK14" s="301"/>
      <c r="AL14" s="301"/>
      <c r="AM14" s="301"/>
      <c r="AN14" s="301"/>
      <c r="AO14" s="301"/>
      <c r="AP14" s="301"/>
      <c r="AQ14" s="301"/>
      <c r="AR14" s="301"/>
      <c r="AS14" s="301"/>
      <c r="AT14" s="301"/>
      <c r="AU14" s="301"/>
      <c r="AV14" s="301"/>
      <c r="AW14" s="301"/>
      <c r="AX14" s="301"/>
      <c r="AY14" s="301"/>
      <c r="AZ14" s="301"/>
      <c r="BA14" s="301"/>
      <c r="BB14" s="301"/>
      <c r="BC14" s="301"/>
      <c r="BD14" s="301"/>
      <c r="BE14" s="301"/>
      <c r="BF14" s="301"/>
      <c r="BG14" s="301"/>
      <c r="BH14" s="301"/>
    </row>
    <row r="15" spans="1:60">
      <c r="A15" s="300" t="s">
        <v>137</v>
      </c>
      <c r="B15" s="58"/>
      <c r="C15" s="313">
        <v>0</v>
      </c>
      <c r="D15" s="300">
        <v>0</v>
      </c>
      <c r="E15" s="300">
        <v>0</v>
      </c>
      <c r="F15" s="300">
        <v>0</v>
      </c>
      <c r="G15" s="300">
        <v>0</v>
      </c>
      <c r="H15" s="300">
        <v>0</v>
      </c>
      <c r="I15" s="300">
        <v>0</v>
      </c>
      <c r="J15" s="300">
        <v>0</v>
      </c>
      <c r="K15" s="300">
        <v>0</v>
      </c>
      <c r="L15" s="300">
        <v>0</v>
      </c>
      <c r="M15" s="300">
        <v>0</v>
      </c>
      <c r="N15" s="300">
        <v>0</v>
      </c>
      <c r="O15" s="300">
        <v>0</v>
      </c>
      <c r="P15" s="300">
        <v>0</v>
      </c>
      <c r="Q15" s="300">
        <v>0</v>
      </c>
      <c r="R15" s="300">
        <v>0</v>
      </c>
      <c r="S15" s="300">
        <v>0</v>
      </c>
      <c r="T15" s="300">
        <v>0</v>
      </c>
      <c r="U15" s="300">
        <v>0</v>
      </c>
      <c r="V15" s="300">
        <v>0</v>
      </c>
      <c r="W15" s="300">
        <v>0</v>
      </c>
      <c r="X15" s="300">
        <v>0</v>
      </c>
      <c r="Y15" s="300">
        <v>0</v>
      </c>
      <c r="Z15" s="300">
        <v>0</v>
      </c>
      <c r="AA15" s="300">
        <v>0</v>
      </c>
      <c r="AB15" s="300">
        <v>0</v>
      </c>
      <c r="AC15" s="300">
        <v>0</v>
      </c>
      <c r="AD15" s="300">
        <v>0</v>
      </c>
      <c r="AE15" s="300">
        <v>0</v>
      </c>
      <c r="AF15" s="300">
        <v>0</v>
      </c>
      <c r="AG15" s="300">
        <v>0</v>
      </c>
      <c r="AH15" s="300">
        <v>0</v>
      </c>
      <c r="AI15" s="301"/>
      <c r="AJ15" s="301"/>
      <c r="AK15" s="301"/>
      <c r="AL15" s="301"/>
      <c r="AM15" s="301"/>
      <c r="AN15" s="301"/>
      <c r="AO15" s="301"/>
      <c r="AP15" s="301"/>
      <c r="AQ15" s="301"/>
      <c r="AR15" s="301"/>
      <c r="AS15" s="301"/>
      <c r="AT15" s="301"/>
      <c r="AU15" s="301"/>
      <c r="AV15" s="301"/>
      <c r="AW15" s="301"/>
      <c r="AX15" s="301"/>
      <c r="AY15" s="301"/>
      <c r="AZ15" s="301"/>
      <c r="BA15" s="301"/>
      <c r="BB15" s="301"/>
      <c r="BC15" s="301"/>
      <c r="BD15" s="301"/>
      <c r="BE15" s="301"/>
      <c r="BF15" s="301"/>
      <c r="BG15" s="301"/>
      <c r="BH15" s="301"/>
    </row>
    <row r="16" spans="1:60">
      <c r="A16" s="23" t="s">
        <v>138</v>
      </c>
      <c r="B16" s="12"/>
      <c r="C16" s="312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1"/>
      <c r="AJ16" s="301"/>
      <c r="AK16" s="301"/>
      <c r="AL16" s="301"/>
      <c r="AM16" s="301"/>
      <c r="AN16" s="301"/>
      <c r="AO16" s="301"/>
      <c r="AP16" s="301"/>
      <c r="AQ16" s="301"/>
      <c r="AR16" s="301"/>
      <c r="AS16" s="301"/>
      <c r="AT16" s="301"/>
      <c r="AU16" s="301"/>
      <c r="AV16" s="301"/>
      <c r="AW16" s="301"/>
      <c r="AX16" s="301"/>
      <c r="AY16" s="301"/>
      <c r="AZ16" s="301"/>
      <c r="BA16" s="301"/>
      <c r="BB16" s="301"/>
      <c r="BC16" s="301"/>
      <c r="BD16" s="301"/>
      <c r="BE16" s="301"/>
      <c r="BF16" s="301"/>
      <c r="BG16" s="301"/>
      <c r="BH16" s="301"/>
    </row>
    <row r="17" spans="1:60">
      <c r="A17" s="13"/>
      <c r="B17" s="12"/>
      <c r="C17" s="312"/>
      <c r="D17" s="18"/>
      <c r="E17" s="18"/>
      <c r="F17" s="301"/>
      <c r="G17" s="301"/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150"/>
      <c r="AA17" s="150"/>
      <c r="AB17" s="301"/>
      <c r="AC17" s="301"/>
      <c r="AD17" s="301"/>
      <c r="AE17" s="301"/>
      <c r="AF17" s="301"/>
      <c r="AG17" s="301"/>
      <c r="AH17" s="301"/>
      <c r="AI17" s="301"/>
      <c r="AJ17" s="301"/>
      <c r="AK17" s="301"/>
      <c r="AL17" s="301"/>
      <c r="AM17" s="301"/>
      <c r="AN17" s="301"/>
      <c r="AO17" s="301"/>
      <c r="AP17" s="301"/>
      <c r="AQ17" s="301"/>
      <c r="AR17" s="301"/>
      <c r="AS17" s="301"/>
      <c r="AT17" s="301"/>
      <c r="AU17" s="301"/>
      <c r="AV17" s="301"/>
      <c r="AW17" s="301"/>
      <c r="AX17" s="301"/>
      <c r="AY17" s="301"/>
      <c r="AZ17" s="301"/>
      <c r="BA17" s="301"/>
      <c r="BB17" s="301"/>
      <c r="BC17" s="301"/>
      <c r="BD17" s="301"/>
      <c r="BE17" s="301"/>
      <c r="BF17" s="301"/>
      <c r="BG17" s="301"/>
      <c r="BH17" s="301"/>
    </row>
    <row r="18" spans="1:60">
      <c r="A18" s="23" t="s">
        <v>139</v>
      </c>
      <c r="B18" s="12"/>
      <c r="C18" s="312">
        <f>Assumptions!C60</f>
        <v>213517.67321826715</v>
      </c>
      <c r="D18" s="18">
        <f>Depreciation!$B$48</f>
        <v>210119.98321826715</v>
      </c>
      <c r="E18" s="18">
        <f>Depreciation!$B$48</f>
        <v>210119.98321826715</v>
      </c>
      <c r="F18" s="18">
        <f>Depreciation!$B$48</f>
        <v>210119.98321826715</v>
      </c>
      <c r="G18" s="18">
        <f>Depreciation!$B$48</f>
        <v>210119.98321826715</v>
      </c>
      <c r="H18" s="18">
        <f>Depreciation!$B$48</f>
        <v>210119.98321826715</v>
      </c>
      <c r="I18" s="18">
        <f>Depreciation!$B$48</f>
        <v>210119.98321826715</v>
      </c>
      <c r="J18" s="18">
        <f>Depreciation!$B$48</f>
        <v>210119.98321826715</v>
      </c>
      <c r="K18" s="18">
        <f>Depreciation!$B$48</f>
        <v>210119.98321826715</v>
      </c>
      <c r="L18" s="18">
        <f>Depreciation!$B$48</f>
        <v>210119.98321826715</v>
      </c>
      <c r="M18" s="18">
        <f>Depreciation!$B$48</f>
        <v>210119.98321826715</v>
      </c>
      <c r="N18" s="18">
        <f>Depreciation!$B$48</f>
        <v>210119.98321826715</v>
      </c>
      <c r="O18" s="18">
        <f>Depreciation!$B$48</f>
        <v>210119.98321826715</v>
      </c>
      <c r="P18" s="18">
        <f>Depreciation!$B$48</f>
        <v>210119.98321826715</v>
      </c>
      <c r="Q18" s="18">
        <f>Depreciation!$B$48</f>
        <v>210119.98321826715</v>
      </c>
      <c r="R18" s="18">
        <f>Depreciation!$B$48</f>
        <v>210119.98321826715</v>
      </c>
      <c r="S18" s="18">
        <f>Depreciation!$B$48</f>
        <v>210119.98321826715</v>
      </c>
      <c r="T18" s="18">
        <f>Depreciation!$B$48</f>
        <v>210119.98321826715</v>
      </c>
      <c r="U18" s="18">
        <f>Depreciation!$B$48</f>
        <v>210119.98321826715</v>
      </c>
      <c r="V18" s="18">
        <f>Depreciation!$B$48</f>
        <v>210119.98321826715</v>
      </c>
      <c r="W18" s="18">
        <f>Depreciation!$B$48</f>
        <v>210119.98321826715</v>
      </c>
      <c r="X18" s="18">
        <f>Depreciation!$B$48</f>
        <v>210119.98321826715</v>
      </c>
      <c r="Y18" s="18">
        <f>Depreciation!$B$48</f>
        <v>210119.98321826715</v>
      </c>
      <c r="Z18" s="18">
        <f>Depreciation!$B$48</f>
        <v>210119.98321826715</v>
      </c>
      <c r="AA18" s="18">
        <f>Depreciation!$B$48</f>
        <v>210119.98321826715</v>
      </c>
      <c r="AB18" s="18">
        <f>Depreciation!$B$48</f>
        <v>210119.98321826715</v>
      </c>
      <c r="AC18" s="18">
        <f>Depreciation!$B$48</f>
        <v>210119.98321826715</v>
      </c>
      <c r="AD18" s="18">
        <f>Depreciation!$B$48</f>
        <v>210119.98321826715</v>
      </c>
      <c r="AE18" s="18">
        <f>Depreciation!$B$48</f>
        <v>210119.98321826715</v>
      </c>
      <c r="AF18" s="18">
        <f>Depreciation!$B$48</f>
        <v>210119.98321826715</v>
      </c>
      <c r="AG18" s="18">
        <f>Depreciation!$B$48</f>
        <v>210119.98321826715</v>
      </c>
      <c r="AH18" s="18">
        <f>Depreciation!$B$48</f>
        <v>210119.98321826715</v>
      </c>
      <c r="AI18" s="301"/>
      <c r="AJ18" s="301"/>
      <c r="AK18" s="301"/>
      <c r="AL18" s="301"/>
      <c r="AM18" s="301"/>
      <c r="AN18" s="301"/>
      <c r="AO18" s="301"/>
      <c r="AP18" s="301"/>
      <c r="AQ18" s="301"/>
      <c r="AR18" s="301"/>
      <c r="AS18" s="301"/>
      <c r="AT18" s="301"/>
      <c r="AU18" s="301"/>
      <c r="AV18" s="301"/>
      <c r="AW18" s="301"/>
      <c r="AX18" s="301"/>
      <c r="AY18" s="301"/>
      <c r="AZ18" s="301"/>
      <c r="BA18" s="301"/>
      <c r="BB18" s="301"/>
      <c r="BC18" s="301"/>
      <c r="BD18" s="301"/>
      <c r="BE18" s="301"/>
      <c r="BF18" s="301"/>
      <c r="BG18" s="301"/>
      <c r="BH18" s="301"/>
    </row>
    <row r="19" spans="1:60">
      <c r="A19" s="23" t="s">
        <v>140</v>
      </c>
      <c r="B19" s="13"/>
      <c r="C19" s="314">
        <v>0</v>
      </c>
      <c r="D19" s="302">
        <f>SUM(Depreciation!$D$48:D48)</f>
        <v>5733.4303120320092</v>
      </c>
      <c r="E19" s="302">
        <f>SUM(Depreciation!$D$48:E48)</f>
        <v>14333.575780080024</v>
      </c>
      <c r="F19" s="302">
        <f>SUM(Depreciation!$D$48:F48)</f>
        <v>22933.721248128037</v>
      </c>
      <c r="G19" s="302">
        <f>SUM(Depreciation!$D$48:G48)</f>
        <v>31533.866716176053</v>
      </c>
      <c r="H19" s="302">
        <f>SUM(Depreciation!$D$48:H48)</f>
        <v>40134.01218422407</v>
      </c>
      <c r="I19" s="302">
        <f>SUM(Depreciation!$D$48:I48)</f>
        <v>46932.945125605416</v>
      </c>
      <c r="J19" s="302">
        <f>SUM(Depreciation!$D$48:J48)</f>
        <v>52831.271803653428</v>
      </c>
      <c r="K19" s="302">
        <f>SUM(Depreciation!$D$48:K48)</f>
        <v>58729.59848170144</v>
      </c>
      <c r="L19" s="302">
        <f>SUM(Depreciation!$D$48:L48)</f>
        <v>64627.925159749451</v>
      </c>
      <c r="M19" s="302">
        <f>SUM(Depreciation!$D$48:M48)</f>
        <v>70526.251837797463</v>
      </c>
      <c r="N19" s="302">
        <f>SUM(Depreciation!$D$48:N48)</f>
        <v>76424.578515845482</v>
      </c>
      <c r="O19" s="302">
        <f>SUM(Depreciation!$D$48:O48)</f>
        <v>82322.905193893501</v>
      </c>
      <c r="P19" s="302">
        <f>SUM(Depreciation!$D$48:P48)</f>
        <v>88221.23187194152</v>
      </c>
      <c r="Q19" s="302">
        <f>SUM(Depreciation!$D$48:Q48)</f>
        <v>94119.558549989539</v>
      </c>
      <c r="R19" s="302">
        <f>SUM(Depreciation!$D$48:R48)</f>
        <v>100017.88522803756</v>
      </c>
      <c r="S19" s="302">
        <f>SUM(Depreciation!$D$48:S48)</f>
        <v>105916.21190608558</v>
      </c>
      <c r="T19" s="302">
        <f>SUM(Depreciation!$D$48:T48)</f>
        <v>111814.5385841336</v>
      </c>
      <c r="U19" s="302">
        <f>SUM(Depreciation!$D$48:U48)</f>
        <v>117712.86526218161</v>
      </c>
      <c r="V19" s="302">
        <f>SUM(Depreciation!$D$48:V48)</f>
        <v>123611.19194022963</v>
      </c>
      <c r="W19" s="302">
        <f>SUM(Depreciation!$D$48:W48)</f>
        <v>129509.51861827765</v>
      </c>
      <c r="X19" s="302">
        <f>SUM(Depreciation!$D$48:X48)</f>
        <v>135407.84529632566</v>
      </c>
      <c r="Y19" s="302">
        <f>SUM(Depreciation!$D$48:Y48)</f>
        <v>141306.17197437366</v>
      </c>
      <c r="Z19" s="302">
        <f>SUM(Depreciation!$D$48:Z48)</f>
        <v>147204.49865242167</v>
      </c>
      <c r="AA19" s="302">
        <f>SUM(Depreciation!$D$48:AA48)</f>
        <v>153102.82533046967</v>
      </c>
      <c r="AB19" s="302">
        <f>SUM(Depreciation!$D$48:AB48)</f>
        <v>159001.15200851767</v>
      </c>
      <c r="AC19" s="302">
        <f>SUM(Depreciation!$D$48:AC48)</f>
        <v>164899.47868656568</v>
      </c>
      <c r="AD19" s="302">
        <f>SUM(Depreciation!$D$48:AD48)</f>
        <v>170797.80536461368</v>
      </c>
      <c r="AE19" s="302">
        <f>SUM(Depreciation!$D$48:AE48)</f>
        <v>176696.13204266169</v>
      </c>
      <c r="AF19" s="302">
        <f>SUM(Depreciation!$D$48:AF48)</f>
        <v>182594.45872070969</v>
      </c>
      <c r="AG19" s="302">
        <f>SUM(Depreciation!$D$48:AG48)</f>
        <v>188492.7853987577</v>
      </c>
      <c r="AH19" s="302">
        <f>SUM(Depreciation!$D$48:AH48)</f>
        <v>190458.89429144037</v>
      </c>
      <c r="AI19" s="301"/>
      <c r="AJ19" s="301"/>
      <c r="AK19" s="301"/>
      <c r="AL19" s="301"/>
      <c r="AM19" s="301"/>
      <c r="AN19" s="301"/>
      <c r="AO19" s="301"/>
      <c r="AP19" s="301"/>
      <c r="AQ19" s="301"/>
      <c r="AR19" s="301"/>
      <c r="AS19" s="301"/>
      <c r="AT19" s="301"/>
      <c r="AU19" s="301"/>
      <c r="AV19" s="301"/>
      <c r="AW19" s="301"/>
      <c r="AX19" s="301"/>
      <c r="AY19" s="301"/>
      <c r="AZ19" s="301"/>
      <c r="BA19" s="301"/>
      <c r="BB19" s="301"/>
      <c r="BC19" s="301"/>
      <c r="BD19" s="301"/>
      <c r="BE19" s="301"/>
      <c r="BF19" s="301"/>
      <c r="BG19" s="301"/>
      <c r="BH19" s="301"/>
    </row>
    <row r="20" spans="1:60">
      <c r="A20" s="23" t="s">
        <v>141</v>
      </c>
      <c r="B20" s="13"/>
      <c r="C20" s="315">
        <f>C18-C19</f>
        <v>213517.67321826715</v>
      </c>
      <c r="D20" s="23">
        <f>D18-D19</f>
        <v>204386.55290623516</v>
      </c>
      <c r="E20" s="23">
        <f t="shared" ref="E20:AH20" si="2">E18-E19</f>
        <v>195786.40743818713</v>
      </c>
      <c r="F20" s="23">
        <f t="shared" si="2"/>
        <v>187186.26197013911</v>
      </c>
      <c r="G20" s="23">
        <f t="shared" si="2"/>
        <v>178586.11650209111</v>
      </c>
      <c r="H20" s="23">
        <f t="shared" si="2"/>
        <v>169985.97103404309</v>
      </c>
      <c r="I20" s="23">
        <f t="shared" si="2"/>
        <v>163187.03809266174</v>
      </c>
      <c r="J20" s="23">
        <f t="shared" si="2"/>
        <v>157288.71141461373</v>
      </c>
      <c r="K20" s="23">
        <f t="shared" si="2"/>
        <v>151390.3847365657</v>
      </c>
      <c r="L20" s="23">
        <f t="shared" si="2"/>
        <v>145492.05805851769</v>
      </c>
      <c r="M20" s="23">
        <f t="shared" si="2"/>
        <v>139593.73138046969</v>
      </c>
      <c r="N20" s="23">
        <f t="shared" si="2"/>
        <v>133695.40470242169</v>
      </c>
      <c r="O20" s="23">
        <f t="shared" si="2"/>
        <v>127797.07802437365</v>
      </c>
      <c r="P20" s="23">
        <f t="shared" si="2"/>
        <v>121898.75134632563</v>
      </c>
      <c r="Q20" s="23">
        <f t="shared" si="2"/>
        <v>116000.42466827761</v>
      </c>
      <c r="R20" s="23">
        <f t="shared" si="2"/>
        <v>110102.09799022959</v>
      </c>
      <c r="S20" s="23">
        <f t="shared" si="2"/>
        <v>104203.77131218158</v>
      </c>
      <c r="T20" s="23">
        <f t="shared" si="2"/>
        <v>98305.444634133557</v>
      </c>
      <c r="U20" s="23">
        <f t="shared" si="2"/>
        <v>92407.117956085538</v>
      </c>
      <c r="V20" s="23">
        <f t="shared" si="2"/>
        <v>86508.791278037519</v>
      </c>
      <c r="W20" s="23">
        <f t="shared" si="2"/>
        <v>80610.4645999895</v>
      </c>
      <c r="X20" s="23">
        <f t="shared" si="2"/>
        <v>74712.137921941496</v>
      </c>
      <c r="Y20" s="23">
        <f t="shared" si="2"/>
        <v>68813.811243893491</v>
      </c>
      <c r="Z20" s="23">
        <f t="shared" si="2"/>
        <v>62915.484565845487</v>
      </c>
      <c r="AA20" s="23">
        <f t="shared" si="2"/>
        <v>57017.157887797483</v>
      </c>
      <c r="AB20" s="23">
        <f t="shared" si="2"/>
        <v>51118.831209749478</v>
      </c>
      <c r="AC20" s="23">
        <f t="shared" si="2"/>
        <v>45220.504531701474</v>
      </c>
      <c r="AD20" s="23">
        <f t="shared" si="2"/>
        <v>39322.177853653469</v>
      </c>
      <c r="AE20" s="23">
        <f t="shared" si="2"/>
        <v>33423.851175605465</v>
      </c>
      <c r="AF20" s="23">
        <f t="shared" si="2"/>
        <v>27525.524497557461</v>
      </c>
      <c r="AG20" s="23">
        <f t="shared" si="2"/>
        <v>21627.197819509456</v>
      </c>
      <c r="AH20" s="23">
        <f t="shared" si="2"/>
        <v>19661.088926826778</v>
      </c>
      <c r="AI20" s="301"/>
      <c r="AJ20" s="301"/>
      <c r="AK20" s="301"/>
      <c r="AL20" s="301"/>
      <c r="AM20" s="301"/>
      <c r="AN20" s="301"/>
      <c r="AO20" s="301"/>
      <c r="AP20" s="301"/>
      <c r="AQ20" s="301"/>
      <c r="AR20" s="301"/>
      <c r="AS20" s="301"/>
      <c r="AT20" s="301"/>
      <c r="AU20" s="301"/>
      <c r="AV20" s="301"/>
      <c r="AW20" s="301"/>
      <c r="AX20" s="301"/>
      <c r="AY20" s="301"/>
      <c r="AZ20" s="301"/>
      <c r="BA20" s="301"/>
      <c r="BB20" s="301"/>
      <c r="BC20" s="301"/>
      <c r="BD20" s="301"/>
      <c r="BE20" s="301"/>
      <c r="BF20" s="301"/>
      <c r="BG20" s="301"/>
      <c r="BH20" s="301"/>
    </row>
    <row r="21" spans="1:60">
      <c r="A21" s="23"/>
      <c r="B21" s="13"/>
      <c r="C21" s="315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1"/>
      <c r="AJ21" s="301"/>
      <c r="AK21" s="301"/>
      <c r="AL21" s="301"/>
      <c r="AM21" s="301"/>
      <c r="AN21" s="301"/>
      <c r="AO21" s="301"/>
      <c r="AP21" s="301"/>
      <c r="AQ21" s="301"/>
      <c r="AR21" s="301"/>
      <c r="AS21" s="301"/>
      <c r="AT21" s="301"/>
      <c r="AU21" s="301"/>
      <c r="AV21" s="301"/>
      <c r="AW21" s="301"/>
      <c r="AX21" s="301"/>
      <c r="AY21" s="301"/>
      <c r="AZ21" s="301"/>
      <c r="BA21" s="301"/>
      <c r="BB21" s="301"/>
      <c r="BC21" s="301"/>
      <c r="BD21" s="301"/>
      <c r="BE21" s="301"/>
      <c r="BF21" s="301"/>
      <c r="BG21" s="301"/>
      <c r="BH21" s="301"/>
    </row>
    <row r="22" spans="1:60">
      <c r="A22" s="23" t="s">
        <v>142</v>
      </c>
      <c r="B22" s="13"/>
      <c r="C22" s="312">
        <f>Assumptions!$C$49</f>
        <v>5687.1279999999997</v>
      </c>
      <c r="D22" s="18">
        <f>Assumptions!$C$49</f>
        <v>5687.1279999999997</v>
      </c>
      <c r="E22" s="18">
        <f>Assumptions!$C$49</f>
        <v>5687.1279999999997</v>
      </c>
      <c r="F22" s="18">
        <f>Assumptions!$C$49</f>
        <v>5687.1279999999997</v>
      </c>
      <c r="G22" s="18">
        <f>Assumptions!$C$49</f>
        <v>5687.1279999999997</v>
      </c>
      <c r="H22" s="18">
        <f>Assumptions!$C$49</f>
        <v>5687.1279999999997</v>
      </c>
      <c r="I22" s="18">
        <f>Assumptions!$C$49</f>
        <v>5687.1279999999997</v>
      </c>
      <c r="J22" s="18">
        <f>Assumptions!$C$49</f>
        <v>5687.1279999999997</v>
      </c>
      <c r="K22" s="18">
        <f>Assumptions!$C$49</f>
        <v>5687.1279999999997</v>
      </c>
      <c r="L22" s="18">
        <f>Assumptions!$C$49</f>
        <v>5687.1279999999997</v>
      </c>
      <c r="M22" s="18">
        <f>Assumptions!$C$49</f>
        <v>5687.1279999999997</v>
      </c>
      <c r="N22" s="18">
        <f>Assumptions!$C$49</f>
        <v>5687.1279999999997</v>
      </c>
      <c r="O22" s="18">
        <f>Assumptions!$C$49</f>
        <v>5687.1279999999997</v>
      </c>
      <c r="P22" s="18">
        <f>Assumptions!$C$49</f>
        <v>5687.1279999999997</v>
      </c>
      <c r="Q22" s="18">
        <f>Assumptions!$C$49</f>
        <v>5687.1279999999997</v>
      </c>
      <c r="R22" s="18">
        <f>Assumptions!$C$49</f>
        <v>5687.1279999999997</v>
      </c>
      <c r="S22" s="18">
        <f>Assumptions!$C$49</f>
        <v>5687.1279999999997</v>
      </c>
      <c r="T22" s="18">
        <f>Assumptions!$C$49</f>
        <v>5687.1279999999997</v>
      </c>
      <c r="U22" s="18">
        <f>Assumptions!$C$49</f>
        <v>5687.1279999999997</v>
      </c>
      <c r="V22" s="18">
        <f>Assumptions!$C$49</f>
        <v>5687.1279999999997</v>
      </c>
      <c r="W22" s="18">
        <f>Assumptions!$C$49</f>
        <v>5687.1279999999997</v>
      </c>
      <c r="X22" s="18">
        <f>Assumptions!$C$49</f>
        <v>5687.1279999999997</v>
      </c>
      <c r="Y22" s="18">
        <f>Assumptions!$C$49</f>
        <v>5687.1279999999997</v>
      </c>
      <c r="Z22" s="18">
        <f>Assumptions!$C$49</f>
        <v>5687.1279999999997</v>
      </c>
      <c r="AA22" s="18">
        <f>Assumptions!$C$49</f>
        <v>5687.1279999999997</v>
      </c>
      <c r="AB22" s="18">
        <f>Assumptions!$C$49</f>
        <v>5687.1279999999997</v>
      </c>
      <c r="AC22" s="18">
        <f>Assumptions!$C$49</f>
        <v>5687.1279999999997</v>
      </c>
      <c r="AD22" s="18">
        <f>Assumptions!$C$49</f>
        <v>5687.1279999999997</v>
      </c>
      <c r="AE22" s="18">
        <f>Assumptions!$C$49</f>
        <v>5687.1279999999997</v>
      </c>
      <c r="AF22" s="18">
        <f>Assumptions!$C$49</f>
        <v>5687.1279999999997</v>
      </c>
      <c r="AG22" s="18">
        <f>Assumptions!$C$49</f>
        <v>5687.1279999999997</v>
      </c>
      <c r="AH22" s="18">
        <f>Assumptions!$C$49</f>
        <v>5687.1279999999997</v>
      </c>
      <c r="AI22" s="301"/>
      <c r="AJ22" s="301"/>
      <c r="AK22" s="301"/>
      <c r="AL22" s="301"/>
      <c r="AM22" s="301"/>
      <c r="AN22" s="301"/>
      <c r="AO22" s="301"/>
      <c r="AP22" s="301"/>
      <c r="AQ22" s="301"/>
      <c r="AR22" s="301"/>
      <c r="AS22" s="301"/>
      <c r="AT22" s="301"/>
      <c r="AU22" s="301"/>
      <c r="AV22" s="301"/>
      <c r="AW22" s="301"/>
      <c r="AX22" s="301"/>
      <c r="AY22" s="301"/>
      <c r="AZ22" s="301"/>
      <c r="BA22" s="301"/>
      <c r="BB22" s="301"/>
      <c r="BC22" s="301"/>
      <c r="BD22" s="301"/>
      <c r="BE22" s="301"/>
      <c r="BF22" s="301"/>
      <c r="BG22" s="301"/>
      <c r="BH22" s="301"/>
    </row>
    <row r="23" spans="1:60">
      <c r="A23" s="23" t="s">
        <v>143</v>
      </c>
      <c r="B23" s="13"/>
      <c r="C23" s="316">
        <v>0</v>
      </c>
      <c r="D23" s="303">
        <v>0</v>
      </c>
      <c r="E23" s="303">
        <v>0</v>
      </c>
      <c r="F23" s="303">
        <v>0</v>
      </c>
      <c r="G23" s="303">
        <v>0</v>
      </c>
      <c r="H23" s="303">
        <v>0</v>
      </c>
      <c r="I23" s="303">
        <v>0</v>
      </c>
      <c r="J23" s="303">
        <v>0</v>
      </c>
      <c r="K23" s="303">
        <v>0</v>
      </c>
      <c r="L23" s="303">
        <v>0</v>
      </c>
      <c r="M23" s="303">
        <v>0</v>
      </c>
      <c r="N23" s="303">
        <v>0</v>
      </c>
      <c r="O23" s="303">
        <v>0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  <c r="U23" s="303">
        <v>0</v>
      </c>
      <c r="V23" s="303">
        <v>0</v>
      </c>
      <c r="W23" s="303">
        <v>0</v>
      </c>
      <c r="X23" s="303">
        <v>0</v>
      </c>
      <c r="Y23" s="303">
        <v>0</v>
      </c>
      <c r="Z23" s="303">
        <v>0</v>
      </c>
      <c r="AA23" s="303">
        <v>0</v>
      </c>
      <c r="AB23" s="303">
        <v>0</v>
      </c>
      <c r="AC23" s="303">
        <v>0</v>
      </c>
      <c r="AD23" s="303">
        <v>0</v>
      </c>
      <c r="AE23" s="303">
        <v>0</v>
      </c>
      <c r="AF23" s="303">
        <v>0</v>
      </c>
      <c r="AG23" s="303">
        <v>0</v>
      </c>
      <c r="AH23" s="303">
        <v>0</v>
      </c>
      <c r="AI23" s="301"/>
      <c r="AJ23" s="301"/>
      <c r="AK23" s="301"/>
      <c r="AL23" s="301"/>
      <c r="AM23" s="301"/>
      <c r="AN23" s="301"/>
      <c r="AO23" s="301"/>
      <c r="AP23" s="301"/>
      <c r="AQ23" s="301"/>
      <c r="AR23" s="301"/>
      <c r="AS23" s="301"/>
      <c r="AT23" s="301"/>
      <c r="AU23" s="301"/>
      <c r="AV23" s="301"/>
      <c r="AW23" s="301"/>
      <c r="AX23" s="301"/>
      <c r="AY23" s="301"/>
      <c r="AZ23" s="301"/>
      <c r="BA23" s="301"/>
      <c r="BB23" s="301"/>
      <c r="BC23" s="301"/>
      <c r="BD23" s="301"/>
      <c r="BE23" s="301"/>
      <c r="BF23" s="301"/>
      <c r="BG23" s="301"/>
      <c r="BH23" s="301"/>
    </row>
    <row r="24" spans="1:60">
      <c r="A24" s="13"/>
      <c r="B24" s="13"/>
      <c r="C24" s="315"/>
      <c r="D24" s="23"/>
      <c r="E24" s="23"/>
      <c r="F24" s="304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150"/>
      <c r="AA24" s="150"/>
      <c r="AB24" s="301"/>
      <c r="AC24" s="301"/>
      <c r="AD24" s="301"/>
      <c r="AE24" s="301"/>
      <c r="AF24" s="301"/>
      <c r="AG24" s="301"/>
      <c r="AH24" s="301"/>
      <c r="AI24" s="301"/>
      <c r="AJ24" s="301"/>
      <c r="AK24" s="301"/>
      <c r="AL24" s="301"/>
      <c r="AM24" s="301"/>
      <c r="AN24" s="301"/>
      <c r="AO24" s="301"/>
      <c r="AP24" s="301"/>
      <c r="AQ24" s="301"/>
      <c r="AR24" s="301"/>
      <c r="AS24" s="301"/>
      <c r="AT24" s="301"/>
      <c r="AU24" s="301"/>
      <c r="AV24" s="301"/>
      <c r="AW24" s="301"/>
      <c r="AX24" s="301"/>
      <c r="AY24" s="301"/>
      <c r="AZ24" s="301"/>
      <c r="BA24" s="301"/>
      <c r="BB24" s="301"/>
      <c r="BC24" s="301"/>
      <c r="BD24" s="301"/>
      <c r="BE24" s="301"/>
      <c r="BF24" s="301"/>
      <c r="BG24" s="301"/>
      <c r="BH24" s="301"/>
    </row>
    <row r="25" spans="1:60">
      <c r="A25" s="133" t="s">
        <v>144</v>
      </c>
      <c r="B25" s="13"/>
      <c r="C25" s="315">
        <f>SUM(C16,C20,C22,C23)</f>
        <v>219204.80121826715</v>
      </c>
      <c r="D25" s="23">
        <f>SUM(D16,D20,D22,D23)</f>
        <v>210073.68090623515</v>
      </c>
      <c r="E25" s="23">
        <f t="shared" ref="E25:AH25" si="3">SUM(E16,E20,E22,E23)</f>
        <v>201473.53543818713</v>
      </c>
      <c r="F25" s="23">
        <f t="shared" si="3"/>
        <v>192873.38997013911</v>
      </c>
      <c r="G25" s="23">
        <f t="shared" si="3"/>
        <v>184273.24450209111</v>
      </c>
      <c r="H25" s="23">
        <f t="shared" si="3"/>
        <v>175673.09903404309</v>
      </c>
      <c r="I25" s="23">
        <f t="shared" si="3"/>
        <v>168874.16609266173</v>
      </c>
      <c r="J25" s="23">
        <f t="shared" si="3"/>
        <v>162975.83941461373</v>
      </c>
      <c r="K25" s="23">
        <f t="shared" si="3"/>
        <v>157077.5127365657</v>
      </c>
      <c r="L25" s="23">
        <f t="shared" si="3"/>
        <v>151179.18605851769</v>
      </c>
      <c r="M25" s="23">
        <f t="shared" si="3"/>
        <v>145280.85938046969</v>
      </c>
      <c r="N25" s="23">
        <f t="shared" si="3"/>
        <v>139382.53270242168</v>
      </c>
      <c r="O25" s="23">
        <f t="shared" si="3"/>
        <v>133484.20602437365</v>
      </c>
      <c r="P25" s="23">
        <f t="shared" si="3"/>
        <v>127585.87934632563</v>
      </c>
      <c r="Q25" s="23">
        <f t="shared" si="3"/>
        <v>121687.55266827761</v>
      </c>
      <c r="R25" s="23">
        <f t="shared" si="3"/>
        <v>115789.22599022959</v>
      </c>
      <c r="S25" s="23">
        <f t="shared" si="3"/>
        <v>109890.89931218157</v>
      </c>
      <c r="T25" s="23">
        <f t="shared" si="3"/>
        <v>103992.57263413355</v>
      </c>
      <c r="U25" s="23">
        <f t="shared" si="3"/>
        <v>98094.245956085535</v>
      </c>
      <c r="V25" s="23">
        <f t="shared" si="3"/>
        <v>92195.919278037516</v>
      </c>
      <c r="W25" s="23">
        <f t="shared" si="3"/>
        <v>86297.592599989497</v>
      </c>
      <c r="X25" s="23">
        <f t="shared" si="3"/>
        <v>80399.265921941493</v>
      </c>
      <c r="Y25" s="23">
        <f t="shared" si="3"/>
        <v>74500.939243893488</v>
      </c>
      <c r="Z25" s="23">
        <f t="shared" si="3"/>
        <v>68602.612565845484</v>
      </c>
      <c r="AA25" s="23">
        <f t="shared" si="3"/>
        <v>62704.28588779748</v>
      </c>
      <c r="AB25" s="23">
        <f t="shared" si="3"/>
        <v>56805.959209749475</v>
      </c>
      <c r="AC25" s="23">
        <f t="shared" si="3"/>
        <v>50907.632531701471</v>
      </c>
      <c r="AD25" s="23">
        <f t="shared" si="3"/>
        <v>45009.305853653466</v>
      </c>
      <c r="AE25" s="23">
        <f t="shared" si="3"/>
        <v>39110.979175605462</v>
      </c>
      <c r="AF25" s="23">
        <f t="shared" si="3"/>
        <v>33212.652497557458</v>
      </c>
      <c r="AG25" s="23">
        <f t="shared" si="3"/>
        <v>27314.325819509457</v>
      </c>
      <c r="AH25" s="23">
        <f t="shared" si="3"/>
        <v>25348.216926826779</v>
      </c>
      <c r="AI25" s="301"/>
      <c r="AJ25" s="301"/>
      <c r="AK25" s="301"/>
      <c r="AL25" s="301"/>
      <c r="AM25" s="301"/>
      <c r="AN25" s="301"/>
      <c r="AO25" s="301"/>
      <c r="AP25" s="301"/>
      <c r="AQ25" s="301"/>
      <c r="AR25" s="301"/>
      <c r="AS25" s="301"/>
      <c r="AT25" s="301"/>
      <c r="AU25" s="301"/>
      <c r="AV25" s="301"/>
      <c r="AW25" s="301"/>
      <c r="AX25" s="301"/>
      <c r="AY25" s="301"/>
      <c r="AZ25" s="301"/>
      <c r="BA25" s="301"/>
      <c r="BB25" s="301"/>
      <c r="BC25" s="301"/>
      <c r="BD25" s="301"/>
      <c r="BE25" s="301"/>
      <c r="BF25" s="301"/>
      <c r="BG25" s="301"/>
      <c r="BH25" s="301"/>
    </row>
    <row r="26" spans="1:60">
      <c r="A26" s="13"/>
      <c r="B26" s="13"/>
      <c r="C26" s="315"/>
      <c r="D26" s="23"/>
      <c r="E26" s="23"/>
      <c r="F26" s="304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150"/>
      <c r="AA26" s="150"/>
      <c r="AB26" s="301"/>
      <c r="AC26" s="301"/>
      <c r="AD26" s="301"/>
      <c r="AE26" s="301"/>
      <c r="AF26" s="301"/>
      <c r="AG26" s="301"/>
      <c r="AH26" s="301"/>
      <c r="AI26" s="301"/>
      <c r="AJ26" s="301"/>
      <c r="AK26" s="301"/>
      <c r="AL26" s="301"/>
      <c r="AM26" s="301"/>
      <c r="AN26" s="301"/>
      <c r="AO26" s="301"/>
      <c r="AP26" s="301"/>
      <c r="AQ26" s="301"/>
      <c r="AR26" s="301"/>
      <c r="AS26" s="301"/>
      <c r="AT26" s="301"/>
      <c r="AU26" s="301"/>
      <c r="AV26" s="301"/>
      <c r="AW26" s="301"/>
      <c r="AX26" s="301"/>
      <c r="AY26" s="301"/>
      <c r="AZ26" s="301"/>
      <c r="BA26" s="301"/>
      <c r="BB26" s="301"/>
      <c r="BC26" s="301"/>
      <c r="BD26" s="301"/>
      <c r="BE26" s="301"/>
      <c r="BF26" s="301"/>
      <c r="BG26" s="301"/>
      <c r="BH26" s="301"/>
    </row>
    <row r="27" spans="1:60">
      <c r="A27" s="13"/>
      <c r="B27" s="13"/>
      <c r="C27" s="315"/>
      <c r="D27" s="23"/>
      <c r="E27" s="23"/>
      <c r="F27" s="304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150"/>
      <c r="AA27" s="150"/>
      <c r="AB27" s="301"/>
      <c r="AC27" s="301"/>
      <c r="AD27" s="301"/>
      <c r="AE27" s="301"/>
      <c r="AF27" s="301"/>
      <c r="AG27" s="301"/>
      <c r="AH27" s="301"/>
      <c r="AI27" s="301"/>
      <c r="AJ27" s="301"/>
      <c r="AK27" s="301"/>
      <c r="AL27" s="301"/>
      <c r="AM27" s="301"/>
      <c r="AN27" s="301"/>
      <c r="AO27" s="301"/>
      <c r="AP27" s="301"/>
      <c r="AQ27" s="301"/>
      <c r="AR27" s="301"/>
      <c r="AS27" s="301"/>
      <c r="AT27" s="301"/>
      <c r="AU27" s="301"/>
      <c r="AV27" s="301"/>
      <c r="AW27" s="301"/>
      <c r="AX27" s="301"/>
      <c r="AY27" s="301"/>
      <c r="AZ27" s="301"/>
      <c r="BA27" s="301"/>
      <c r="BB27" s="301"/>
      <c r="BC27" s="301"/>
      <c r="BD27" s="301"/>
      <c r="BE27" s="301"/>
      <c r="BF27" s="301"/>
      <c r="BG27" s="301"/>
      <c r="BH27" s="301"/>
    </row>
    <row r="28" spans="1:60">
      <c r="A28" s="133" t="s">
        <v>145</v>
      </c>
      <c r="B28" s="13"/>
      <c r="C28" s="315"/>
      <c r="D28" s="23"/>
      <c r="E28" s="23"/>
      <c r="F28" s="304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150"/>
      <c r="AA28" s="150"/>
      <c r="AB28" s="301"/>
      <c r="AC28" s="301"/>
      <c r="AD28" s="301"/>
      <c r="AE28" s="301"/>
      <c r="AF28" s="301"/>
      <c r="AG28" s="301"/>
      <c r="AH28" s="301"/>
      <c r="AI28" s="301"/>
      <c r="AJ28" s="301"/>
      <c r="AK28" s="301"/>
      <c r="AL28" s="301"/>
      <c r="AM28" s="301"/>
      <c r="AN28" s="301"/>
      <c r="AO28" s="301"/>
      <c r="AP28" s="301"/>
      <c r="AQ28" s="301"/>
      <c r="AR28" s="301"/>
      <c r="AS28" s="301"/>
      <c r="AT28" s="301"/>
      <c r="AU28" s="301"/>
      <c r="AV28" s="301"/>
      <c r="AW28" s="301"/>
      <c r="AX28" s="301"/>
      <c r="AY28" s="301"/>
      <c r="AZ28" s="301"/>
      <c r="BA28" s="301"/>
      <c r="BB28" s="301"/>
      <c r="BC28" s="301"/>
      <c r="BD28" s="301"/>
      <c r="BE28" s="301"/>
      <c r="BF28" s="301"/>
      <c r="BG28" s="301"/>
      <c r="BH28" s="301"/>
    </row>
    <row r="29" spans="1:60">
      <c r="A29" s="133"/>
      <c r="B29" s="13"/>
      <c r="C29" s="315"/>
      <c r="D29" s="23"/>
      <c r="E29" s="23"/>
      <c r="F29" s="304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150"/>
      <c r="AA29" s="150"/>
      <c r="AB29" s="301"/>
      <c r="AC29" s="301"/>
      <c r="AD29" s="301"/>
      <c r="AE29" s="301"/>
      <c r="AF29" s="301"/>
      <c r="AG29" s="301"/>
      <c r="AH29" s="301"/>
      <c r="AI29" s="301"/>
      <c r="AJ29" s="301"/>
      <c r="AK29" s="301"/>
      <c r="AL29" s="301"/>
      <c r="AM29" s="301"/>
      <c r="AN29" s="301"/>
      <c r="AO29" s="301"/>
      <c r="AP29" s="301"/>
      <c r="AQ29" s="301"/>
      <c r="AR29" s="301"/>
      <c r="AS29" s="301"/>
      <c r="AT29" s="301"/>
      <c r="AU29" s="301"/>
      <c r="AV29" s="301"/>
      <c r="AW29" s="301"/>
      <c r="AX29" s="301"/>
      <c r="AY29" s="301"/>
      <c r="AZ29" s="301"/>
      <c r="BA29" s="301"/>
      <c r="BB29" s="301"/>
      <c r="BC29" s="301"/>
      <c r="BD29" s="301"/>
      <c r="BE29" s="301"/>
      <c r="BF29" s="301"/>
      <c r="BG29" s="301"/>
      <c r="BH29" s="301"/>
    </row>
    <row r="30" spans="1:60">
      <c r="A30" s="23" t="s">
        <v>146</v>
      </c>
      <c r="C30" s="312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1"/>
      <c r="AJ30" s="301"/>
      <c r="AK30" s="301"/>
      <c r="AL30" s="301"/>
      <c r="AM30" s="301"/>
      <c r="AN30" s="301"/>
      <c r="AO30" s="301"/>
      <c r="AP30" s="301"/>
      <c r="AQ30" s="301"/>
      <c r="AR30" s="301"/>
      <c r="AS30" s="301"/>
      <c r="AT30" s="301"/>
      <c r="AU30" s="301"/>
      <c r="AV30" s="301"/>
      <c r="AW30" s="301"/>
      <c r="AX30" s="301"/>
      <c r="AY30" s="301"/>
      <c r="AZ30" s="301"/>
      <c r="BA30" s="301"/>
      <c r="BB30" s="301"/>
      <c r="BC30" s="301"/>
      <c r="BD30" s="301"/>
      <c r="BE30" s="301"/>
      <c r="BF30" s="301"/>
      <c r="BG30" s="301"/>
      <c r="BH30" s="301"/>
    </row>
    <row r="31" spans="1:60">
      <c r="A31" s="23" t="s">
        <v>147</v>
      </c>
      <c r="C31" s="312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1"/>
      <c r="AJ31" s="301"/>
      <c r="AK31" s="301"/>
      <c r="AL31" s="301"/>
      <c r="AM31" s="301"/>
      <c r="AN31" s="301"/>
      <c r="AO31" s="301"/>
      <c r="AP31" s="301"/>
      <c r="AQ31" s="301"/>
      <c r="AR31" s="301"/>
      <c r="AS31" s="301"/>
      <c r="AT31" s="301"/>
      <c r="AU31" s="301"/>
      <c r="AV31" s="301"/>
      <c r="AW31" s="301"/>
      <c r="AX31" s="301"/>
      <c r="AY31" s="301"/>
      <c r="AZ31" s="301"/>
      <c r="BA31" s="301"/>
      <c r="BB31" s="301"/>
      <c r="BC31" s="301"/>
      <c r="BD31" s="301"/>
      <c r="BE31" s="301"/>
      <c r="BF31" s="301"/>
      <c r="BG31" s="301"/>
      <c r="BH31" s="301"/>
    </row>
    <row r="32" spans="1:60">
      <c r="A32" s="23" t="s">
        <v>148</v>
      </c>
      <c r="C32" s="315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1"/>
      <c r="AJ32" s="301"/>
      <c r="AK32" s="301"/>
      <c r="AL32" s="301"/>
      <c r="AM32" s="301"/>
      <c r="AN32" s="301"/>
      <c r="AO32" s="301"/>
      <c r="AP32" s="301"/>
      <c r="AQ32" s="301"/>
      <c r="AR32" s="301"/>
      <c r="AS32" s="301"/>
      <c r="AT32" s="301"/>
      <c r="AU32" s="301"/>
      <c r="AV32" s="301"/>
      <c r="AW32" s="301"/>
      <c r="AX32" s="301"/>
      <c r="AY32" s="301"/>
      <c r="AZ32" s="301"/>
      <c r="BA32" s="301"/>
      <c r="BB32" s="301"/>
      <c r="BC32" s="301"/>
      <c r="BD32" s="301"/>
      <c r="BE32" s="301"/>
      <c r="BF32" s="301"/>
      <c r="BG32" s="301"/>
      <c r="BH32" s="301"/>
    </row>
    <row r="33" spans="1:60">
      <c r="A33" s="23" t="s">
        <v>149</v>
      </c>
      <c r="C33" s="312">
        <v>0</v>
      </c>
      <c r="D33" s="18">
        <f>Assumptions!$C$49</f>
        <v>5687.1279999999997</v>
      </c>
      <c r="E33" s="18">
        <f>Assumptions!$C$49</f>
        <v>5687.1279999999997</v>
      </c>
      <c r="F33" s="18">
        <f>Assumptions!$C$49</f>
        <v>5687.1279999999997</v>
      </c>
      <c r="G33" s="18">
        <f>Assumptions!$C$49</f>
        <v>5687.1279999999997</v>
      </c>
      <c r="H33" s="18">
        <f>Assumptions!$C$49</f>
        <v>5687.1279999999997</v>
      </c>
      <c r="I33" s="18">
        <f>Assumptions!$C$49</f>
        <v>5687.1279999999997</v>
      </c>
      <c r="J33" s="18">
        <f>Assumptions!$C$49</f>
        <v>5687.1279999999997</v>
      </c>
      <c r="K33" s="18">
        <f>Assumptions!$C$49</f>
        <v>5687.1279999999997</v>
      </c>
      <c r="L33" s="18">
        <f>Assumptions!$C$49</f>
        <v>5687.1279999999997</v>
      </c>
      <c r="M33" s="18">
        <f>Assumptions!$C$49</f>
        <v>5687.1279999999997</v>
      </c>
      <c r="N33" s="18">
        <f>Assumptions!$C$49</f>
        <v>5687.1279999999997</v>
      </c>
      <c r="O33" s="18">
        <f>Assumptions!$C$49</f>
        <v>5687.1279999999997</v>
      </c>
      <c r="P33" s="18">
        <f>Assumptions!$C$49</f>
        <v>5687.1279999999997</v>
      </c>
      <c r="Q33" s="18">
        <f>Assumptions!$C$49</f>
        <v>5687.1279999999997</v>
      </c>
      <c r="R33" s="18">
        <f>Assumptions!$C$49</f>
        <v>5687.1279999999997</v>
      </c>
      <c r="S33" s="18">
        <f>Assumptions!$C$49</f>
        <v>5687.1279999999997</v>
      </c>
      <c r="T33" s="18">
        <f>Assumptions!$C$49</f>
        <v>5687.1279999999997</v>
      </c>
      <c r="U33" s="18">
        <f>Assumptions!$C$49</f>
        <v>5687.1279999999997</v>
      </c>
      <c r="V33" s="18">
        <f>Assumptions!$C$49</f>
        <v>5687.1279999999997</v>
      </c>
      <c r="W33" s="18">
        <f>Assumptions!$C$49</f>
        <v>5687.1279999999997</v>
      </c>
      <c r="X33" s="18">
        <f>Assumptions!$C$49</f>
        <v>5687.1279999999997</v>
      </c>
      <c r="Y33" s="18">
        <f>Assumptions!$C$49</f>
        <v>5687.1279999999997</v>
      </c>
      <c r="Z33" s="18">
        <f>Assumptions!$C$49</f>
        <v>5687.1279999999997</v>
      </c>
      <c r="AA33" s="18">
        <f>Assumptions!$C$49</f>
        <v>5687.1279999999997</v>
      </c>
      <c r="AB33" s="18">
        <f>Assumptions!$C$49</f>
        <v>5687.1279999999997</v>
      </c>
      <c r="AC33" s="18">
        <f>Assumptions!$C$49</f>
        <v>5687.1279999999997</v>
      </c>
      <c r="AD33" s="18">
        <f>Assumptions!$C$49</f>
        <v>5687.1279999999997</v>
      </c>
      <c r="AE33" s="18">
        <f>Assumptions!$C$49</f>
        <v>5687.1279999999997</v>
      </c>
      <c r="AF33" s="18">
        <f>Assumptions!$C$49</f>
        <v>5687.1279999999997</v>
      </c>
      <c r="AG33" s="18">
        <f>Assumptions!$C$49</f>
        <v>5687.1279999999997</v>
      </c>
      <c r="AH33" s="18">
        <f>Assumptions!$C$49</f>
        <v>5687.1279999999997</v>
      </c>
      <c r="AI33" s="301"/>
      <c r="AJ33" s="301"/>
      <c r="AK33" s="301"/>
      <c r="AL33" s="301"/>
      <c r="AM33" s="301"/>
      <c r="AN33" s="301"/>
      <c r="AO33" s="301"/>
      <c r="AP33" s="301"/>
      <c r="AQ33" s="301"/>
      <c r="AR33" s="301"/>
      <c r="AS33" s="301"/>
      <c r="AT33" s="301"/>
      <c r="AU33" s="301"/>
      <c r="AV33" s="301"/>
      <c r="AW33" s="301"/>
      <c r="AX33" s="301"/>
      <c r="AY33" s="301"/>
      <c r="AZ33" s="301"/>
      <c r="BA33" s="301"/>
      <c r="BB33" s="301"/>
      <c r="BC33" s="301"/>
      <c r="BD33" s="301"/>
      <c r="BE33" s="301"/>
      <c r="BF33" s="301"/>
      <c r="BG33" s="301"/>
      <c r="BH33" s="301"/>
    </row>
    <row r="34" spans="1:60">
      <c r="A34" s="23" t="s">
        <v>150</v>
      </c>
      <c r="C34" s="315">
        <f>Assumptions!C12</f>
        <v>149462.37125278701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1"/>
      <c r="AJ34" s="301"/>
      <c r="AK34" s="301"/>
      <c r="AL34" s="301"/>
      <c r="AM34" s="301"/>
      <c r="AN34" s="301"/>
      <c r="AO34" s="301"/>
      <c r="AP34" s="301"/>
      <c r="AQ34" s="301"/>
      <c r="AR34" s="301"/>
      <c r="AS34" s="301"/>
      <c r="AT34" s="301"/>
      <c r="AU34" s="301"/>
      <c r="AV34" s="301"/>
      <c r="AW34" s="301"/>
      <c r="AX34" s="301"/>
      <c r="AY34" s="301"/>
      <c r="AZ34" s="301"/>
      <c r="BA34" s="301"/>
      <c r="BB34" s="301"/>
      <c r="BC34" s="301"/>
      <c r="BD34" s="301"/>
      <c r="BE34" s="301"/>
      <c r="BF34" s="301"/>
      <c r="BG34" s="301"/>
      <c r="BH34" s="301"/>
    </row>
    <row r="35" spans="1:60">
      <c r="A35" s="23" t="s">
        <v>151</v>
      </c>
      <c r="C35" s="314">
        <v>0</v>
      </c>
      <c r="D35" s="302">
        <v>0</v>
      </c>
      <c r="E35" s="302">
        <v>0</v>
      </c>
      <c r="F35" s="305">
        <v>0</v>
      </c>
      <c r="G35" s="306">
        <v>0</v>
      </c>
      <c r="H35" s="306">
        <v>0</v>
      </c>
      <c r="I35" s="306">
        <v>0</v>
      </c>
      <c r="J35" s="306">
        <v>0</v>
      </c>
      <c r="K35" s="306">
        <v>0</v>
      </c>
      <c r="L35" s="306">
        <v>0</v>
      </c>
      <c r="M35" s="306">
        <v>0</v>
      </c>
      <c r="N35" s="306">
        <v>0</v>
      </c>
      <c r="O35" s="306">
        <v>0</v>
      </c>
      <c r="P35" s="306">
        <v>0</v>
      </c>
      <c r="Q35" s="306">
        <v>0</v>
      </c>
      <c r="R35" s="306">
        <v>0</v>
      </c>
      <c r="S35" s="306">
        <v>0</v>
      </c>
      <c r="T35" s="306">
        <v>0</v>
      </c>
      <c r="U35" s="306">
        <v>0</v>
      </c>
      <c r="V35" s="306">
        <v>0</v>
      </c>
      <c r="W35" s="306">
        <v>0</v>
      </c>
      <c r="X35" s="306">
        <v>0</v>
      </c>
      <c r="Y35" s="306">
        <v>0</v>
      </c>
      <c r="Z35" s="307">
        <v>0</v>
      </c>
      <c r="AA35" s="307">
        <v>0</v>
      </c>
      <c r="AB35" s="306">
        <v>0</v>
      </c>
      <c r="AC35" s="306">
        <v>0</v>
      </c>
      <c r="AD35" s="306">
        <v>0</v>
      </c>
      <c r="AE35" s="306">
        <v>0</v>
      </c>
      <c r="AF35" s="306">
        <v>0</v>
      </c>
      <c r="AG35" s="306">
        <v>0</v>
      </c>
      <c r="AH35" s="306">
        <v>0</v>
      </c>
      <c r="AI35" s="301"/>
      <c r="AJ35" s="301"/>
      <c r="AK35" s="301"/>
      <c r="AL35" s="301"/>
      <c r="AM35" s="301"/>
      <c r="AN35" s="301"/>
      <c r="AO35" s="301"/>
      <c r="AP35" s="301"/>
      <c r="AQ35" s="301"/>
      <c r="AR35" s="301"/>
      <c r="AS35" s="301"/>
      <c r="AT35" s="301"/>
      <c r="AU35" s="301"/>
      <c r="AV35" s="301"/>
      <c r="AW35" s="301"/>
      <c r="AX35" s="301"/>
      <c r="AY35" s="301"/>
      <c r="AZ35" s="301"/>
      <c r="BA35" s="301"/>
      <c r="BB35" s="301"/>
      <c r="BC35" s="301"/>
      <c r="BD35" s="301"/>
      <c r="BE35" s="301"/>
      <c r="BF35" s="301"/>
      <c r="BG35" s="301"/>
      <c r="BH35" s="301"/>
    </row>
    <row r="36" spans="1:60">
      <c r="A36" s="23"/>
      <c r="C36" s="315"/>
      <c r="D36" s="23"/>
      <c r="E36" s="23"/>
      <c r="F36" s="304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150"/>
      <c r="AA36" s="150"/>
      <c r="AB36" s="301"/>
      <c r="AC36" s="301"/>
      <c r="AD36" s="301"/>
      <c r="AE36" s="301"/>
      <c r="AF36" s="301"/>
      <c r="AG36" s="301"/>
      <c r="AH36" s="301"/>
      <c r="AI36" s="301"/>
      <c r="AJ36" s="301"/>
      <c r="AK36" s="301"/>
      <c r="AL36" s="301"/>
      <c r="AM36" s="301"/>
      <c r="AN36" s="301"/>
      <c r="AO36" s="301"/>
      <c r="AP36" s="301"/>
      <c r="AQ36" s="301"/>
      <c r="AR36" s="301"/>
      <c r="AS36" s="301"/>
      <c r="AT36" s="301"/>
      <c r="AU36" s="301"/>
      <c r="AV36" s="301"/>
      <c r="AW36" s="301"/>
      <c r="AX36" s="301"/>
      <c r="AY36" s="301"/>
      <c r="AZ36" s="301"/>
      <c r="BA36" s="301"/>
      <c r="BB36" s="301"/>
      <c r="BC36" s="301"/>
      <c r="BD36" s="301"/>
      <c r="BE36" s="301"/>
      <c r="BF36" s="301"/>
      <c r="BG36" s="301"/>
      <c r="BH36" s="301"/>
    </row>
    <row r="37" spans="1:60">
      <c r="A37" s="133" t="s">
        <v>152</v>
      </c>
      <c r="B37" s="13"/>
      <c r="C37" s="315">
        <f>SUM(C30:C35)</f>
        <v>149462.37125278701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1"/>
      <c r="AJ37" s="301"/>
      <c r="AK37" s="301"/>
      <c r="AL37" s="301"/>
      <c r="AM37" s="301"/>
      <c r="AN37" s="301"/>
      <c r="AO37" s="301"/>
      <c r="AP37" s="301"/>
      <c r="AQ37" s="301"/>
      <c r="AR37" s="301"/>
      <c r="AS37" s="301"/>
      <c r="AT37" s="301"/>
      <c r="AU37" s="301"/>
      <c r="AV37" s="301"/>
      <c r="AW37" s="301"/>
      <c r="AX37" s="301"/>
      <c r="AY37" s="301"/>
      <c r="AZ37" s="301"/>
      <c r="BA37" s="301"/>
      <c r="BB37" s="301"/>
      <c r="BC37" s="301"/>
      <c r="BD37" s="301"/>
      <c r="BE37" s="301"/>
      <c r="BF37" s="301"/>
      <c r="BG37" s="301"/>
      <c r="BH37" s="301"/>
    </row>
    <row r="38" spans="1:60">
      <c r="A38" s="23"/>
      <c r="B38" s="13"/>
      <c r="C38" s="315"/>
      <c r="D38" s="23"/>
      <c r="E38" s="23"/>
      <c r="F38" s="304"/>
      <c r="G38" s="301"/>
      <c r="H38" s="301"/>
      <c r="I38" s="301"/>
      <c r="J38" s="301"/>
      <c r="K38" s="301"/>
      <c r="L38" s="301"/>
      <c r="M38" s="301"/>
      <c r="N38" s="301"/>
      <c r="O38" s="301"/>
      <c r="P38" s="301"/>
      <c r="Q38" s="301"/>
      <c r="R38" s="301"/>
      <c r="S38" s="301"/>
      <c r="T38" s="301"/>
      <c r="U38" s="301"/>
      <c r="V38" s="301"/>
      <c r="W38" s="301"/>
      <c r="X38" s="301"/>
      <c r="Y38" s="301"/>
      <c r="Z38" s="150"/>
      <c r="AA38" s="150"/>
      <c r="AB38" s="301"/>
      <c r="AC38" s="301"/>
      <c r="AD38" s="301"/>
      <c r="AE38" s="301"/>
      <c r="AF38" s="301"/>
      <c r="AG38" s="301"/>
      <c r="AH38" s="301"/>
      <c r="AI38" s="301"/>
      <c r="AJ38" s="301"/>
      <c r="AK38" s="301"/>
      <c r="AL38" s="301"/>
      <c r="AM38" s="301"/>
      <c r="AN38" s="301"/>
      <c r="AO38" s="301"/>
      <c r="AP38" s="301"/>
      <c r="AQ38" s="301"/>
      <c r="AR38" s="301"/>
      <c r="AS38" s="301"/>
      <c r="AT38" s="301"/>
      <c r="AU38" s="301"/>
      <c r="AV38" s="301"/>
      <c r="AW38" s="301"/>
      <c r="AX38" s="301"/>
      <c r="AY38" s="301"/>
      <c r="AZ38" s="301"/>
      <c r="BA38" s="301"/>
      <c r="BB38" s="301"/>
      <c r="BC38" s="301"/>
      <c r="BD38" s="301"/>
      <c r="BE38" s="301"/>
      <c r="BF38" s="301"/>
      <c r="BG38" s="301"/>
      <c r="BH38" s="301"/>
    </row>
    <row r="39" spans="1:60">
      <c r="A39" s="133" t="s">
        <v>153</v>
      </c>
      <c r="B39" s="13"/>
      <c r="C39" s="315"/>
      <c r="D39" s="23"/>
      <c r="E39" s="23"/>
      <c r="F39" s="304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150"/>
      <c r="AA39" s="150"/>
      <c r="AB39" s="301"/>
      <c r="AC39" s="301"/>
      <c r="AD39" s="301"/>
      <c r="AE39" s="301"/>
      <c r="AF39" s="301"/>
      <c r="AG39" s="301"/>
      <c r="AH39" s="301"/>
      <c r="AI39" s="301"/>
      <c r="AJ39" s="301"/>
      <c r="AK39" s="301"/>
      <c r="AL39" s="301"/>
      <c r="AM39" s="301"/>
      <c r="AN39" s="301"/>
      <c r="AO39" s="301"/>
      <c r="AP39" s="301"/>
      <c r="AQ39" s="301"/>
      <c r="AR39" s="301"/>
      <c r="AS39" s="301"/>
      <c r="AT39" s="301"/>
      <c r="AU39" s="301"/>
      <c r="AV39" s="301"/>
      <c r="AW39" s="301"/>
      <c r="AX39" s="301"/>
      <c r="AY39" s="301"/>
      <c r="AZ39" s="301"/>
      <c r="BA39" s="301"/>
      <c r="BB39" s="301"/>
      <c r="BC39" s="301"/>
      <c r="BD39" s="301"/>
      <c r="BE39" s="301"/>
      <c r="BF39" s="301"/>
      <c r="BG39" s="301"/>
      <c r="BH39" s="301"/>
    </row>
    <row r="40" spans="1:60">
      <c r="A40" s="133"/>
      <c r="B40" s="13"/>
      <c r="C40" s="315"/>
      <c r="D40" s="23"/>
      <c r="E40" s="23"/>
      <c r="F40" s="304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150"/>
      <c r="AA40" s="150"/>
      <c r="AB40" s="301"/>
      <c r="AC40" s="301"/>
      <c r="AD40" s="301"/>
      <c r="AE40" s="301"/>
      <c r="AF40" s="301"/>
      <c r="AG40" s="301"/>
      <c r="AH40" s="301"/>
      <c r="AI40" s="301"/>
      <c r="AJ40" s="301"/>
      <c r="AK40" s="301"/>
      <c r="AL40" s="301"/>
      <c r="AM40" s="301"/>
      <c r="AN40" s="301"/>
      <c r="AO40" s="301"/>
      <c r="AP40" s="301"/>
      <c r="AQ40" s="301"/>
      <c r="AR40" s="301"/>
      <c r="AS40" s="301"/>
      <c r="AT40" s="301"/>
      <c r="AU40" s="301"/>
      <c r="AV40" s="301"/>
      <c r="AW40" s="301"/>
      <c r="AX40" s="301"/>
      <c r="AY40" s="301"/>
      <c r="AZ40" s="301"/>
      <c r="BA40" s="301"/>
      <c r="BB40" s="301"/>
      <c r="BC40" s="301"/>
      <c r="BD40" s="301"/>
      <c r="BE40" s="301"/>
      <c r="BF40" s="301"/>
      <c r="BG40" s="301"/>
      <c r="BH40" s="301"/>
    </row>
    <row r="41" spans="1:60">
      <c r="A41" s="23" t="s">
        <v>154</v>
      </c>
      <c r="C41" s="315">
        <f>Assumptions!$C$11</f>
        <v>64055.301965480146</v>
      </c>
      <c r="D41" s="23">
        <f>Assumptions!$C$11</f>
        <v>64055.301965480146</v>
      </c>
      <c r="E41" s="23">
        <f>Assumptions!$C$11</f>
        <v>64055.301965480146</v>
      </c>
      <c r="F41" s="23">
        <f>Assumptions!$C$11</f>
        <v>64055.301965480146</v>
      </c>
      <c r="G41" s="23">
        <f>Assumptions!$C$11</f>
        <v>64055.301965480146</v>
      </c>
      <c r="H41" s="23">
        <f>Assumptions!$C$11</f>
        <v>64055.301965480146</v>
      </c>
      <c r="I41" s="23">
        <f>Assumptions!$C$11</f>
        <v>64055.301965480146</v>
      </c>
      <c r="J41" s="23">
        <f>Assumptions!$C$11</f>
        <v>64055.301965480146</v>
      </c>
      <c r="K41" s="23">
        <f>Assumptions!$C$11</f>
        <v>64055.301965480146</v>
      </c>
      <c r="L41" s="23">
        <f>Assumptions!$C$11</f>
        <v>64055.301965480146</v>
      </c>
      <c r="M41" s="23">
        <f>Assumptions!$C$11</f>
        <v>64055.301965480146</v>
      </c>
      <c r="N41" s="23">
        <f>Assumptions!$C$11</f>
        <v>64055.301965480146</v>
      </c>
      <c r="O41" s="23">
        <f>Assumptions!$C$11</f>
        <v>64055.301965480146</v>
      </c>
      <c r="P41" s="23">
        <f>Assumptions!$C$11</f>
        <v>64055.301965480146</v>
      </c>
      <c r="Q41" s="23">
        <f>Assumptions!$C$11</f>
        <v>64055.301965480146</v>
      </c>
      <c r="R41" s="23">
        <f>Assumptions!$C$11</f>
        <v>64055.301965480146</v>
      </c>
      <c r="S41" s="23">
        <f>Assumptions!$C$11</f>
        <v>64055.301965480146</v>
      </c>
      <c r="T41" s="23">
        <f>Assumptions!$C$11</f>
        <v>64055.301965480146</v>
      </c>
      <c r="U41" s="23">
        <f>Assumptions!$C$11</f>
        <v>64055.301965480146</v>
      </c>
      <c r="V41" s="23">
        <f>Assumptions!$C$11</f>
        <v>64055.301965480146</v>
      </c>
      <c r="W41" s="23">
        <f>Assumptions!$C$11</f>
        <v>64055.301965480146</v>
      </c>
      <c r="X41" s="23">
        <f>Assumptions!$C$11</f>
        <v>64055.301965480146</v>
      </c>
      <c r="Y41" s="23">
        <f>Assumptions!$C$11</f>
        <v>64055.301965480146</v>
      </c>
      <c r="Z41" s="23">
        <f>Assumptions!$C$11</f>
        <v>64055.301965480146</v>
      </c>
      <c r="AA41" s="23">
        <f>Assumptions!$C$11</f>
        <v>64055.301965480146</v>
      </c>
      <c r="AB41" s="23">
        <f>Assumptions!$C$11</f>
        <v>64055.301965480146</v>
      </c>
      <c r="AC41" s="23">
        <f>Assumptions!$C$11</f>
        <v>64055.301965480146</v>
      </c>
      <c r="AD41" s="23">
        <f>Assumptions!$C$11</f>
        <v>64055.301965480146</v>
      </c>
      <c r="AE41" s="23">
        <f>Assumptions!$C$11</f>
        <v>64055.301965480146</v>
      </c>
      <c r="AF41" s="23">
        <f>Assumptions!$C$11</f>
        <v>64055.301965480146</v>
      </c>
      <c r="AG41" s="23">
        <f>Assumptions!$C$11</f>
        <v>64055.301965480146</v>
      </c>
      <c r="AH41" s="23">
        <f>Assumptions!$C$11</f>
        <v>64055.301965480146</v>
      </c>
      <c r="AI41" s="301"/>
      <c r="AJ41" s="301"/>
      <c r="AK41" s="301"/>
      <c r="AL41" s="301"/>
      <c r="AM41" s="301"/>
      <c r="AN41" s="301"/>
      <c r="AO41" s="301"/>
      <c r="AP41" s="301"/>
      <c r="AQ41" s="301"/>
      <c r="AR41" s="301"/>
      <c r="AS41" s="301"/>
      <c r="AT41" s="301"/>
      <c r="AU41" s="301"/>
      <c r="AV41" s="301"/>
      <c r="AW41" s="301"/>
      <c r="AX41" s="301"/>
      <c r="AY41" s="301"/>
      <c r="AZ41" s="301"/>
      <c r="BA41" s="301"/>
      <c r="BB41" s="301"/>
      <c r="BC41" s="301"/>
      <c r="BD41" s="301"/>
      <c r="BE41" s="301"/>
      <c r="BF41" s="301"/>
      <c r="BG41" s="301"/>
      <c r="BH41" s="301"/>
    </row>
    <row r="42" spans="1:60">
      <c r="A42" s="23" t="s">
        <v>155</v>
      </c>
      <c r="C42" s="314" t="e">
        <f>IS!B45-'Returns Analysis'!#REF!</f>
        <v>#REF!</v>
      </c>
      <c r="D42" s="302" t="e">
        <f>IS!C45-'Returns Analysis'!#REF!</f>
        <v>#REF!</v>
      </c>
      <c r="E42" s="302" t="e">
        <f>IS!D45-'Returns Analysis'!#REF!</f>
        <v>#REF!</v>
      </c>
      <c r="F42" s="302" t="e">
        <f>IS!E45-'Returns Analysis'!#REF!</f>
        <v>#REF!</v>
      </c>
      <c r="G42" s="302" t="e">
        <f>IS!F45-'Returns Analysis'!#REF!</f>
        <v>#REF!</v>
      </c>
      <c r="H42" s="302" t="e">
        <f>IS!G45-'Returns Analysis'!#REF!</f>
        <v>#REF!</v>
      </c>
      <c r="I42" s="302" t="e">
        <f>IS!H45-'Returns Analysis'!#REF!</f>
        <v>#REF!</v>
      </c>
      <c r="J42" s="302" t="e">
        <f>IS!I45-'Returns Analysis'!#REF!</f>
        <v>#REF!</v>
      </c>
      <c r="K42" s="302" t="e">
        <f>IS!J45-'Returns Analysis'!#REF!</f>
        <v>#REF!</v>
      </c>
      <c r="L42" s="302" t="e">
        <f>IS!K45-'Returns Analysis'!#REF!</f>
        <v>#REF!</v>
      </c>
      <c r="M42" s="302" t="e">
        <f>IS!L45-'Returns Analysis'!#REF!</f>
        <v>#REF!</v>
      </c>
      <c r="N42" s="302" t="e">
        <f>IS!M45-'Returns Analysis'!#REF!</f>
        <v>#REF!</v>
      </c>
      <c r="O42" s="302" t="e">
        <f>IS!N45-'Returns Analysis'!#REF!</f>
        <v>#REF!</v>
      </c>
      <c r="P42" s="302" t="e">
        <f>IS!O45-'Returns Analysis'!#REF!</f>
        <v>#REF!</v>
      </c>
      <c r="Q42" s="302" t="e">
        <f>IS!P45-'Returns Analysis'!#REF!</f>
        <v>#REF!</v>
      </c>
      <c r="R42" s="302" t="e">
        <f>IS!Q45-'Returns Analysis'!#REF!</f>
        <v>#REF!</v>
      </c>
      <c r="S42" s="302" t="e">
        <f>IS!R45-'Returns Analysis'!#REF!</f>
        <v>#REF!</v>
      </c>
      <c r="T42" s="302" t="e">
        <f>IS!S45-'Returns Analysis'!#REF!</f>
        <v>#REF!</v>
      </c>
      <c r="U42" s="302" t="e">
        <f>IS!T45-'Returns Analysis'!#REF!</f>
        <v>#REF!</v>
      </c>
      <c r="V42" s="302" t="e">
        <f>IS!U45-'Returns Analysis'!#REF!</f>
        <v>#REF!</v>
      </c>
      <c r="W42" s="302" t="e">
        <f>IS!V45-'Returns Analysis'!#REF!</f>
        <v>#REF!</v>
      </c>
      <c r="X42" s="302" t="e">
        <f>IS!W45-'Returns Analysis'!#REF!</f>
        <v>#REF!</v>
      </c>
      <c r="Y42" s="302" t="e">
        <f>IS!X45-'Returns Analysis'!#REF!</f>
        <v>#REF!</v>
      </c>
      <c r="Z42" s="302" t="e">
        <f>IS!Y45-'Returns Analysis'!#REF!</f>
        <v>#REF!</v>
      </c>
      <c r="AA42" s="302" t="e">
        <f>IS!Z45-'Returns Analysis'!#REF!</f>
        <v>#REF!</v>
      </c>
      <c r="AB42" s="302" t="e">
        <f>IS!AA45-'Returns Analysis'!#REF!</f>
        <v>#REF!</v>
      </c>
      <c r="AC42" s="302" t="e">
        <f>IS!AB45-'Returns Analysis'!#REF!</f>
        <v>#REF!</v>
      </c>
      <c r="AD42" s="302" t="e">
        <f>IS!AC45-'Returns Analysis'!#REF!</f>
        <v>#REF!</v>
      </c>
      <c r="AE42" s="302" t="e">
        <f>IS!AD45-'Returns Analysis'!#REF!</f>
        <v>#REF!</v>
      </c>
      <c r="AF42" s="302" t="e">
        <f>IS!AE45-'Returns Analysis'!#REF!</f>
        <v>#REF!</v>
      </c>
      <c r="AG42" s="302" t="e">
        <f>IS!AF45-'Returns Analysis'!#REF!</f>
        <v>#REF!</v>
      </c>
      <c r="AH42" s="302" t="e">
        <f>IS!AG45-'Returns Analysis'!#REF!</f>
        <v>#REF!</v>
      </c>
      <c r="AI42" s="301"/>
      <c r="AJ42" s="301"/>
      <c r="AK42" s="301"/>
      <c r="AL42" s="301"/>
      <c r="AM42" s="301"/>
      <c r="AN42" s="301"/>
      <c r="AO42" s="301"/>
      <c r="AP42" s="301"/>
      <c r="AQ42" s="301"/>
      <c r="AR42" s="301"/>
      <c r="AS42" s="301"/>
      <c r="AT42" s="301"/>
      <c r="AU42" s="301"/>
      <c r="AV42" s="301"/>
      <c r="AW42" s="301"/>
      <c r="AX42" s="301"/>
      <c r="AY42" s="301"/>
      <c r="AZ42" s="301"/>
      <c r="BA42" s="301"/>
      <c r="BB42" s="301"/>
      <c r="BC42" s="301"/>
      <c r="BD42" s="301"/>
      <c r="BE42" s="301"/>
      <c r="BF42" s="301"/>
      <c r="BG42" s="301"/>
      <c r="BH42" s="301"/>
    </row>
    <row r="43" spans="1:60">
      <c r="A43" s="23" t="s">
        <v>156</v>
      </c>
      <c r="C43" s="315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1"/>
      <c r="AJ43" s="301"/>
      <c r="AK43" s="301"/>
      <c r="AL43" s="301"/>
      <c r="AM43" s="301"/>
      <c r="AN43" s="301"/>
      <c r="AO43" s="301"/>
      <c r="AP43" s="301"/>
      <c r="AQ43" s="301"/>
      <c r="AR43" s="301"/>
      <c r="AS43" s="301"/>
      <c r="AT43" s="301"/>
      <c r="AU43" s="301"/>
      <c r="AV43" s="301"/>
      <c r="AW43" s="301"/>
      <c r="AX43" s="301"/>
      <c r="AY43" s="301"/>
      <c r="AZ43" s="301"/>
      <c r="BA43" s="301"/>
      <c r="BB43" s="301"/>
      <c r="BC43" s="301"/>
      <c r="BD43" s="301"/>
      <c r="BE43" s="301"/>
      <c r="BF43" s="301"/>
      <c r="BG43" s="301"/>
      <c r="BH43" s="301"/>
    </row>
    <row r="44" spans="1:60">
      <c r="A44" s="13"/>
      <c r="B44" s="13"/>
      <c r="C44" s="315"/>
      <c r="D44" s="23"/>
      <c r="E44" s="23"/>
      <c r="F44" s="304"/>
      <c r="G44" s="301"/>
      <c r="H44" s="301"/>
      <c r="I44" s="301"/>
      <c r="J44" s="301"/>
      <c r="K44" s="301"/>
      <c r="L44" s="301"/>
      <c r="M44" s="301"/>
      <c r="N44" s="301"/>
      <c r="O44" s="301"/>
      <c r="P44" s="301"/>
      <c r="Q44" s="301"/>
      <c r="R44" s="301"/>
      <c r="S44" s="301"/>
      <c r="T44" s="301"/>
      <c r="U44" s="301"/>
      <c r="V44" s="301"/>
      <c r="W44" s="301"/>
      <c r="X44" s="301"/>
      <c r="Y44" s="301"/>
      <c r="Z44" s="150"/>
      <c r="AA44" s="150"/>
      <c r="AB44" s="301"/>
      <c r="AC44" s="301"/>
      <c r="AD44" s="301"/>
      <c r="AE44" s="301"/>
      <c r="AF44" s="301"/>
      <c r="AG44" s="301"/>
      <c r="AH44" s="301"/>
      <c r="AI44" s="301"/>
      <c r="AJ44" s="301"/>
      <c r="AK44" s="301"/>
      <c r="AL44" s="301"/>
      <c r="AM44" s="301"/>
      <c r="AN44" s="301"/>
      <c r="AO44" s="301"/>
      <c r="AP44" s="301"/>
      <c r="AQ44" s="301"/>
      <c r="AR44" s="301"/>
      <c r="AS44" s="301"/>
      <c r="AT44" s="301"/>
      <c r="AU44" s="301"/>
      <c r="AV44" s="301"/>
      <c r="AW44" s="301"/>
      <c r="AX44" s="301"/>
      <c r="AY44" s="301"/>
      <c r="AZ44" s="301"/>
      <c r="BA44" s="301"/>
      <c r="BB44" s="301"/>
      <c r="BC44" s="301"/>
      <c r="BD44" s="301"/>
      <c r="BE44" s="301"/>
      <c r="BF44" s="301"/>
      <c r="BG44" s="301"/>
      <c r="BH44" s="301"/>
    </row>
    <row r="45" spans="1:60">
      <c r="A45" s="133" t="s">
        <v>157</v>
      </c>
      <c r="B45" s="13"/>
      <c r="C45" s="315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1"/>
      <c r="AJ45" s="301"/>
      <c r="AK45" s="301"/>
      <c r="AL45" s="301"/>
      <c r="AM45" s="301"/>
      <c r="AN45" s="301"/>
      <c r="AO45" s="301"/>
      <c r="AP45" s="301"/>
      <c r="AQ45" s="301"/>
      <c r="AR45" s="301"/>
      <c r="AS45" s="301"/>
      <c r="AT45" s="301"/>
      <c r="AU45" s="301"/>
      <c r="AV45" s="301"/>
      <c r="AW45" s="301"/>
      <c r="AX45" s="301"/>
      <c r="AY45" s="301"/>
      <c r="AZ45" s="301"/>
      <c r="BA45" s="301"/>
      <c r="BB45" s="301"/>
      <c r="BC45" s="301"/>
      <c r="BD45" s="301"/>
      <c r="BE45" s="301"/>
      <c r="BF45" s="301"/>
      <c r="BG45" s="301"/>
      <c r="BH45" s="301"/>
    </row>
    <row r="46" spans="1:60">
      <c r="A46" s="23"/>
      <c r="B46" s="13"/>
      <c r="C46" s="315"/>
      <c r="D46" s="23"/>
      <c r="E46" s="23"/>
      <c r="F46" s="304"/>
      <c r="G46" s="301"/>
      <c r="H46" s="301"/>
      <c r="I46" s="301"/>
      <c r="J46" s="301"/>
      <c r="K46" s="301"/>
      <c r="L46" s="301"/>
      <c r="M46" s="301"/>
      <c r="N46" s="301"/>
      <c r="O46" s="301"/>
      <c r="P46" s="301"/>
      <c r="Q46" s="301"/>
      <c r="R46" s="301"/>
      <c r="S46" s="301"/>
      <c r="T46" s="301"/>
      <c r="U46" s="301"/>
      <c r="V46" s="301"/>
      <c r="W46" s="301"/>
      <c r="X46" s="301"/>
      <c r="Y46" s="301"/>
      <c r="Z46" s="150"/>
      <c r="AA46" s="150"/>
      <c r="AB46" s="301"/>
      <c r="AC46" s="301"/>
      <c r="AD46" s="301"/>
      <c r="AE46" s="301"/>
      <c r="AF46" s="301"/>
      <c r="AG46" s="301"/>
      <c r="AH46" s="301"/>
      <c r="AI46" s="301"/>
      <c r="AJ46" s="301"/>
      <c r="AK46" s="301"/>
      <c r="AL46" s="301"/>
      <c r="AM46" s="301"/>
      <c r="AN46" s="301"/>
      <c r="AO46" s="301"/>
      <c r="AP46" s="301"/>
      <c r="AQ46" s="301"/>
      <c r="AR46" s="301"/>
      <c r="AS46" s="301"/>
      <c r="AT46" s="301"/>
      <c r="AU46" s="301"/>
      <c r="AV46" s="301"/>
      <c r="AW46" s="301"/>
      <c r="AX46" s="301"/>
      <c r="AY46" s="301"/>
      <c r="AZ46" s="301"/>
      <c r="BA46" s="301"/>
      <c r="BB46" s="301"/>
      <c r="BC46" s="301"/>
      <c r="BD46" s="301"/>
      <c r="BE46" s="301"/>
      <c r="BF46" s="301"/>
      <c r="BG46" s="301"/>
      <c r="BH46" s="301"/>
    </row>
    <row r="47" spans="1:60">
      <c r="A47" s="133" t="s">
        <v>158</v>
      </c>
      <c r="B47" s="13"/>
      <c r="C47" s="315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1"/>
      <c r="AJ47" s="301"/>
      <c r="AK47" s="301"/>
      <c r="AL47" s="301"/>
      <c r="AM47" s="301"/>
      <c r="AN47" s="301"/>
      <c r="AO47" s="301"/>
      <c r="AP47" s="301"/>
      <c r="AQ47" s="301"/>
      <c r="AR47" s="301"/>
      <c r="AS47" s="301"/>
      <c r="AT47" s="301"/>
      <c r="AU47" s="301"/>
      <c r="AV47" s="301"/>
      <c r="AW47" s="301"/>
      <c r="AX47" s="301"/>
      <c r="AY47" s="301"/>
      <c r="AZ47" s="301"/>
      <c r="BA47" s="301"/>
      <c r="BB47" s="301"/>
      <c r="BC47" s="301"/>
      <c r="BD47" s="301"/>
      <c r="BE47" s="301"/>
      <c r="BF47" s="301"/>
      <c r="BG47" s="301"/>
      <c r="BH47" s="301"/>
    </row>
    <row r="48" spans="1:60">
      <c r="A48" s="13"/>
      <c r="B48" s="13"/>
      <c r="C48" s="23"/>
      <c r="D48" s="23"/>
      <c r="E48" s="23"/>
      <c r="F48" s="304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301"/>
      <c r="Y48" s="301"/>
      <c r="Z48" s="150"/>
      <c r="AA48" s="150"/>
      <c r="AB48" s="301"/>
      <c r="AC48" s="301"/>
      <c r="AD48" s="301"/>
      <c r="AE48" s="301"/>
      <c r="AF48" s="301"/>
      <c r="AG48" s="301"/>
      <c r="AH48" s="301"/>
      <c r="AI48" s="301"/>
      <c r="AJ48" s="301"/>
      <c r="AK48" s="301"/>
      <c r="AL48" s="301"/>
      <c r="AM48" s="301"/>
      <c r="AN48" s="301"/>
      <c r="AO48" s="301"/>
      <c r="AP48" s="301"/>
      <c r="AQ48" s="301"/>
      <c r="AR48" s="301"/>
      <c r="AS48" s="301"/>
      <c r="AT48" s="301"/>
      <c r="AU48" s="301"/>
      <c r="AV48" s="301"/>
      <c r="AW48" s="301"/>
      <c r="AX48" s="301"/>
      <c r="AY48" s="301"/>
      <c r="AZ48" s="301"/>
      <c r="BA48" s="301"/>
      <c r="BB48" s="301"/>
      <c r="BC48" s="301"/>
      <c r="BD48" s="301"/>
      <c r="BE48" s="301"/>
      <c r="BF48" s="301"/>
      <c r="BG48" s="301"/>
      <c r="BH48" s="301"/>
    </row>
    <row r="49" spans="1:60">
      <c r="A49" s="13"/>
      <c r="B49" s="13"/>
      <c r="C49" s="23"/>
      <c r="D49" s="23"/>
      <c r="E49" s="23"/>
      <c r="F49" s="304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301"/>
      <c r="Y49" s="301"/>
      <c r="Z49" s="150"/>
      <c r="AA49" s="150"/>
      <c r="AB49" s="301"/>
      <c r="AC49" s="301"/>
      <c r="AD49" s="301"/>
      <c r="AE49" s="301"/>
      <c r="AF49" s="301"/>
      <c r="AG49" s="301"/>
      <c r="AH49" s="301"/>
      <c r="AI49" s="301"/>
      <c r="AJ49" s="301"/>
      <c r="AK49" s="301"/>
      <c r="AL49" s="301"/>
      <c r="AM49" s="301"/>
      <c r="AN49" s="301"/>
      <c r="AO49" s="301"/>
      <c r="AP49" s="301"/>
      <c r="AQ49" s="301"/>
      <c r="AR49" s="301"/>
      <c r="AS49" s="301"/>
      <c r="AT49" s="301"/>
      <c r="AU49" s="301"/>
      <c r="AV49" s="301"/>
      <c r="AW49" s="301"/>
      <c r="AX49" s="301"/>
      <c r="AY49" s="301"/>
      <c r="AZ49" s="301"/>
      <c r="BA49" s="301"/>
      <c r="BB49" s="301"/>
      <c r="BC49" s="301"/>
      <c r="BD49" s="301"/>
      <c r="BE49" s="301"/>
      <c r="BF49" s="301"/>
      <c r="BG49" s="301"/>
      <c r="BH49" s="301"/>
    </row>
    <row r="50" spans="1:60">
      <c r="A50" s="13"/>
      <c r="B50" s="13"/>
      <c r="C50" s="23"/>
      <c r="D50" s="23"/>
      <c r="E50" s="23"/>
      <c r="F50" s="304"/>
      <c r="G50" s="301"/>
      <c r="H50" s="301"/>
      <c r="I50" s="301"/>
      <c r="J50" s="301"/>
      <c r="K50" s="301"/>
      <c r="L50" s="301"/>
      <c r="M50" s="301"/>
      <c r="N50" s="301"/>
      <c r="O50" s="301"/>
      <c r="P50" s="301"/>
      <c r="Q50" s="301"/>
      <c r="R50" s="301"/>
      <c r="S50" s="301"/>
      <c r="T50" s="301"/>
      <c r="U50" s="301"/>
      <c r="V50" s="301"/>
      <c r="W50" s="301"/>
      <c r="X50" s="301"/>
      <c r="Y50" s="301"/>
      <c r="Z50" s="150"/>
      <c r="AA50" s="150"/>
      <c r="AB50" s="301"/>
      <c r="AC50" s="301"/>
      <c r="AD50" s="301"/>
      <c r="AE50" s="301"/>
      <c r="AF50" s="301"/>
      <c r="AG50" s="301"/>
      <c r="AH50" s="301"/>
      <c r="AI50" s="301"/>
      <c r="AJ50" s="301"/>
      <c r="AK50" s="301"/>
      <c r="AL50" s="301"/>
      <c r="AM50" s="301"/>
      <c r="AN50" s="301"/>
      <c r="AO50" s="301"/>
      <c r="AP50" s="301"/>
      <c r="AQ50" s="301"/>
      <c r="AR50" s="301"/>
      <c r="AS50" s="301"/>
      <c r="AT50" s="301"/>
      <c r="AU50" s="301"/>
      <c r="AV50" s="301"/>
      <c r="AW50" s="301"/>
      <c r="AX50" s="301"/>
      <c r="AY50" s="301"/>
      <c r="AZ50" s="301"/>
      <c r="BA50" s="301"/>
      <c r="BB50" s="301"/>
      <c r="BC50" s="301"/>
      <c r="BD50" s="301"/>
      <c r="BE50" s="301"/>
      <c r="BF50" s="301"/>
      <c r="BG50" s="301"/>
      <c r="BH50" s="301"/>
    </row>
    <row r="51" spans="1:60">
      <c r="A51" s="13"/>
      <c r="B51" s="13"/>
      <c r="C51" s="23"/>
      <c r="D51" s="23"/>
      <c r="E51" s="23"/>
      <c r="F51" s="304"/>
      <c r="G51" s="301"/>
      <c r="H51" s="301"/>
      <c r="I51" s="301"/>
      <c r="J51" s="301"/>
      <c r="K51" s="301"/>
      <c r="L51" s="301"/>
      <c r="M51" s="301"/>
      <c r="N51" s="301"/>
      <c r="O51" s="301"/>
      <c r="P51" s="301"/>
      <c r="Q51" s="301"/>
      <c r="R51" s="301"/>
      <c r="S51" s="301"/>
      <c r="T51" s="301"/>
      <c r="U51" s="301"/>
      <c r="V51" s="301"/>
      <c r="W51" s="301"/>
      <c r="X51" s="301"/>
      <c r="Y51" s="301"/>
      <c r="Z51" s="150"/>
      <c r="AA51" s="150"/>
      <c r="AB51" s="301"/>
      <c r="AC51" s="301"/>
      <c r="AD51" s="301"/>
      <c r="AE51" s="301"/>
      <c r="AF51" s="301"/>
      <c r="AG51" s="301"/>
      <c r="AH51" s="301"/>
      <c r="AI51" s="301"/>
      <c r="AJ51" s="301"/>
      <c r="AK51" s="301"/>
      <c r="AL51" s="301"/>
      <c r="AM51" s="301"/>
      <c r="AN51" s="301"/>
      <c r="AO51" s="301"/>
      <c r="AP51" s="301"/>
      <c r="AQ51" s="301"/>
      <c r="AR51" s="301"/>
      <c r="AS51" s="301"/>
      <c r="AT51" s="301"/>
      <c r="AU51" s="301"/>
      <c r="AV51" s="301"/>
      <c r="AW51" s="301"/>
      <c r="AX51" s="301"/>
      <c r="AY51" s="301"/>
      <c r="AZ51" s="301"/>
      <c r="BA51" s="301"/>
      <c r="BB51" s="301"/>
      <c r="BC51" s="301"/>
      <c r="BD51" s="301"/>
      <c r="BE51" s="301"/>
      <c r="BF51" s="301"/>
      <c r="BG51" s="301"/>
      <c r="BH51" s="301"/>
    </row>
    <row r="52" spans="1:60">
      <c r="A52" s="13"/>
      <c r="B52" s="13"/>
      <c r="C52" s="23"/>
      <c r="D52" s="23"/>
      <c r="E52" s="23"/>
      <c r="F52" s="304"/>
      <c r="G52" s="301"/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  <c r="X52" s="301"/>
      <c r="Y52" s="301"/>
      <c r="Z52" s="150"/>
      <c r="AA52" s="150"/>
      <c r="AB52" s="301"/>
      <c r="AC52" s="301"/>
      <c r="AD52" s="301"/>
      <c r="AE52" s="301"/>
      <c r="AF52" s="301"/>
      <c r="AG52" s="301"/>
      <c r="AH52" s="301"/>
      <c r="AI52" s="301"/>
      <c r="AJ52" s="301"/>
      <c r="AK52" s="301"/>
      <c r="AL52" s="301"/>
      <c r="AM52" s="301"/>
      <c r="AN52" s="301"/>
      <c r="AO52" s="301"/>
      <c r="AP52" s="301"/>
      <c r="AQ52" s="301"/>
      <c r="AR52" s="301"/>
      <c r="AS52" s="301"/>
      <c r="AT52" s="301"/>
      <c r="AU52" s="301"/>
      <c r="AV52" s="301"/>
      <c r="AW52" s="301"/>
      <c r="AX52" s="301"/>
      <c r="AY52" s="301"/>
      <c r="AZ52" s="301"/>
      <c r="BA52" s="301"/>
      <c r="BB52" s="301"/>
      <c r="BC52" s="301"/>
      <c r="BD52" s="301"/>
      <c r="BE52" s="301"/>
      <c r="BF52" s="301"/>
      <c r="BG52" s="301"/>
      <c r="BH52" s="301"/>
    </row>
    <row r="53" spans="1:60">
      <c r="A53" s="13"/>
      <c r="B53" s="13"/>
      <c r="C53" s="23"/>
      <c r="D53" s="23"/>
      <c r="E53" s="23"/>
      <c r="F53" s="304"/>
      <c r="G53" s="301"/>
      <c r="H53" s="301"/>
      <c r="I53" s="301"/>
      <c r="J53" s="301"/>
      <c r="K53" s="301"/>
      <c r="L53" s="301"/>
      <c r="M53" s="301"/>
      <c r="N53" s="301"/>
      <c r="O53" s="301"/>
      <c r="P53" s="301"/>
      <c r="Q53" s="301"/>
      <c r="R53" s="301"/>
      <c r="S53" s="301"/>
      <c r="T53" s="301"/>
      <c r="U53" s="301"/>
      <c r="V53" s="301"/>
      <c r="W53" s="301"/>
      <c r="X53" s="301"/>
      <c r="Y53" s="301"/>
      <c r="Z53" s="150"/>
      <c r="AA53" s="150"/>
      <c r="AB53" s="301"/>
      <c r="AC53" s="301"/>
      <c r="AD53" s="301"/>
      <c r="AE53" s="301"/>
      <c r="AF53" s="301"/>
      <c r="AG53" s="301"/>
      <c r="AH53" s="301"/>
      <c r="AI53" s="301"/>
      <c r="AJ53" s="301"/>
      <c r="AK53" s="301"/>
      <c r="AL53" s="301"/>
      <c r="AM53" s="301"/>
      <c r="AN53" s="301"/>
      <c r="AO53" s="301"/>
      <c r="AP53" s="301"/>
      <c r="AQ53" s="301"/>
      <c r="AR53" s="301"/>
      <c r="AS53" s="301"/>
      <c r="AT53" s="301"/>
      <c r="AU53" s="301"/>
      <c r="AV53" s="301"/>
      <c r="AW53" s="301"/>
      <c r="AX53" s="301"/>
      <c r="AY53" s="301"/>
      <c r="AZ53" s="301"/>
      <c r="BA53" s="301"/>
      <c r="BB53" s="301"/>
      <c r="BC53" s="301"/>
      <c r="BD53" s="301"/>
      <c r="BE53" s="301"/>
      <c r="BF53" s="301"/>
      <c r="BG53" s="301"/>
      <c r="BH53" s="301"/>
    </row>
    <row r="54" spans="1:60">
      <c r="A54" s="13"/>
      <c r="B54" s="13"/>
      <c r="C54" s="23"/>
      <c r="D54" s="23"/>
      <c r="E54" s="23"/>
      <c r="F54" s="304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301"/>
      <c r="Y54" s="301"/>
      <c r="Z54" s="150"/>
      <c r="AA54" s="150"/>
      <c r="AB54" s="301"/>
      <c r="AC54" s="301"/>
      <c r="AD54" s="301"/>
      <c r="AE54" s="301"/>
      <c r="AF54" s="301"/>
      <c r="AG54" s="301"/>
      <c r="AH54" s="301"/>
      <c r="AI54" s="301"/>
      <c r="AJ54" s="301"/>
      <c r="AK54" s="301"/>
      <c r="AL54" s="301"/>
      <c r="AM54" s="301"/>
      <c r="AN54" s="301"/>
      <c r="AO54" s="301"/>
      <c r="AP54" s="301"/>
      <c r="AQ54" s="301"/>
      <c r="AR54" s="301"/>
      <c r="AS54" s="301"/>
      <c r="AT54" s="301"/>
      <c r="AU54" s="301"/>
      <c r="AV54" s="301"/>
      <c r="AW54" s="301"/>
      <c r="AX54" s="301"/>
      <c r="AY54" s="301"/>
      <c r="AZ54" s="301"/>
      <c r="BA54" s="301"/>
      <c r="BB54" s="301"/>
      <c r="BC54" s="301"/>
      <c r="BD54" s="301"/>
      <c r="BE54" s="301"/>
      <c r="BF54" s="301"/>
      <c r="BG54" s="301"/>
      <c r="BH54" s="301"/>
    </row>
    <row r="55" spans="1:60">
      <c r="A55" s="13"/>
      <c r="B55" s="178"/>
      <c r="C55" s="304"/>
      <c r="D55" s="304"/>
      <c r="E55" s="304"/>
      <c r="F55" s="304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301"/>
      <c r="Y55" s="301"/>
      <c r="Z55" s="150"/>
      <c r="AA55" s="150"/>
      <c r="AB55" s="301"/>
      <c r="AC55" s="301"/>
      <c r="AD55" s="301"/>
      <c r="AE55" s="301"/>
      <c r="AF55" s="301"/>
      <c r="AG55" s="301"/>
      <c r="AH55" s="301"/>
      <c r="AI55" s="301"/>
      <c r="AJ55" s="301"/>
      <c r="AK55" s="301"/>
      <c r="AL55" s="301"/>
      <c r="AM55" s="301"/>
      <c r="AN55" s="301"/>
      <c r="AO55" s="301"/>
      <c r="AP55" s="301"/>
      <c r="AQ55" s="301"/>
      <c r="AR55" s="301"/>
      <c r="AS55" s="301"/>
      <c r="AT55" s="301"/>
      <c r="AU55" s="301"/>
      <c r="AV55" s="301"/>
      <c r="AW55" s="301"/>
      <c r="AX55" s="301"/>
      <c r="AY55" s="301"/>
      <c r="AZ55" s="301"/>
      <c r="BA55" s="301"/>
      <c r="BB55" s="301"/>
      <c r="BC55" s="301"/>
      <c r="BD55" s="301"/>
      <c r="BE55" s="301"/>
      <c r="BF55" s="301"/>
      <c r="BG55" s="301"/>
      <c r="BH55" s="301"/>
    </row>
    <row r="56" spans="1:60">
      <c r="A56" s="13"/>
      <c r="B56" s="178"/>
      <c r="C56" s="304"/>
      <c r="D56" s="304"/>
      <c r="E56" s="304"/>
      <c r="F56" s="304"/>
      <c r="G56" s="301"/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/>
      <c r="S56" s="301"/>
      <c r="T56" s="301"/>
      <c r="U56" s="301"/>
      <c r="V56" s="301"/>
      <c r="W56" s="301"/>
      <c r="X56" s="301"/>
      <c r="Y56" s="301"/>
      <c r="Z56" s="150"/>
      <c r="AA56" s="150"/>
      <c r="AB56" s="301"/>
      <c r="AC56" s="301"/>
      <c r="AD56" s="301"/>
      <c r="AE56" s="301"/>
      <c r="AF56" s="301"/>
      <c r="AG56" s="301"/>
      <c r="AH56" s="301"/>
      <c r="AI56" s="301"/>
      <c r="AJ56" s="301"/>
      <c r="AK56" s="301"/>
      <c r="AL56" s="301"/>
      <c r="AM56" s="301"/>
      <c r="AN56" s="301"/>
      <c r="AO56" s="301"/>
      <c r="AP56" s="301"/>
      <c r="AQ56" s="301"/>
      <c r="AR56" s="301"/>
      <c r="AS56" s="301"/>
      <c r="AT56" s="301"/>
      <c r="AU56" s="301"/>
      <c r="AV56" s="301"/>
      <c r="AW56" s="301"/>
      <c r="AX56" s="301"/>
      <c r="AY56" s="301"/>
      <c r="AZ56" s="301"/>
      <c r="BA56" s="301"/>
      <c r="BB56" s="301"/>
      <c r="BC56" s="301"/>
      <c r="BD56" s="301"/>
      <c r="BE56" s="301"/>
      <c r="BF56" s="301"/>
      <c r="BG56" s="301"/>
      <c r="BH56" s="301"/>
    </row>
    <row r="57" spans="1:60">
      <c r="A57" s="13"/>
      <c r="B57" s="178"/>
      <c r="C57" s="304"/>
      <c r="D57" s="304"/>
      <c r="E57" s="304"/>
      <c r="F57" s="304"/>
      <c r="G57" s="301"/>
      <c r="H57" s="301"/>
      <c r="I57" s="301"/>
      <c r="J57" s="301"/>
      <c r="K57" s="301"/>
      <c r="L57" s="301"/>
      <c r="M57" s="301"/>
      <c r="N57" s="301"/>
      <c r="O57" s="301"/>
      <c r="P57" s="301"/>
      <c r="Q57" s="301"/>
      <c r="R57" s="301"/>
      <c r="S57" s="301"/>
      <c r="T57" s="301"/>
      <c r="U57" s="301"/>
      <c r="V57" s="301"/>
      <c r="W57" s="301"/>
      <c r="X57" s="301"/>
      <c r="Y57" s="301"/>
      <c r="Z57" s="150"/>
      <c r="AA57" s="150"/>
      <c r="AB57" s="301"/>
      <c r="AC57" s="301"/>
      <c r="AD57" s="301"/>
      <c r="AE57" s="301"/>
      <c r="AF57" s="301"/>
      <c r="AG57" s="301"/>
      <c r="AH57" s="301"/>
      <c r="AI57" s="301"/>
      <c r="AJ57" s="301"/>
      <c r="AK57" s="301"/>
      <c r="AL57" s="301"/>
      <c r="AM57" s="301"/>
      <c r="AN57" s="301"/>
      <c r="AO57" s="301"/>
      <c r="AP57" s="301"/>
      <c r="AQ57" s="301"/>
      <c r="AR57" s="301"/>
      <c r="AS57" s="301"/>
      <c r="AT57" s="301"/>
      <c r="AU57" s="301"/>
      <c r="AV57" s="301"/>
      <c r="AW57" s="301"/>
      <c r="AX57" s="301"/>
      <c r="AY57" s="301"/>
      <c r="AZ57" s="301"/>
      <c r="BA57" s="301"/>
      <c r="BB57" s="301"/>
      <c r="BC57" s="301"/>
      <c r="BD57" s="301"/>
      <c r="BE57" s="301"/>
      <c r="BF57" s="301"/>
      <c r="BG57" s="301"/>
      <c r="BH57" s="301"/>
    </row>
    <row r="58" spans="1:60">
      <c r="A58" s="13"/>
      <c r="B58" s="178"/>
      <c r="C58" s="304"/>
      <c r="D58" s="304"/>
      <c r="E58" s="304"/>
      <c r="F58" s="304"/>
      <c r="G58" s="301"/>
      <c r="H58" s="301"/>
      <c r="I58" s="301"/>
      <c r="J58" s="301"/>
      <c r="K58" s="301"/>
      <c r="L58" s="301"/>
      <c r="M58" s="301"/>
      <c r="N58" s="301"/>
      <c r="O58" s="301"/>
      <c r="P58" s="301"/>
      <c r="Q58" s="301"/>
      <c r="R58" s="301"/>
      <c r="S58" s="301"/>
      <c r="T58" s="301"/>
      <c r="U58" s="301"/>
      <c r="V58" s="301"/>
      <c r="W58" s="301"/>
      <c r="X58" s="301"/>
      <c r="Y58" s="301"/>
      <c r="Z58" s="150"/>
      <c r="AA58" s="150"/>
      <c r="AB58" s="301"/>
      <c r="AC58" s="301"/>
      <c r="AD58" s="301"/>
      <c r="AE58" s="301"/>
      <c r="AF58" s="301"/>
      <c r="AG58" s="301"/>
      <c r="AH58" s="301"/>
      <c r="AI58" s="301"/>
      <c r="AJ58" s="301"/>
      <c r="AK58" s="301"/>
      <c r="AL58" s="301"/>
      <c r="AM58" s="301"/>
      <c r="AN58" s="301"/>
      <c r="AO58" s="301"/>
      <c r="AP58" s="301"/>
      <c r="AQ58" s="301"/>
      <c r="AR58" s="301"/>
      <c r="AS58" s="301"/>
      <c r="AT58" s="301"/>
      <c r="AU58" s="301"/>
      <c r="AV58" s="301"/>
      <c r="AW58" s="301"/>
      <c r="AX58" s="301"/>
      <c r="AY58" s="301"/>
      <c r="AZ58" s="301"/>
      <c r="BA58" s="301"/>
      <c r="BB58" s="301"/>
      <c r="BC58" s="301"/>
      <c r="BD58" s="301"/>
      <c r="BE58" s="301"/>
      <c r="BF58" s="301"/>
      <c r="BG58" s="301"/>
      <c r="BH58" s="301"/>
    </row>
    <row r="59" spans="1:60">
      <c r="A59" s="13"/>
      <c r="B59" s="178"/>
      <c r="C59" s="304"/>
      <c r="D59" s="304"/>
      <c r="E59" s="304"/>
      <c r="F59" s="304"/>
      <c r="G59" s="301"/>
      <c r="H59" s="301"/>
      <c r="I59" s="301"/>
      <c r="J59" s="301"/>
      <c r="K59" s="301"/>
      <c r="L59" s="301"/>
      <c r="M59" s="301"/>
      <c r="N59" s="301"/>
      <c r="O59" s="301"/>
      <c r="P59" s="301"/>
      <c r="Q59" s="301"/>
      <c r="R59" s="301"/>
      <c r="S59" s="301"/>
      <c r="T59" s="301"/>
      <c r="U59" s="301"/>
      <c r="V59" s="301"/>
      <c r="W59" s="301"/>
      <c r="X59" s="301"/>
      <c r="Y59" s="301"/>
      <c r="Z59" s="150"/>
      <c r="AA59" s="150"/>
      <c r="AB59" s="301"/>
      <c r="AC59" s="301"/>
      <c r="AD59" s="301"/>
      <c r="AE59" s="301"/>
      <c r="AF59" s="301"/>
      <c r="AG59" s="301"/>
      <c r="AH59" s="301"/>
      <c r="AI59" s="301"/>
      <c r="AJ59" s="301"/>
      <c r="AK59" s="301"/>
      <c r="AL59" s="301"/>
      <c r="AM59" s="301"/>
      <c r="AN59" s="301"/>
      <c r="AO59" s="301"/>
      <c r="AP59" s="301"/>
      <c r="AQ59" s="301"/>
      <c r="AR59" s="301"/>
      <c r="AS59" s="301"/>
      <c r="AT59" s="301"/>
      <c r="AU59" s="301"/>
      <c r="AV59" s="301"/>
      <c r="AW59" s="301"/>
      <c r="AX59" s="301"/>
      <c r="AY59" s="301"/>
      <c r="AZ59" s="301"/>
      <c r="BA59" s="301"/>
      <c r="BB59" s="301"/>
      <c r="BC59" s="301"/>
      <c r="BD59" s="301"/>
      <c r="BE59" s="301"/>
      <c r="BF59" s="301"/>
      <c r="BG59" s="301"/>
      <c r="BH59" s="301"/>
    </row>
    <row r="60" spans="1:60">
      <c r="A60" s="13"/>
      <c r="B60" s="178"/>
      <c r="C60" s="304"/>
      <c r="D60" s="304"/>
      <c r="E60" s="304"/>
      <c r="F60" s="304"/>
      <c r="G60" s="301"/>
      <c r="H60" s="301"/>
      <c r="I60" s="301"/>
      <c r="J60" s="301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150"/>
      <c r="AA60" s="150"/>
      <c r="AB60" s="301"/>
      <c r="AC60" s="301"/>
      <c r="AD60" s="301"/>
      <c r="AE60" s="301"/>
      <c r="AF60" s="301"/>
      <c r="AG60" s="301"/>
      <c r="AH60" s="301"/>
      <c r="AI60" s="301"/>
      <c r="AJ60" s="301"/>
      <c r="AK60" s="301"/>
      <c r="AL60" s="301"/>
      <c r="AM60" s="301"/>
      <c r="AN60" s="301"/>
      <c r="AO60" s="301"/>
      <c r="AP60" s="301"/>
      <c r="AQ60" s="301"/>
      <c r="AR60" s="301"/>
      <c r="AS60" s="301"/>
      <c r="AT60" s="301"/>
      <c r="AU60" s="301"/>
      <c r="AV60" s="301"/>
      <c r="AW60" s="301"/>
      <c r="AX60" s="301"/>
      <c r="AY60" s="301"/>
    </row>
    <row r="61" spans="1:60">
      <c r="A61" s="178"/>
      <c r="B61" s="178"/>
      <c r="C61" s="304"/>
      <c r="D61" s="304"/>
      <c r="E61" s="304"/>
      <c r="F61" s="304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150"/>
      <c r="AA61" s="150"/>
      <c r="AB61" s="301"/>
      <c r="AC61" s="301"/>
      <c r="AD61" s="301"/>
      <c r="AE61" s="301"/>
      <c r="AF61" s="301"/>
      <c r="AG61" s="301"/>
      <c r="AH61" s="301"/>
      <c r="AI61" s="301"/>
      <c r="AJ61" s="301"/>
      <c r="AK61" s="301"/>
      <c r="AL61" s="301"/>
      <c r="AM61" s="301"/>
      <c r="AN61" s="301"/>
      <c r="AO61" s="301"/>
      <c r="AP61" s="301"/>
      <c r="AQ61" s="301"/>
      <c r="AR61" s="301"/>
      <c r="AS61" s="301"/>
      <c r="AT61" s="301"/>
      <c r="AU61" s="301"/>
      <c r="AV61" s="301"/>
      <c r="AW61" s="301"/>
      <c r="AX61" s="301"/>
      <c r="AY61" s="301"/>
    </row>
    <row r="62" spans="1:60"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301"/>
      <c r="Y62" s="301"/>
      <c r="Z62" s="150"/>
      <c r="AA62" s="150"/>
      <c r="AB62" s="301"/>
      <c r="AC62" s="301"/>
      <c r="AD62" s="301"/>
      <c r="AE62" s="301"/>
      <c r="AF62" s="301"/>
      <c r="AG62" s="301"/>
      <c r="AH62" s="301"/>
      <c r="AI62" s="301"/>
      <c r="AJ62" s="301"/>
      <c r="AK62" s="301"/>
      <c r="AL62" s="301"/>
      <c r="AM62" s="301"/>
      <c r="AN62" s="301"/>
      <c r="AO62" s="301"/>
      <c r="AP62" s="301"/>
      <c r="AQ62" s="301"/>
      <c r="AR62" s="301"/>
      <c r="AS62" s="301"/>
      <c r="AT62" s="301"/>
      <c r="AU62" s="301"/>
      <c r="AV62" s="301"/>
      <c r="AW62" s="301"/>
      <c r="AX62" s="301"/>
      <c r="AY62" s="301"/>
    </row>
    <row r="63" spans="1:60">
      <c r="C63" s="301"/>
      <c r="D63" s="301"/>
      <c r="E63" s="301"/>
      <c r="F63" s="301"/>
      <c r="G63" s="301"/>
      <c r="H63" s="301"/>
      <c r="I63" s="301"/>
      <c r="J63" s="301"/>
      <c r="K63" s="301"/>
      <c r="L63" s="301"/>
      <c r="M63" s="301"/>
      <c r="N63" s="301"/>
      <c r="O63" s="301"/>
      <c r="P63" s="301"/>
      <c r="Q63" s="301"/>
      <c r="R63" s="301"/>
      <c r="S63" s="301"/>
      <c r="T63" s="301"/>
      <c r="U63" s="301"/>
      <c r="V63" s="301"/>
      <c r="W63" s="301"/>
      <c r="X63" s="301"/>
      <c r="Y63" s="301"/>
      <c r="Z63" s="150"/>
      <c r="AA63" s="150"/>
      <c r="AB63" s="301"/>
      <c r="AC63" s="301"/>
      <c r="AD63" s="301"/>
      <c r="AE63" s="301"/>
      <c r="AF63" s="301"/>
      <c r="AG63" s="301"/>
      <c r="AH63" s="301"/>
      <c r="AI63" s="301"/>
      <c r="AJ63" s="301"/>
      <c r="AK63" s="301"/>
      <c r="AL63" s="301"/>
      <c r="AM63" s="301"/>
      <c r="AN63" s="301"/>
      <c r="AO63" s="301"/>
      <c r="AP63" s="301"/>
      <c r="AQ63" s="301"/>
      <c r="AR63" s="301"/>
      <c r="AS63" s="301"/>
      <c r="AT63" s="301"/>
      <c r="AU63" s="301"/>
      <c r="AV63" s="301"/>
      <c r="AW63" s="301"/>
      <c r="AX63" s="301"/>
      <c r="AY63" s="301"/>
    </row>
    <row r="64" spans="1:60"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  <c r="N64" s="301"/>
      <c r="O64" s="301"/>
      <c r="P64" s="301"/>
      <c r="Q64" s="301"/>
      <c r="R64" s="301"/>
      <c r="S64" s="301"/>
      <c r="T64" s="301"/>
      <c r="U64" s="301"/>
      <c r="V64" s="301"/>
      <c r="W64" s="301"/>
      <c r="X64" s="301"/>
      <c r="Y64" s="301"/>
      <c r="Z64" s="150"/>
      <c r="AA64" s="150"/>
      <c r="AB64" s="301"/>
      <c r="AC64" s="301"/>
      <c r="AD64" s="301"/>
      <c r="AE64" s="301"/>
      <c r="AF64" s="301"/>
      <c r="AG64" s="301"/>
      <c r="AH64" s="301"/>
      <c r="AI64" s="301"/>
      <c r="AJ64" s="301"/>
      <c r="AK64" s="301"/>
      <c r="AL64" s="301"/>
      <c r="AM64" s="301"/>
      <c r="AN64" s="301"/>
      <c r="AO64" s="301"/>
      <c r="AP64" s="301"/>
      <c r="AQ64" s="301"/>
      <c r="AR64" s="301"/>
      <c r="AS64" s="301"/>
      <c r="AT64" s="301"/>
      <c r="AU64" s="301"/>
      <c r="AV64" s="301"/>
      <c r="AW64" s="301"/>
      <c r="AX64" s="301"/>
      <c r="AY64" s="301"/>
    </row>
    <row r="65" spans="3:51"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150"/>
      <c r="AA65" s="150"/>
      <c r="AB65" s="301"/>
      <c r="AC65" s="301"/>
      <c r="AD65" s="301"/>
      <c r="AE65" s="301"/>
      <c r="AF65" s="301"/>
      <c r="AG65" s="301"/>
      <c r="AH65" s="301"/>
      <c r="AI65" s="301"/>
      <c r="AJ65" s="301"/>
      <c r="AK65" s="301"/>
      <c r="AL65" s="301"/>
      <c r="AM65" s="301"/>
      <c r="AN65" s="301"/>
      <c r="AO65" s="301"/>
      <c r="AP65" s="301"/>
      <c r="AQ65" s="301"/>
      <c r="AR65" s="301"/>
      <c r="AS65" s="301"/>
      <c r="AT65" s="301"/>
      <c r="AU65" s="301"/>
      <c r="AV65" s="301"/>
      <c r="AW65" s="301"/>
      <c r="AX65" s="301"/>
      <c r="AY65" s="301"/>
    </row>
    <row r="66" spans="3:51"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M66" s="301"/>
      <c r="N66" s="301"/>
      <c r="O66" s="301"/>
      <c r="P66" s="301"/>
      <c r="Q66" s="301"/>
      <c r="R66" s="301"/>
      <c r="S66" s="301"/>
      <c r="T66" s="301"/>
      <c r="U66" s="301"/>
      <c r="V66" s="301"/>
      <c r="W66" s="301"/>
      <c r="X66" s="301"/>
      <c r="Y66" s="301"/>
      <c r="Z66" s="150"/>
      <c r="AA66" s="150"/>
      <c r="AB66" s="301"/>
      <c r="AC66" s="301"/>
      <c r="AD66" s="301"/>
      <c r="AE66" s="301"/>
      <c r="AF66" s="301"/>
      <c r="AG66" s="301"/>
      <c r="AH66" s="301"/>
      <c r="AI66" s="301"/>
      <c r="AJ66" s="301"/>
      <c r="AK66" s="301"/>
      <c r="AL66" s="301"/>
      <c r="AM66" s="301"/>
      <c r="AN66" s="301"/>
      <c r="AO66" s="301"/>
      <c r="AP66" s="301"/>
      <c r="AQ66" s="301"/>
      <c r="AR66" s="301"/>
      <c r="AS66" s="301"/>
      <c r="AT66" s="301"/>
      <c r="AU66" s="301"/>
      <c r="AV66" s="301"/>
      <c r="AW66" s="301"/>
      <c r="AX66" s="301"/>
      <c r="AY66" s="301"/>
    </row>
    <row r="67" spans="3:51">
      <c r="C67" s="301"/>
      <c r="D67" s="301"/>
      <c r="E67" s="301"/>
      <c r="F67" s="301"/>
      <c r="G67" s="301"/>
      <c r="H67" s="301"/>
      <c r="I67" s="301"/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  <c r="X67" s="301"/>
      <c r="Y67" s="301"/>
      <c r="Z67" s="150"/>
      <c r="AA67" s="150"/>
      <c r="AB67" s="301"/>
      <c r="AC67" s="301"/>
      <c r="AD67" s="301"/>
      <c r="AE67" s="301"/>
      <c r="AF67" s="301"/>
      <c r="AG67" s="301"/>
      <c r="AH67" s="301"/>
      <c r="AI67" s="301"/>
      <c r="AJ67" s="301"/>
      <c r="AK67" s="301"/>
      <c r="AL67" s="301"/>
      <c r="AM67" s="301"/>
      <c r="AN67" s="301"/>
      <c r="AO67" s="301"/>
      <c r="AP67" s="301"/>
      <c r="AQ67" s="301"/>
      <c r="AR67" s="301"/>
      <c r="AS67" s="301"/>
      <c r="AT67" s="301"/>
      <c r="AU67" s="301"/>
      <c r="AV67" s="301"/>
      <c r="AW67" s="301"/>
      <c r="AX67" s="301"/>
      <c r="AY67" s="301"/>
    </row>
    <row r="68" spans="3:51">
      <c r="C68" s="301"/>
      <c r="D68" s="301"/>
      <c r="E68" s="301"/>
      <c r="F68" s="301"/>
      <c r="G68" s="301"/>
      <c r="H68" s="301"/>
      <c r="I68" s="301"/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  <c r="X68" s="301"/>
      <c r="Y68" s="301"/>
      <c r="Z68" s="150"/>
      <c r="AA68" s="150"/>
      <c r="AB68" s="301"/>
      <c r="AC68" s="301"/>
      <c r="AD68" s="301"/>
      <c r="AE68" s="301"/>
      <c r="AF68" s="301"/>
      <c r="AG68" s="301"/>
      <c r="AH68" s="301"/>
      <c r="AI68" s="301"/>
      <c r="AJ68" s="301"/>
      <c r="AK68" s="301"/>
      <c r="AL68" s="301"/>
      <c r="AM68" s="301"/>
      <c r="AN68" s="301"/>
      <c r="AO68" s="301"/>
      <c r="AP68" s="301"/>
      <c r="AQ68" s="301"/>
      <c r="AR68" s="301"/>
      <c r="AS68" s="301"/>
      <c r="AT68" s="301"/>
      <c r="AU68" s="301"/>
      <c r="AV68" s="301"/>
      <c r="AW68" s="301"/>
      <c r="AX68" s="301"/>
      <c r="AY68" s="301"/>
    </row>
    <row r="69" spans="3:51">
      <c r="C69" s="301"/>
      <c r="D69" s="301"/>
      <c r="E69" s="301"/>
      <c r="F69" s="301"/>
      <c r="G69" s="301"/>
      <c r="H69" s="301"/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150"/>
      <c r="AA69" s="150"/>
      <c r="AB69" s="301"/>
      <c r="AC69" s="301"/>
      <c r="AD69" s="301"/>
      <c r="AE69" s="301"/>
      <c r="AF69" s="301"/>
      <c r="AG69" s="301"/>
      <c r="AH69" s="301"/>
      <c r="AI69" s="301"/>
      <c r="AJ69" s="301"/>
      <c r="AK69" s="301"/>
      <c r="AL69" s="301"/>
      <c r="AM69" s="301"/>
      <c r="AN69" s="301"/>
      <c r="AO69" s="301"/>
      <c r="AP69" s="301"/>
      <c r="AQ69" s="301"/>
      <c r="AR69" s="301"/>
      <c r="AS69" s="301"/>
      <c r="AT69" s="301"/>
      <c r="AU69" s="301"/>
      <c r="AV69" s="301"/>
      <c r="AW69" s="301"/>
      <c r="AX69" s="301"/>
      <c r="AY69" s="301"/>
    </row>
    <row r="70" spans="3:51"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1"/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150"/>
      <c r="AA70" s="150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  <c r="AR70" s="301"/>
      <c r="AS70" s="301"/>
      <c r="AT70" s="301"/>
      <c r="AU70" s="301"/>
      <c r="AV70" s="301"/>
      <c r="AW70" s="301"/>
      <c r="AX70" s="301"/>
      <c r="AY70" s="301"/>
    </row>
    <row r="71" spans="3:51">
      <c r="C71" s="301"/>
      <c r="D71" s="301"/>
      <c r="E71" s="301"/>
      <c r="F71" s="301"/>
      <c r="G71" s="301"/>
      <c r="H71" s="301"/>
      <c r="I71" s="301"/>
      <c r="J71" s="301"/>
      <c r="K71" s="301"/>
      <c r="L71" s="301"/>
      <c r="M71" s="301"/>
      <c r="N71" s="301"/>
      <c r="O71" s="301"/>
      <c r="P71" s="301"/>
      <c r="Q71" s="301"/>
      <c r="R71" s="301"/>
      <c r="S71" s="301"/>
      <c r="T71" s="301"/>
      <c r="U71" s="301"/>
      <c r="V71" s="301"/>
      <c r="W71" s="301"/>
      <c r="X71" s="301"/>
      <c r="Y71" s="301"/>
      <c r="Z71" s="150"/>
      <c r="AA71" s="150"/>
      <c r="AB71" s="301"/>
      <c r="AC71" s="301"/>
      <c r="AD71" s="301"/>
      <c r="AE71" s="301"/>
      <c r="AF71" s="301"/>
      <c r="AG71" s="301"/>
      <c r="AH71" s="301"/>
      <c r="AI71" s="301"/>
      <c r="AJ71" s="301"/>
      <c r="AK71" s="301"/>
      <c r="AL71" s="301"/>
      <c r="AM71" s="301"/>
      <c r="AN71" s="301"/>
      <c r="AO71" s="301"/>
      <c r="AP71" s="301"/>
      <c r="AQ71" s="301"/>
      <c r="AR71" s="301"/>
      <c r="AS71" s="301"/>
      <c r="AT71" s="301"/>
      <c r="AU71" s="301"/>
      <c r="AV71" s="301"/>
      <c r="AW71" s="301"/>
      <c r="AX71" s="301"/>
      <c r="AY71" s="301"/>
    </row>
    <row r="72" spans="3:51">
      <c r="C72" s="301"/>
      <c r="D72" s="301"/>
      <c r="E72" s="301"/>
      <c r="F72" s="301"/>
      <c r="G72" s="301"/>
      <c r="H72" s="301"/>
      <c r="I72" s="301"/>
      <c r="J72" s="301"/>
      <c r="K72" s="301"/>
      <c r="L72" s="301"/>
      <c r="M72" s="301"/>
      <c r="N72" s="301"/>
      <c r="O72" s="301"/>
      <c r="P72" s="301"/>
      <c r="Q72" s="301"/>
      <c r="R72" s="301"/>
      <c r="S72" s="301"/>
      <c r="T72" s="301"/>
      <c r="U72" s="301"/>
      <c r="V72" s="301"/>
      <c r="W72" s="301"/>
      <c r="X72" s="301"/>
      <c r="Y72" s="301"/>
      <c r="Z72" s="150"/>
      <c r="AA72" s="150"/>
      <c r="AB72" s="301"/>
      <c r="AC72" s="301"/>
      <c r="AD72" s="301"/>
      <c r="AE72" s="301"/>
      <c r="AF72" s="301"/>
      <c r="AG72" s="301"/>
      <c r="AH72" s="301"/>
      <c r="AI72" s="301"/>
      <c r="AJ72" s="301"/>
      <c r="AK72" s="301"/>
      <c r="AL72" s="301"/>
      <c r="AM72" s="301"/>
      <c r="AN72" s="301"/>
      <c r="AO72" s="301"/>
      <c r="AP72" s="301"/>
      <c r="AQ72" s="301"/>
      <c r="AR72" s="301"/>
      <c r="AS72" s="301"/>
      <c r="AT72" s="301"/>
      <c r="AU72" s="301"/>
      <c r="AV72" s="301"/>
      <c r="AW72" s="301"/>
      <c r="AX72" s="301"/>
      <c r="AY72" s="301"/>
    </row>
    <row r="73" spans="3:51">
      <c r="C73" s="301"/>
      <c r="D73" s="301"/>
      <c r="E73" s="301"/>
      <c r="F73" s="301"/>
      <c r="G73" s="301"/>
      <c r="H73" s="301"/>
      <c r="I73" s="301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150"/>
      <c r="AA73" s="150"/>
      <c r="AB73" s="301"/>
      <c r="AC73" s="301"/>
      <c r="AD73" s="301"/>
      <c r="AE73" s="301"/>
      <c r="AF73" s="301"/>
      <c r="AG73" s="301"/>
      <c r="AH73" s="301"/>
      <c r="AI73" s="301"/>
      <c r="AJ73" s="301"/>
      <c r="AK73" s="301"/>
      <c r="AL73" s="301"/>
      <c r="AM73" s="301"/>
      <c r="AN73" s="301"/>
      <c r="AO73" s="301"/>
      <c r="AP73" s="301"/>
      <c r="AQ73" s="301"/>
      <c r="AR73" s="301"/>
      <c r="AS73" s="301"/>
      <c r="AT73" s="301"/>
      <c r="AU73" s="301"/>
      <c r="AV73" s="301"/>
      <c r="AW73" s="301"/>
      <c r="AX73" s="301"/>
      <c r="AY73" s="301"/>
    </row>
    <row r="74" spans="3:51">
      <c r="C74" s="301"/>
      <c r="D74" s="301"/>
      <c r="E74" s="301"/>
      <c r="F74" s="301"/>
      <c r="G74" s="301"/>
      <c r="H74" s="301"/>
      <c r="I74" s="301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150"/>
      <c r="AA74" s="150"/>
      <c r="AB74" s="301"/>
      <c r="AC74" s="301"/>
      <c r="AD74" s="301"/>
      <c r="AE74" s="301"/>
      <c r="AF74" s="301"/>
      <c r="AG74" s="301"/>
      <c r="AH74" s="301"/>
      <c r="AI74" s="301"/>
      <c r="AJ74" s="301"/>
      <c r="AK74" s="301"/>
      <c r="AL74" s="301"/>
      <c r="AM74" s="301"/>
      <c r="AN74" s="301"/>
      <c r="AO74" s="301"/>
      <c r="AP74" s="301"/>
      <c r="AQ74" s="301"/>
      <c r="AR74" s="301"/>
      <c r="AS74" s="301"/>
      <c r="AT74" s="301"/>
      <c r="AU74" s="301"/>
      <c r="AV74" s="301"/>
      <c r="AW74" s="301"/>
      <c r="AX74" s="301"/>
      <c r="AY74" s="301"/>
    </row>
    <row r="75" spans="3:51"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  <c r="N75" s="301"/>
      <c r="O75" s="301"/>
      <c r="P75" s="301"/>
      <c r="Q75" s="301"/>
      <c r="R75" s="301"/>
      <c r="S75" s="301"/>
      <c r="T75" s="301"/>
      <c r="U75" s="301"/>
      <c r="V75" s="301"/>
      <c r="W75" s="301"/>
      <c r="X75" s="301"/>
      <c r="Y75" s="301"/>
      <c r="Z75" s="150"/>
      <c r="AA75" s="150"/>
      <c r="AB75" s="301"/>
      <c r="AC75" s="301"/>
      <c r="AD75" s="301"/>
      <c r="AE75" s="301"/>
      <c r="AF75" s="301"/>
      <c r="AG75" s="301"/>
      <c r="AH75" s="301"/>
      <c r="AI75" s="301"/>
      <c r="AJ75" s="301"/>
      <c r="AK75" s="301"/>
      <c r="AL75" s="301"/>
      <c r="AM75" s="301"/>
      <c r="AN75" s="301"/>
      <c r="AO75" s="301"/>
      <c r="AP75" s="301"/>
      <c r="AQ75" s="301"/>
      <c r="AR75" s="301"/>
      <c r="AS75" s="301"/>
      <c r="AT75" s="301"/>
      <c r="AU75" s="301"/>
      <c r="AV75" s="301"/>
      <c r="AW75" s="301"/>
      <c r="AX75" s="301"/>
      <c r="AY75" s="301"/>
    </row>
    <row r="76" spans="3:51"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150"/>
      <c r="AA76" s="150"/>
      <c r="AB76" s="301"/>
      <c r="AC76" s="301"/>
      <c r="AD76" s="301"/>
      <c r="AE76" s="301"/>
      <c r="AF76" s="301"/>
      <c r="AG76" s="301"/>
      <c r="AH76" s="301"/>
      <c r="AI76" s="301"/>
      <c r="AJ76" s="301"/>
      <c r="AK76" s="301"/>
      <c r="AL76" s="301"/>
      <c r="AM76" s="301"/>
      <c r="AN76" s="301"/>
      <c r="AO76" s="301"/>
      <c r="AP76" s="301"/>
      <c r="AQ76" s="301"/>
      <c r="AR76" s="301"/>
      <c r="AS76" s="301"/>
      <c r="AT76" s="301"/>
      <c r="AU76" s="301"/>
      <c r="AV76" s="301"/>
      <c r="AW76" s="301"/>
      <c r="AX76" s="301"/>
      <c r="AY76" s="301"/>
    </row>
    <row r="77" spans="3:51"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  <c r="N77" s="301"/>
      <c r="O77" s="301"/>
      <c r="P77" s="301"/>
      <c r="Q77" s="301"/>
      <c r="R77" s="301"/>
      <c r="S77" s="301"/>
      <c r="T77" s="301"/>
      <c r="U77" s="301"/>
      <c r="V77" s="301"/>
      <c r="W77" s="301"/>
      <c r="X77" s="301"/>
      <c r="Y77" s="301"/>
      <c r="Z77" s="150"/>
      <c r="AA77" s="150"/>
      <c r="AB77" s="301"/>
      <c r="AC77" s="301"/>
      <c r="AD77" s="301"/>
      <c r="AE77" s="301"/>
      <c r="AF77" s="301"/>
      <c r="AG77" s="301"/>
      <c r="AH77" s="301"/>
      <c r="AI77" s="301"/>
      <c r="AJ77" s="301"/>
      <c r="AK77" s="301"/>
      <c r="AL77" s="301"/>
      <c r="AM77" s="301"/>
      <c r="AN77" s="301"/>
      <c r="AO77" s="301"/>
      <c r="AP77" s="301"/>
      <c r="AQ77" s="301"/>
      <c r="AR77" s="301"/>
      <c r="AS77" s="301"/>
      <c r="AT77" s="301"/>
      <c r="AU77" s="301"/>
      <c r="AV77" s="301"/>
      <c r="AW77" s="301"/>
      <c r="AX77" s="301"/>
      <c r="AY77" s="301"/>
    </row>
    <row r="78" spans="3:51"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150"/>
      <c r="AA78" s="150"/>
      <c r="AB78" s="301"/>
      <c r="AC78" s="301"/>
      <c r="AD78" s="301"/>
      <c r="AE78" s="301"/>
      <c r="AF78" s="301"/>
      <c r="AG78" s="301"/>
      <c r="AH78" s="301"/>
      <c r="AI78" s="301"/>
      <c r="AJ78" s="301"/>
      <c r="AK78" s="301"/>
      <c r="AL78" s="301"/>
      <c r="AM78" s="301"/>
      <c r="AN78" s="301"/>
      <c r="AO78" s="301"/>
      <c r="AP78" s="301"/>
      <c r="AQ78" s="301"/>
      <c r="AR78" s="301"/>
      <c r="AS78" s="301"/>
      <c r="AT78" s="301"/>
      <c r="AU78" s="301"/>
      <c r="AV78" s="301"/>
      <c r="AW78" s="301"/>
      <c r="AX78" s="301"/>
      <c r="AY78" s="301"/>
    </row>
    <row r="79" spans="3:51"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150"/>
      <c r="AA79" s="150"/>
      <c r="AB79" s="301"/>
      <c r="AC79" s="301"/>
      <c r="AD79" s="301"/>
      <c r="AE79" s="301"/>
      <c r="AF79" s="301"/>
      <c r="AG79" s="301"/>
      <c r="AH79" s="301"/>
      <c r="AI79" s="301"/>
      <c r="AJ79" s="301"/>
      <c r="AK79" s="301"/>
      <c r="AL79" s="301"/>
      <c r="AM79" s="301"/>
      <c r="AN79" s="301"/>
      <c r="AO79" s="301"/>
      <c r="AP79" s="301"/>
      <c r="AQ79" s="301"/>
      <c r="AR79" s="301"/>
      <c r="AS79" s="301"/>
      <c r="AT79" s="301"/>
      <c r="AU79" s="301"/>
      <c r="AV79" s="301"/>
      <c r="AW79" s="301"/>
      <c r="AX79" s="301"/>
      <c r="AY79" s="301"/>
    </row>
    <row r="80" spans="3:51">
      <c r="C80" s="301"/>
      <c r="D80" s="301"/>
      <c r="E80" s="301"/>
      <c r="F80" s="301"/>
      <c r="G80" s="301"/>
      <c r="H80" s="301"/>
      <c r="I80" s="301"/>
      <c r="J80" s="301"/>
      <c r="K80" s="301"/>
      <c r="L80" s="301"/>
      <c r="M80" s="301"/>
      <c r="N80" s="301"/>
      <c r="O80" s="301"/>
      <c r="P80" s="301"/>
      <c r="Q80" s="301"/>
      <c r="R80" s="301"/>
      <c r="S80" s="301"/>
      <c r="T80" s="301"/>
      <c r="U80" s="301"/>
      <c r="V80" s="301"/>
      <c r="W80" s="301"/>
      <c r="X80" s="301"/>
      <c r="Y80" s="301"/>
      <c r="Z80" s="150"/>
      <c r="AA80" s="150"/>
      <c r="AB80" s="301"/>
      <c r="AC80" s="301"/>
      <c r="AD80" s="301"/>
      <c r="AE80" s="301"/>
      <c r="AF80" s="301"/>
      <c r="AG80" s="301"/>
      <c r="AH80" s="301"/>
      <c r="AI80" s="301"/>
      <c r="AJ80" s="301"/>
      <c r="AK80" s="301"/>
      <c r="AL80" s="301"/>
      <c r="AM80" s="301"/>
      <c r="AN80" s="301"/>
      <c r="AO80" s="301"/>
      <c r="AP80" s="301"/>
      <c r="AQ80" s="301"/>
      <c r="AR80" s="301"/>
      <c r="AS80" s="301"/>
      <c r="AT80" s="301"/>
      <c r="AU80" s="301"/>
      <c r="AV80" s="301"/>
      <c r="AW80" s="301"/>
      <c r="AX80" s="301"/>
      <c r="AY80" s="301"/>
    </row>
    <row r="81" spans="3:51"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301"/>
      <c r="Y81" s="301"/>
      <c r="Z81" s="150"/>
      <c r="AA81" s="150"/>
      <c r="AB81" s="301"/>
      <c r="AC81" s="301"/>
      <c r="AD81" s="301"/>
      <c r="AE81" s="301"/>
      <c r="AF81" s="301"/>
      <c r="AG81" s="301"/>
      <c r="AH81" s="301"/>
      <c r="AI81" s="301"/>
      <c r="AJ81" s="301"/>
      <c r="AK81" s="301"/>
      <c r="AL81" s="301"/>
      <c r="AM81" s="301"/>
      <c r="AN81" s="301"/>
      <c r="AO81" s="301"/>
      <c r="AP81" s="301"/>
      <c r="AQ81" s="301"/>
      <c r="AR81" s="301"/>
      <c r="AS81" s="301"/>
      <c r="AT81" s="301"/>
      <c r="AU81" s="301"/>
      <c r="AV81" s="301"/>
      <c r="AW81" s="301"/>
      <c r="AX81" s="301"/>
      <c r="AY81" s="301"/>
    </row>
    <row r="82" spans="3:51"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01"/>
      <c r="X82" s="301"/>
      <c r="Y82" s="301"/>
      <c r="Z82" s="150"/>
      <c r="AA82" s="150"/>
      <c r="AB82" s="301"/>
      <c r="AC82" s="301"/>
      <c r="AD82" s="301"/>
      <c r="AE82" s="301"/>
      <c r="AF82" s="301"/>
      <c r="AG82" s="301"/>
      <c r="AH82" s="301"/>
      <c r="AI82" s="301"/>
      <c r="AJ82" s="301"/>
      <c r="AK82" s="301"/>
      <c r="AL82" s="301"/>
      <c r="AM82" s="301"/>
      <c r="AN82" s="301"/>
      <c r="AO82" s="301"/>
      <c r="AP82" s="301"/>
      <c r="AQ82" s="301"/>
      <c r="AR82" s="301"/>
      <c r="AS82" s="301"/>
      <c r="AT82" s="301"/>
      <c r="AU82" s="301"/>
      <c r="AV82" s="301"/>
      <c r="AW82" s="301"/>
      <c r="AX82" s="301"/>
      <c r="AY82" s="301"/>
    </row>
    <row r="83" spans="3:51"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01"/>
      <c r="X83" s="301"/>
      <c r="Y83" s="301"/>
      <c r="Z83" s="150"/>
      <c r="AA83" s="150"/>
      <c r="AB83" s="301"/>
      <c r="AC83" s="301"/>
      <c r="AD83" s="301"/>
      <c r="AE83" s="301"/>
      <c r="AF83" s="301"/>
      <c r="AG83" s="301"/>
      <c r="AH83" s="301"/>
      <c r="AI83" s="301"/>
      <c r="AJ83" s="301"/>
      <c r="AK83" s="301"/>
      <c r="AL83" s="301"/>
      <c r="AM83" s="301"/>
      <c r="AN83" s="301"/>
      <c r="AO83" s="301"/>
      <c r="AP83" s="301"/>
      <c r="AQ83" s="301"/>
      <c r="AR83" s="301"/>
      <c r="AS83" s="301"/>
      <c r="AT83" s="301"/>
      <c r="AU83" s="301"/>
      <c r="AV83" s="301"/>
      <c r="AW83" s="301"/>
      <c r="AX83" s="301"/>
      <c r="AY83" s="301"/>
    </row>
    <row r="84" spans="3:51"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  <c r="X84" s="301"/>
      <c r="Y84" s="301"/>
      <c r="Z84" s="150"/>
      <c r="AA84" s="150"/>
      <c r="AB84" s="301"/>
      <c r="AC84" s="301"/>
      <c r="AD84" s="301"/>
      <c r="AE84" s="301"/>
      <c r="AF84" s="301"/>
      <c r="AG84" s="301"/>
      <c r="AH84" s="301"/>
      <c r="AI84" s="301"/>
      <c r="AJ84" s="301"/>
      <c r="AK84" s="301"/>
      <c r="AL84" s="301"/>
      <c r="AM84" s="301"/>
      <c r="AN84" s="301"/>
      <c r="AO84" s="301"/>
      <c r="AP84" s="301"/>
      <c r="AQ84" s="301"/>
      <c r="AR84" s="301"/>
      <c r="AS84" s="301"/>
      <c r="AT84" s="301"/>
      <c r="AU84" s="301"/>
      <c r="AV84" s="301"/>
      <c r="AW84" s="301"/>
      <c r="AX84" s="301"/>
      <c r="AY84" s="301"/>
    </row>
    <row r="85" spans="3:51">
      <c r="C85" s="301"/>
      <c r="D85" s="301"/>
      <c r="E85" s="301"/>
      <c r="F85" s="301"/>
      <c r="G85" s="301"/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  <c r="T85" s="301"/>
      <c r="U85" s="301"/>
      <c r="V85" s="301"/>
      <c r="W85" s="301"/>
      <c r="X85" s="301"/>
      <c r="Y85" s="301"/>
      <c r="Z85" s="150"/>
      <c r="AA85" s="150"/>
      <c r="AB85" s="301"/>
      <c r="AC85" s="301"/>
      <c r="AD85" s="301"/>
      <c r="AE85" s="301"/>
      <c r="AF85" s="301"/>
      <c r="AG85" s="301"/>
      <c r="AH85" s="301"/>
      <c r="AI85" s="301"/>
      <c r="AJ85" s="301"/>
      <c r="AK85" s="301"/>
      <c r="AL85" s="301"/>
      <c r="AM85" s="301"/>
      <c r="AN85" s="301"/>
      <c r="AO85" s="301"/>
      <c r="AP85" s="301"/>
      <c r="AQ85" s="301"/>
      <c r="AR85" s="301"/>
      <c r="AS85" s="301"/>
      <c r="AT85" s="301"/>
      <c r="AU85" s="301"/>
      <c r="AV85" s="301"/>
      <c r="AW85" s="301"/>
      <c r="AX85" s="301"/>
      <c r="AY85" s="301"/>
    </row>
    <row r="86" spans="3:51">
      <c r="C86" s="301"/>
      <c r="D86" s="301"/>
      <c r="E86" s="301"/>
      <c r="F86" s="301"/>
      <c r="G86" s="301"/>
      <c r="H86" s="301"/>
      <c r="I86" s="301"/>
      <c r="J86" s="301"/>
      <c r="K86" s="301"/>
      <c r="L86" s="301"/>
      <c r="M86" s="301"/>
      <c r="N86" s="301"/>
      <c r="O86" s="301"/>
      <c r="P86" s="301"/>
      <c r="Q86" s="301"/>
      <c r="R86" s="301"/>
      <c r="S86" s="301"/>
      <c r="T86" s="301"/>
      <c r="U86" s="301"/>
      <c r="V86" s="301"/>
      <c r="W86" s="301"/>
      <c r="X86" s="301"/>
      <c r="Y86" s="301"/>
      <c r="Z86" s="150"/>
      <c r="AA86" s="150"/>
      <c r="AB86" s="301"/>
      <c r="AC86" s="301"/>
      <c r="AD86" s="301"/>
      <c r="AE86" s="301"/>
      <c r="AF86" s="301"/>
      <c r="AG86" s="301"/>
      <c r="AH86" s="301"/>
      <c r="AI86" s="301"/>
      <c r="AJ86" s="301"/>
      <c r="AK86" s="301"/>
      <c r="AL86" s="301"/>
      <c r="AM86" s="301"/>
      <c r="AN86" s="301"/>
      <c r="AO86" s="301"/>
      <c r="AP86" s="301"/>
      <c r="AQ86" s="301"/>
      <c r="AR86" s="301"/>
      <c r="AS86" s="301"/>
      <c r="AT86" s="301"/>
      <c r="AU86" s="301"/>
      <c r="AV86" s="301"/>
      <c r="AW86" s="301"/>
      <c r="AX86" s="301"/>
      <c r="AY86" s="301"/>
    </row>
    <row r="87" spans="3:51"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  <c r="N87" s="301"/>
      <c r="O87" s="301"/>
      <c r="P87" s="301"/>
      <c r="Q87" s="301"/>
      <c r="R87" s="301"/>
      <c r="S87" s="301"/>
      <c r="T87" s="301"/>
      <c r="U87" s="301"/>
      <c r="V87" s="301"/>
      <c r="W87" s="301"/>
      <c r="X87" s="301"/>
      <c r="Y87" s="301"/>
      <c r="Z87" s="150"/>
      <c r="AA87" s="150"/>
      <c r="AB87" s="301"/>
      <c r="AC87" s="301"/>
      <c r="AD87" s="301"/>
      <c r="AE87" s="301"/>
      <c r="AF87" s="301"/>
      <c r="AG87" s="301"/>
      <c r="AH87" s="301"/>
      <c r="AI87" s="301"/>
      <c r="AJ87" s="301"/>
      <c r="AK87" s="301"/>
      <c r="AL87" s="301"/>
      <c r="AM87" s="301"/>
      <c r="AN87" s="301"/>
      <c r="AO87" s="301"/>
      <c r="AP87" s="301"/>
      <c r="AQ87" s="301"/>
      <c r="AR87" s="301"/>
      <c r="AS87" s="301"/>
      <c r="AT87" s="301"/>
      <c r="AU87" s="301"/>
      <c r="AV87" s="301"/>
      <c r="AW87" s="301"/>
      <c r="AX87" s="301"/>
      <c r="AY87" s="301"/>
    </row>
    <row r="88" spans="3:51"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1"/>
      <c r="P88" s="301"/>
      <c r="Q88" s="301"/>
      <c r="R88" s="301"/>
      <c r="S88" s="301"/>
      <c r="T88" s="301"/>
      <c r="U88" s="301"/>
      <c r="V88" s="301"/>
      <c r="W88" s="301"/>
      <c r="X88" s="301"/>
      <c r="Y88" s="301"/>
      <c r="Z88" s="150"/>
      <c r="AA88" s="150"/>
      <c r="AB88" s="301"/>
      <c r="AC88" s="301"/>
      <c r="AD88" s="301"/>
      <c r="AE88" s="301"/>
      <c r="AF88" s="301"/>
      <c r="AG88" s="301"/>
      <c r="AH88" s="301"/>
      <c r="AI88" s="301"/>
      <c r="AJ88" s="301"/>
      <c r="AK88" s="301"/>
      <c r="AL88" s="301"/>
      <c r="AM88" s="301"/>
      <c r="AN88" s="301"/>
      <c r="AO88" s="301"/>
      <c r="AP88" s="301"/>
      <c r="AQ88" s="301"/>
      <c r="AR88" s="301"/>
      <c r="AS88" s="301"/>
      <c r="AT88" s="301"/>
      <c r="AU88" s="301"/>
      <c r="AV88" s="301"/>
      <c r="AW88" s="301"/>
      <c r="AX88" s="301"/>
      <c r="AY88" s="301"/>
    </row>
    <row r="89" spans="3:51"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  <c r="T89" s="301"/>
      <c r="U89" s="301"/>
      <c r="V89" s="301"/>
      <c r="W89" s="301"/>
      <c r="X89" s="301"/>
      <c r="Y89" s="301"/>
      <c r="Z89" s="150"/>
      <c r="AA89" s="150"/>
      <c r="AB89" s="301"/>
      <c r="AC89" s="301"/>
      <c r="AD89" s="301"/>
      <c r="AE89" s="301"/>
      <c r="AF89" s="301"/>
      <c r="AG89" s="301"/>
      <c r="AH89" s="301"/>
      <c r="AI89" s="301"/>
      <c r="AJ89" s="301"/>
      <c r="AK89" s="301"/>
      <c r="AL89" s="301"/>
      <c r="AM89" s="301"/>
      <c r="AN89" s="301"/>
      <c r="AO89" s="301"/>
      <c r="AP89" s="301"/>
      <c r="AQ89" s="301"/>
      <c r="AR89" s="301"/>
      <c r="AS89" s="301"/>
      <c r="AT89" s="301"/>
      <c r="AU89" s="301"/>
      <c r="AV89" s="301"/>
      <c r="AW89" s="301"/>
      <c r="AX89" s="301"/>
      <c r="AY89" s="301"/>
    </row>
    <row r="90" spans="3:51"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301"/>
      <c r="Y90" s="301"/>
      <c r="Z90" s="150"/>
      <c r="AA90" s="150"/>
      <c r="AB90" s="301"/>
      <c r="AC90" s="301"/>
      <c r="AD90" s="301"/>
      <c r="AE90" s="301"/>
      <c r="AF90" s="301"/>
      <c r="AG90" s="301"/>
      <c r="AH90" s="301"/>
      <c r="AI90" s="301"/>
      <c r="AJ90" s="301"/>
      <c r="AK90" s="301"/>
      <c r="AL90" s="301"/>
      <c r="AM90" s="301"/>
      <c r="AN90" s="301"/>
      <c r="AO90" s="301"/>
      <c r="AP90" s="301"/>
      <c r="AQ90" s="301"/>
      <c r="AR90" s="301"/>
      <c r="AS90" s="301"/>
      <c r="AT90" s="301"/>
      <c r="AU90" s="301"/>
      <c r="AV90" s="301"/>
      <c r="AW90" s="301"/>
      <c r="AX90" s="301"/>
      <c r="AY90" s="301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O12" zoomScale="75" zoomScaleNormal="75" workbookViewId="0">
      <selection activeCell="W51" sqref="W51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Homestead, Florida</v>
      </c>
      <c r="Y2" s="6"/>
      <c r="Z2" s="6"/>
    </row>
    <row r="3" spans="1:35">
      <c r="Y3" s="6"/>
      <c r="Z3" s="6"/>
    </row>
    <row r="4" spans="1:35" ht="18.75">
      <c r="A4" s="60" t="s">
        <v>371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5" thickBot="1">
      <c r="A7" s="122" t="s">
        <v>38</v>
      </c>
      <c r="B7" s="7" t="s">
        <v>244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12560.314724126514</v>
      </c>
      <c r="D11" s="18">
        <f>IS!D32</f>
        <v>20447.775154324685</v>
      </c>
      <c r="E11" s="18">
        <f>IS!E32</f>
        <v>20406.011805124683</v>
      </c>
      <c r="F11" s="18">
        <f>IS!F32</f>
        <v>20363.413188940685</v>
      </c>
      <c r="G11" s="18">
        <f>IS!G32</f>
        <v>20319.962600433002</v>
      </c>
      <c r="H11" s="18">
        <f>IS!H32</f>
        <v>20275.643000155171</v>
      </c>
      <c r="I11" s="18">
        <f>IS!I32</f>
        <v>20230.43700787178</v>
      </c>
      <c r="J11" s="18">
        <f>IS!J32</f>
        <v>20184.326895742721</v>
      </c>
      <c r="K11" s="18">
        <f>IS!K32</f>
        <v>20137.294581371083</v>
      </c>
      <c r="L11" s="18">
        <f>IS!L32</f>
        <v>20089.321620712009</v>
      </c>
      <c r="M11" s="18">
        <f>IS!M32</f>
        <v>20040.389200839756</v>
      </c>
      <c r="N11" s="18">
        <f>IS!N32</f>
        <v>19990.478132570057</v>
      </c>
      <c r="O11" s="18">
        <f>IS!O32</f>
        <v>19939.568842934965</v>
      </c>
      <c r="P11" s="18">
        <f>IS!P32</f>
        <v>19887.641367507171</v>
      </c>
      <c r="Q11" s="18">
        <f>IS!Q32</f>
        <v>19834.675342570823</v>
      </c>
      <c r="R11" s="18">
        <f>IS!R32</f>
        <v>19780.649997135744</v>
      </c>
      <c r="S11" s="18">
        <f>IS!S32</f>
        <v>19725.544144791966</v>
      </c>
      <c r="T11" s="18">
        <f>IS!T32</f>
        <v>19669.336175401309</v>
      </c>
      <c r="U11" s="18">
        <f>IS!U32</f>
        <v>19612.004046622846</v>
      </c>
      <c r="V11" s="18">
        <f>IS!V32</f>
        <v>19553.525275268807</v>
      </c>
      <c r="W11" s="18">
        <f>IS!W32</f>
        <v>19493.876928487691</v>
      </c>
      <c r="X11" s="18">
        <f>IS!X32</f>
        <v>19433.035614770946</v>
      </c>
      <c r="Y11" s="18">
        <f>IS!Y32</f>
        <v>19370.977474779873</v>
      </c>
      <c r="Z11" s="18">
        <f>IS!Z32</f>
        <v>19307.678171988977</v>
      </c>
      <c r="AA11" s="18">
        <f>IS!AA32</f>
        <v>19243.112883142261</v>
      </c>
      <c r="AB11" s="18">
        <f>IS!AB32</f>
        <v>19177.256288518613</v>
      </c>
      <c r="AC11" s="18">
        <f>IS!AC32</f>
        <v>19110.082562002495</v>
      </c>
      <c r="AD11" s="18">
        <f>IS!AD32</f>
        <v>19041.56536095605</v>
      </c>
      <c r="AE11" s="18">
        <f>IS!AE32</f>
        <v>18971.677815888674</v>
      </c>
      <c r="AF11" s="18">
        <f>IS!AF32</f>
        <v>18900.392519919955</v>
      </c>
      <c r="AG11" s="18">
        <f>IS!AG32</f>
        <v>2197.1400980073531</v>
      </c>
    </row>
    <row r="12" spans="1:35">
      <c r="A12" s="45" t="s">
        <v>79</v>
      </c>
      <c r="B12" s="438">
        <v>0</v>
      </c>
      <c r="C12" s="438">
        <f>-IS!C38</f>
        <v>-6103.0468261554697</v>
      </c>
      <c r="D12" s="438">
        <f>-IS!D38</f>
        <v>-10351.607159668423</v>
      </c>
      <c r="E12" s="438">
        <f>-IS!E38</f>
        <v>-10233.095213679891</v>
      </c>
      <c r="F12" s="438">
        <f>-IS!F38</f>
        <v>-10106.287431472161</v>
      </c>
      <c r="G12" s="438">
        <f>-IS!G38</f>
        <v>-9970.6031045098916</v>
      </c>
      <c r="H12" s="438">
        <f>-IS!H38</f>
        <v>-9825.4208746602617</v>
      </c>
      <c r="I12" s="438">
        <f>-IS!I38</f>
        <v>-9670.0758887211578</v>
      </c>
      <c r="J12" s="438">
        <f>-IS!J38</f>
        <v>-9503.8567537663184</v>
      </c>
      <c r="K12" s="438">
        <f>-IS!K38</f>
        <v>-9326.0022793646385</v>
      </c>
      <c r="L12" s="438">
        <f>-IS!L38</f>
        <v>-9135.6979917548415</v>
      </c>
      <c r="M12" s="438">
        <f>-IS!M38</f>
        <v>-8932.0724040123569</v>
      </c>
      <c r="N12" s="438">
        <f>-IS!N38</f>
        <v>-8714.1930251279009</v>
      </c>
      <c r="O12" s="438">
        <f>-IS!O38</f>
        <v>-8481.0620897215322</v>
      </c>
      <c r="P12" s="438">
        <f>-IS!P38</f>
        <v>-8231.6119888367175</v>
      </c>
      <c r="Q12" s="438">
        <f>-IS!Q38</f>
        <v>-7964.7003808899663</v>
      </c>
      <c r="R12" s="438">
        <f>-IS!R38</f>
        <v>-7679.1049603869424</v>
      </c>
      <c r="S12" s="438">
        <f>-IS!S38</f>
        <v>-7373.5178604487064</v>
      </c>
      <c r="T12" s="438">
        <f>-IS!T38</f>
        <v>-7046.5396635147936</v>
      </c>
      <c r="U12" s="438">
        <f>-IS!U38</f>
        <v>-6696.6729927955066</v>
      </c>
      <c r="V12" s="438">
        <f>-IS!V38</f>
        <v>-6322.3156551258708</v>
      </c>
      <c r="W12" s="438">
        <f>-IS!W38</f>
        <v>-5921.7533038193596</v>
      </c>
      <c r="X12" s="438">
        <f>-(Debt!V44+Debt!W27+Debt!W36)</f>
        <v>0</v>
      </c>
      <c r="Y12" s="438">
        <f>-(Debt!W44+Debt!X27+Debt!X36)</f>
        <v>0</v>
      </c>
      <c r="Z12" s="438">
        <f>-(Debt!X44+Debt!Y27+Debt!Y36)</f>
        <v>0</v>
      </c>
      <c r="AA12" s="438">
        <f>-(Debt!Y44+Debt!Z27+Debt!Z36)</f>
        <v>0</v>
      </c>
      <c r="AB12" s="438">
        <f>-(Debt!Z44+Debt!AA27+Debt!AA36)</f>
        <v>0</v>
      </c>
      <c r="AC12" s="438">
        <f>-(Debt!AA44+Debt!AB27+Debt!AB36)</f>
        <v>0</v>
      </c>
      <c r="AD12" s="438">
        <f>-(Debt!AB44+Debt!AC27+Debt!AC36)</f>
        <v>0</v>
      </c>
      <c r="AE12" s="438">
        <f>-(Debt!AC44+Debt!AD27+Debt!AD36)</f>
        <v>0</v>
      </c>
      <c r="AF12" s="438">
        <f>-(Debt!AD44+Debt!AE27+Debt!AE36)</f>
        <v>0</v>
      </c>
      <c r="AG12" s="438">
        <f>-(Debt!AE44+Debt!AF27+Debt!AF36)</f>
        <v>0</v>
      </c>
      <c r="AH12" s="13"/>
      <c r="AI12" s="13"/>
    </row>
    <row r="13" spans="1:35">
      <c r="A13" s="45" t="s">
        <v>343</v>
      </c>
      <c r="B13" s="64">
        <f>SUM(B11:B12)</f>
        <v>0</v>
      </c>
      <c r="C13" s="64">
        <f t="shared" ref="C13:AG13" si="0">SUM(C11:C12)</f>
        <v>6457.2678979710445</v>
      </c>
      <c r="D13" s="64">
        <f t="shared" si="0"/>
        <v>10096.167994656262</v>
      </c>
      <c r="E13" s="64">
        <f t="shared" si="0"/>
        <v>10172.916591444791</v>
      </c>
      <c r="F13" s="64">
        <f t="shared" si="0"/>
        <v>10257.125757468524</v>
      </c>
      <c r="G13" s="64">
        <f t="shared" si="0"/>
        <v>10349.35949592311</v>
      </c>
      <c r="H13" s="64">
        <f t="shared" si="0"/>
        <v>10450.222125494909</v>
      </c>
      <c r="I13" s="64">
        <f t="shared" si="0"/>
        <v>10560.361119150622</v>
      </c>
      <c r="J13" s="64">
        <f t="shared" si="0"/>
        <v>10680.470141976402</v>
      </c>
      <c r="K13" s="64">
        <f t="shared" si="0"/>
        <v>10811.292302006445</v>
      </c>
      <c r="L13" s="64">
        <f t="shared" si="0"/>
        <v>10953.623628957168</v>
      </c>
      <c r="M13" s="64">
        <f t="shared" si="0"/>
        <v>11108.316796827399</v>
      </c>
      <c r="N13" s="64">
        <f t="shared" si="0"/>
        <v>11276.285107442156</v>
      </c>
      <c r="O13" s="64">
        <f t="shared" si="0"/>
        <v>11458.506753213433</v>
      </c>
      <c r="P13" s="64">
        <f t="shared" si="0"/>
        <v>11656.029378670453</v>
      </c>
      <c r="Q13" s="64">
        <f t="shared" si="0"/>
        <v>11869.974961680857</v>
      </c>
      <c r="R13" s="64">
        <f t="shared" si="0"/>
        <v>12101.545036748801</v>
      </c>
      <c r="S13" s="64">
        <f t="shared" si="0"/>
        <v>12352.026284343259</v>
      </c>
      <c r="T13" s="64">
        <f t="shared" si="0"/>
        <v>12622.796511886516</v>
      </c>
      <c r="U13" s="64">
        <f t="shared" si="0"/>
        <v>12915.33105382734</v>
      </c>
      <c r="V13" s="64">
        <f t="shared" si="0"/>
        <v>13231.209620142936</v>
      </c>
      <c r="W13" s="64">
        <f t="shared" si="0"/>
        <v>13572.123624668331</v>
      </c>
      <c r="X13" s="64">
        <f t="shared" si="0"/>
        <v>19433.035614770946</v>
      </c>
      <c r="Y13" s="64">
        <f t="shared" si="0"/>
        <v>19370.977474779873</v>
      </c>
      <c r="Z13" s="64">
        <f t="shared" si="0"/>
        <v>19307.678171988977</v>
      </c>
      <c r="AA13" s="64">
        <f t="shared" si="0"/>
        <v>19243.112883142261</v>
      </c>
      <c r="AB13" s="64">
        <f t="shared" si="0"/>
        <v>19177.256288518613</v>
      </c>
      <c r="AC13" s="64">
        <f t="shared" si="0"/>
        <v>19110.082562002495</v>
      </c>
      <c r="AD13" s="64">
        <f t="shared" si="0"/>
        <v>19041.56536095605</v>
      </c>
      <c r="AE13" s="64">
        <f t="shared" si="0"/>
        <v>18971.677815888674</v>
      </c>
      <c r="AF13" s="64">
        <f t="shared" si="0"/>
        <v>18900.392519919955</v>
      </c>
      <c r="AG13" s="64">
        <f t="shared" si="0"/>
        <v>2197.1400980073531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344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-5108.0134317887114</v>
      </c>
      <c r="V15" s="18">
        <f>-Taxes!U24-Taxes!U41</f>
        <v>-5232.94340476653</v>
      </c>
      <c r="W15" s="18">
        <f>-Taxes!V24-Taxes!V41</f>
        <v>-5367.7748935563241</v>
      </c>
      <c r="X15" s="18">
        <f>-Taxes!W24-Taxes!W41</f>
        <v>-5513.2241326189978</v>
      </c>
      <c r="Y15" s="18">
        <f>-Taxes!X24-Taxes!X41</f>
        <v>-5670.0579553948091</v>
      </c>
      <c r="Z15" s="18">
        <f>-Taxes!Y24-Taxes!Y41</f>
        <v>-5839.097345483251</v>
      </c>
      <c r="AA15" s="18">
        <f>-Taxes!Z24-Taxes!Z41</f>
        <v>-6021.2212365905716</v>
      </c>
      <c r="AB15" s="18">
        <f>-Taxes!AA24-Taxes!AA41</f>
        <v>-6217.3705786623505</v>
      </c>
      <c r="AC15" s="18">
        <f>-Taxes!AB24-Taxes!AB41</f>
        <v>-6428.552688837839</v>
      </c>
      <c r="AD15" s="18">
        <f>-Taxes!AC24-Taxes!AC41</f>
        <v>-6655.8459071674633</v>
      </c>
      <c r="AE15" s="18">
        <f>-Taxes!AD24-Taxes!AD41</f>
        <v>-6900.4045784308546</v>
      </c>
      <c r="AF15" s="18">
        <f>-Taxes!AE24-Taxes!AE41</f>
        <v>-7163.4643828863937</v>
      </c>
      <c r="AG15" s="18">
        <f>-Taxes!AF24-Taxes!AF41</f>
        <v>-868.9689087619081</v>
      </c>
    </row>
    <row r="16" spans="1:35">
      <c r="A16" s="45" t="s">
        <v>80</v>
      </c>
      <c r="B16" s="64">
        <v>0</v>
      </c>
      <c r="C16" s="23">
        <f>-'Revised Debt'!C19</f>
        <v>-1582.2689718095098</v>
      </c>
      <c r="D16" s="23">
        <f>-'Revised Debt'!D19</f>
        <v>-1693.0277998361762</v>
      </c>
      <c r="E16" s="23">
        <f>-'Revised Debt'!E19</f>
        <v>-1811.539745824708</v>
      </c>
      <c r="F16" s="23">
        <f>-'Revised Debt'!F19</f>
        <v>-1938.3475280324383</v>
      </c>
      <c r="G16" s="23">
        <f>-'Revised Debt'!G19</f>
        <v>-2074.0318549947078</v>
      </c>
      <c r="H16" s="23">
        <f>-'Revised Debt'!H19</f>
        <v>-2219.2140848443378</v>
      </c>
      <c r="I16" s="23">
        <f>-'Revised Debt'!I19</f>
        <v>-2374.5590707834417</v>
      </c>
      <c r="J16" s="23">
        <f>-'Revised Debt'!J19</f>
        <v>-2540.778205738281</v>
      </c>
      <c r="K16" s="23">
        <f>-'Revised Debt'!K19</f>
        <v>-2718.6326801399609</v>
      </c>
      <c r="L16" s="23">
        <f>-'Revised Debt'!L19</f>
        <v>-2908.936967749758</v>
      </c>
      <c r="M16" s="23">
        <f>-'Revised Debt'!M19</f>
        <v>-3112.5625554922426</v>
      </c>
      <c r="N16" s="23">
        <f>-'Revised Debt'!N19</f>
        <v>-3330.4419343766986</v>
      </c>
      <c r="O16" s="23">
        <f>-'Revised Debt'!O19</f>
        <v>-3563.5728697830673</v>
      </c>
      <c r="P16" s="23">
        <f>-'Revised Debt'!P19</f>
        <v>-3813.022970667882</v>
      </c>
      <c r="Q16" s="23">
        <f>-'Revised Debt'!Q19</f>
        <v>-4079.9345786146332</v>
      </c>
      <c r="R16" s="23">
        <f>-'Revised Debt'!R19</f>
        <v>-4365.5299991176571</v>
      </c>
      <c r="S16" s="23">
        <f>-'Revised Debt'!S19</f>
        <v>-4671.117099055893</v>
      </c>
      <c r="T16" s="23">
        <f>-'Revised Debt'!T19</f>
        <v>-4998.0952959898059</v>
      </c>
      <c r="U16" s="23">
        <f>-'Revised Debt'!U19</f>
        <v>-5347.9619667090928</v>
      </c>
      <c r="V16" s="23">
        <f>-'Revised Debt'!V19</f>
        <v>-5722.3193043787287</v>
      </c>
      <c r="W16" s="23">
        <f>-'Revised Debt'!W19</f>
        <v>-6122.8816556852398</v>
      </c>
      <c r="X16" s="23">
        <f>-Debt!W48</f>
        <v>0</v>
      </c>
      <c r="Y16" s="23">
        <f>-Debt!X48</f>
        <v>0</v>
      </c>
      <c r="Z16" s="23">
        <f>-Debt!Y48</f>
        <v>0</v>
      </c>
      <c r="AA16" s="23">
        <f>-Debt!Z48</f>
        <v>0</v>
      </c>
      <c r="AB16" s="23">
        <f>-Debt!AA48</f>
        <v>0</v>
      </c>
      <c r="AC16" s="23">
        <f>-Debt!AB48</f>
        <v>0</v>
      </c>
      <c r="AD16" s="23">
        <f>-Debt!AC48</f>
        <v>0</v>
      </c>
      <c r="AE16" s="23">
        <f>-Debt!AD48</f>
        <v>0</v>
      </c>
      <c r="AF16" s="23">
        <f>-Debt!AE48</f>
        <v>0</v>
      </c>
      <c r="AG16" s="23">
        <f>-Debt!AF48</f>
        <v>0</v>
      </c>
    </row>
    <row r="17" spans="1:33">
      <c r="A17" s="45" t="s">
        <v>345</v>
      </c>
      <c r="B17" s="439">
        <v>0</v>
      </c>
      <c r="C17" s="439">
        <v>0</v>
      </c>
      <c r="D17" s="439">
        <v>0</v>
      </c>
      <c r="E17" s="439">
        <v>0</v>
      </c>
      <c r="F17" s="439">
        <v>0</v>
      </c>
      <c r="G17" s="439">
        <v>0</v>
      </c>
      <c r="H17" s="439">
        <v>0</v>
      </c>
      <c r="I17" s="439">
        <v>0</v>
      </c>
      <c r="J17" s="439">
        <v>0</v>
      </c>
      <c r="K17" s="439">
        <v>0</v>
      </c>
      <c r="L17" s="439">
        <v>0</v>
      </c>
      <c r="M17" s="439">
        <v>0</v>
      </c>
      <c r="N17" s="439">
        <v>0</v>
      </c>
      <c r="O17" s="439">
        <v>0</v>
      </c>
      <c r="P17" s="439">
        <v>0</v>
      </c>
      <c r="Q17" s="439">
        <v>0</v>
      </c>
      <c r="R17" s="439">
        <v>0</v>
      </c>
      <c r="S17" s="439">
        <v>0</v>
      </c>
      <c r="T17" s="439">
        <v>0</v>
      </c>
      <c r="U17" s="439">
        <v>0</v>
      </c>
      <c r="V17" s="439">
        <v>0</v>
      </c>
      <c r="W17" s="439">
        <v>0</v>
      </c>
      <c r="X17" s="439">
        <v>0</v>
      </c>
      <c r="Y17" s="439">
        <v>0</v>
      </c>
      <c r="Z17" s="439">
        <v>0</v>
      </c>
      <c r="AA17" s="439">
        <v>0</v>
      </c>
      <c r="AB17" s="439">
        <v>0</v>
      </c>
      <c r="AC17" s="439">
        <v>0</v>
      </c>
      <c r="AD17" s="439">
        <v>0</v>
      </c>
      <c r="AE17" s="439">
        <v>0</v>
      </c>
      <c r="AF17" s="439">
        <v>0</v>
      </c>
      <c r="AG17" s="439">
        <v>0</v>
      </c>
    </row>
    <row r="18" spans="1:33">
      <c r="A18" s="45" t="s">
        <v>346</v>
      </c>
      <c r="B18" s="64">
        <f>B13+B17+B16+B15</f>
        <v>0</v>
      </c>
      <c r="C18" s="64">
        <f t="shared" ref="C18:AG18" si="1">C13+C17+C16+C15</f>
        <v>4874.9989261615347</v>
      </c>
      <c r="D18" s="64">
        <f t="shared" si="1"/>
        <v>8403.1401948200855</v>
      </c>
      <c r="E18" s="64">
        <f t="shared" si="1"/>
        <v>8361.3768456200833</v>
      </c>
      <c r="F18" s="64">
        <f t="shared" si="1"/>
        <v>8318.7782294360859</v>
      </c>
      <c r="G18" s="64">
        <f t="shared" si="1"/>
        <v>8275.3276409284026</v>
      </c>
      <c r="H18" s="64">
        <f t="shared" si="1"/>
        <v>8231.0080406505713</v>
      </c>
      <c r="I18" s="64">
        <f t="shared" si="1"/>
        <v>8185.8020483671808</v>
      </c>
      <c r="J18" s="64">
        <f t="shared" si="1"/>
        <v>8139.6919362381213</v>
      </c>
      <c r="K18" s="64">
        <f t="shared" si="1"/>
        <v>8092.6596218664836</v>
      </c>
      <c r="L18" s="64">
        <f t="shared" si="1"/>
        <v>8044.68666120741</v>
      </c>
      <c r="M18" s="64">
        <f t="shared" si="1"/>
        <v>7995.7542413351566</v>
      </c>
      <c r="N18" s="64">
        <f t="shared" si="1"/>
        <v>7945.8431730654574</v>
      </c>
      <c r="O18" s="64">
        <f t="shared" si="1"/>
        <v>7894.9338834303653</v>
      </c>
      <c r="P18" s="64">
        <f t="shared" si="1"/>
        <v>7843.0064080025713</v>
      </c>
      <c r="Q18" s="64">
        <f t="shared" si="1"/>
        <v>7790.0403830662235</v>
      </c>
      <c r="R18" s="64">
        <f t="shared" si="1"/>
        <v>7736.015037631144</v>
      </c>
      <c r="S18" s="64">
        <f t="shared" si="1"/>
        <v>7680.9091852873662</v>
      </c>
      <c r="T18" s="64">
        <f t="shared" si="1"/>
        <v>7624.70121589671</v>
      </c>
      <c r="U18" s="64">
        <f t="shared" si="1"/>
        <v>2459.3556553295357</v>
      </c>
      <c r="V18" s="64">
        <f t="shared" si="1"/>
        <v>2275.9469109976772</v>
      </c>
      <c r="W18" s="64">
        <f t="shared" si="1"/>
        <v>2081.4670754267672</v>
      </c>
      <c r="X18" s="64">
        <f t="shared" si="1"/>
        <v>13919.811482151948</v>
      </c>
      <c r="Y18" s="64">
        <f t="shared" si="1"/>
        <v>13700.919519385065</v>
      </c>
      <c r="Z18" s="64">
        <f t="shared" si="1"/>
        <v>13468.580826505726</v>
      </c>
      <c r="AA18" s="64">
        <f t="shared" si="1"/>
        <v>13221.891646551689</v>
      </c>
      <c r="AB18" s="64">
        <f t="shared" si="1"/>
        <v>12959.885709856262</v>
      </c>
      <c r="AC18" s="64">
        <f t="shared" si="1"/>
        <v>12681.529873164656</v>
      </c>
      <c r="AD18" s="64">
        <f t="shared" si="1"/>
        <v>12385.719453788588</v>
      </c>
      <c r="AE18" s="64">
        <f t="shared" si="1"/>
        <v>12071.273237457819</v>
      </c>
      <c r="AF18" s="64">
        <f t="shared" si="1"/>
        <v>11736.928137033561</v>
      </c>
      <c r="AG18" s="64">
        <f t="shared" si="1"/>
        <v>1328.171189245445</v>
      </c>
    </row>
    <row r="19" spans="1:33">
      <c r="A19" s="328"/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392"/>
      <c r="Z19" s="392"/>
      <c r="AA19" s="392"/>
      <c r="AB19" s="392"/>
      <c r="AC19" s="392"/>
      <c r="AD19" s="392"/>
      <c r="AE19" s="392"/>
      <c r="AF19" s="392"/>
      <c r="AG19" s="392"/>
    </row>
    <row r="20" spans="1:33">
      <c r="A20" s="440" t="s">
        <v>396</v>
      </c>
      <c r="B20" s="509">
        <v>1</v>
      </c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92"/>
      <c r="AB20" s="392"/>
      <c r="AC20" s="392"/>
      <c r="AD20" s="392"/>
      <c r="AE20" s="392"/>
      <c r="AF20" s="392"/>
      <c r="AG20" s="392"/>
    </row>
    <row r="21" spans="1:33">
      <c r="B21" s="64">
        <f>$B$20*B18</f>
        <v>0</v>
      </c>
      <c r="C21" s="64">
        <f t="shared" ref="C21:AG21" si="2">$B$20*C18</f>
        <v>4874.9989261615347</v>
      </c>
      <c r="D21" s="64">
        <f t="shared" si="2"/>
        <v>8403.1401948200855</v>
      </c>
      <c r="E21" s="64">
        <f t="shared" si="2"/>
        <v>8361.3768456200833</v>
      </c>
      <c r="F21" s="64">
        <f t="shared" si="2"/>
        <v>8318.7782294360859</v>
      </c>
      <c r="G21" s="64">
        <f t="shared" si="2"/>
        <v>8275.3276409284026</v>
      </c>
      <c r="H21" s="64">
        <f t="shared" si="2"/>
        <v>8231.0080406505713</v>
      </c>
      <c r="I21" s="64">
        <f t="shared" si="2"/>
        <v>8185.8020483671808</v>
      </c>
      <c r="J21" s="64">
        <f t="shared" si="2"/>
        <v>8139.6919362381213</v>
      </c>
      <c r="K21" s="64">
        <f t="shared" si="2"/>
        <v>8092.6596218664836</v>
      </c>
      <c r="L21" s="64">
        <f t="shared" si="2"/>
        <v>8044.68666120741</v>
      </c>
      <c r="M21" s="64">
        <f t="shared" si="2"/>
        <v>7995.7542413351566</v>
      </c>
      <c r="N21" s="64">
        <f t="shared" si="2"/>
        <v>7945.8431730654574</v>
      </c>
      <c r="O21" s="64">
        <f t="shared" si="2"/>
        <v>7894.9338834303653</v>
      </c>
      <c r="P21" s="64">
        <f t="shared" si="2"/>
        <v>7843.0064080025713</v>
      </c>
      <c r="Q21" s="64">
        <f t="shared" si="2"/>
        <v>7790.0403830662235</v>
      </c>
      <c r="R21" s="64">
        <f t="shared" si="2"/>
        <v>7736.015037631144</v>
      </c>
      <c r="S21" s="64">
        <f t="shared" si="2"/>
        <v>7680.9091852873662</v>
      </c>
      <c r="T21" s="64">
        <f t="shared" si="2"/>
        <v>7624.70121589671</v>
      </c>
      <c r="U21" s="64">
        <f t="shared" si="2"/>
        <v>2459.3556553295357</v>
      </c>
      <c r="V21" s="64">
        <f t="shared" si="2"/>
        <v>2275.9469109976772</v>
      </c>
      <c r="W21" s="64">
        <f t="shared" si="2"/>
        <v>2081.4670754267672</v>
      </c>
      <c r="X21" s="64">
        <f t="shared" si="2"/>
        <v>13919.811482151948</v>
      </c>
      <c r="Y21" s="64">
        <f t="shared" si="2"/>
        <v>13700.919519385065</v>
      </c>
      <c r="Z21" s="64">
        <f t="shared" si="2"/>
        <v>13468.580826505726</v>
      </c>
      <c r="AA21" s="64">
        <f t="shared" si="2"/>
        <v>13221.891646551689</v>
      </c>
      <c r="AB21" s="64">
        <f t="shared" si="2"/>
        <v>12959.885709856262</v>
      </c>
      <c r="AC21" s="64">
        <f t="shared" si="2"/>
        <v>12681.529873164656</v>
      </c>
      <c r="AD21" s="64">
        <f t="shared" si="2"/>
        <v>12385.719453788588</v>
      </c>
      <c r="AE21" s="64">
        <f t="shared" si="2"/>
        <v>12071.273237457819</v>
      </c>
      <c r="AF21" s="64">
        <f t="shared" si="2"/>
        <v>11736.928137033561</v>
      </c>
      <c r="AG21" s="64">
        <f t="shared" si="2"/>
        <v>1328.171189245445</v>
      </c>
    </row>
    <row r="22" spans="1:33">
      <c r="B22" s="392"/>
      <c r="C22" s="392"/>
      <c r="D22" s="392"/>
      <c r="E22" s="392"/>
      <c r="F22" s="392"/>
      <c r="G22" s="392"/>
      <c r="H22" s="392"/>
      <c r="I22" s="392"/>
      <c r="J22" s="392"/>
      <c r="K22" s="392"/>
      <c r="L22" s="392"/>
      <c r="M22" s="392"/>
      <c r="N22" s="392"/>
      <c r="O22" s="392"/>
      <c r="P22" s="392"/>
      <c r="Q22" s="392"/>
      <c r="R22" s="392"/>
      <c r="S22" s="392"/>
      <c r="T22" s="392"/>
      <c r="U22" s="392"/>
      <c r="V22" s="392"/>
      <c r="W22" s="392"/>
      <c r="X22" s="392"/>
      <c r="Y22" s="392"/>
      <c r="Z22" s="392"/>
      <c r="AA22" s="392"/>
      <c r="AB22" s="392"/>
      <c r="AC22" s="392"/>
      <c r="AD22" s="392"/>
      <c r="AE22" s="392"/>
      <c r="AF22" s="392"/>
      <c r="AG22" s="392"/>
    </row>
    <row r="23" spans="1:33" hidden="1">
      <c r="A23" s="392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2"/>
      <c r="T23" s="392"/>
      <c r="U23" s="392"/>
      <c r="V23" s="392"/>
      <c r="W23" s="392"/>
      <c r="X23" s="392"/>
      <c r="Y23" s="392"/>
      <c r="Z23" s="392"/>
      <c r="AA23" s="392"/>
      <c r="AB23" s="392"/>
      <c r="AC23" s="392"/>
      <c r="AD23" s="392"/>
    </row>
    <row r="24" spans="1:33" hidden="1">
      <c r="A24" s="441" t="s">
        <v>353</v>
      </c>
      <c r="B24" s="445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-64055.301965480146</v>
      </c>
      <c r="C25" s="18">
        <f t="shared" ref="C25:V25" si="3">+B29</f>
        <v>-64055.301965480146</v>
      </c>
      <c r="D25" s="18">
        <f t="shared" si="3"/>
        <v>-64055.301965480146</v>
      </c>
      <c r="E25" s="18">
        <f t="shared" si="3"/>
        <v>-64055.301965480146</v>
      </c>
      <c r="F25" s="18">
        <f t="shared" si="3"/>
        <v>-64055.301965480146</v>
      </c>
      <c r="G25" s="18">
        <f t="shared" si="3"/>
        <v>-64055.301965480146</v>
      </c>
      <c r="H25" s="18">
        <f t="shared" si="3"/>
        <v>-64055.301965480146</v>
      </c>
      <c r="I25" s="18">
        <f t="shared" si="3"/>
        <v>-64055.301965480146</v>
      </c>
      <c r="J25" s="18">
        <f t="shared" si="3"/>
        <v>-64055.301965480146</v>
      </c>
      <c r="K25" s="18">
        <f t="shared" si="3"/>
        <v>-64055.301965480146</v>
      </c>
      <c r="L25" s="18">
        <f t="shared" si="3"/>
        <v>-64055.301965480146</v>
      </c>
      <c r="M25" s="18">
        <f t="shared" si="3"/>
        <v>-64055.301965480146</v>
      </c>
      <c r="N25" s="18">
        <f t="shared" si="3"/>
        <v>-64055.301965480146</v>
      </c>
      <c r="O25" s="18">
        <f t="shared" si="3"/>
        <v>-64055.301965480146</v>
      </c>
      <c r="P25" s="18">
        <f t="shared" si="3"/>
        <v>-64055.301965480146</v>
      </c>
      <c r="Q25" s="18">
        <f t="shared" si="3"/>
        <v>-64055.301965480146</v>
      </c>
      <c r="R25" s="18">
        <f t="shared" si="3"/>
        <v>-64055.301965480146</v>
      </c>
      <c r="S25" s="18">
        <f t="shared" si="3"/>
        <v>-64055.301965480146</v>
      </c>
      <c r="T25" s="18">
        <f t="shared" si="3"/>
        <v>-64055.301965480146</v>
      </c>
      <c r="U25" s="18">
        <f t="shared" si="3"/>
        <v>-64055.301965480146</v>
      </c>
      <c r="V25" s="18">
        <f t="shared" si="3"/>
        <v>-64055.301965480146</v>
      </c>
      <c r="W25" s="18">
        <f t="shared" ref="W25:AG25" si="4">+V29</f>
        <v>-64055.301965480146</v>
      </c>
      <c r="X25" s="18">
        <f t="shared" si="4"/>
        <v>-64055.301965480146</v>
      </c>
      <c r="Y25" s="18">
        <f t="shared" si="4"/>
        <v>-59103.232758495418</v>
      </c>
      <c r="Z25" s="18">
        <f t="shared" si="4"/>
        <v>-53676.765825299713</v>
      </c>
      <c r="AA25" s="18">
        <f t="shared" si="4"/>
        <v>-47722.932214335946</v>
      </c>
      <c r="AB25" s="18">
        <f t="shared" si="4"/>
        <v>-41182.25107779129</v>
      </c>
      <c r="AC25" s="18">
        <f t="shared" si="4"/>
        <v>-33987.880518825812</v>
      </c>
      <c r="AD25" s="18">
        <f t="shared" si="4"/>
        <v>-26064.653918296768</v>
      </c>
      <c r="AE25" s="18">
        <f t="shared" si="4"/>
        <v>-17327.986013069727</v>
      </c>
      <c r="AF25" s="18">
        <f t="shared" si="4"/>
        <v>-7682.6308174416699</v>
      </c>
      <c r="AG25" s="18">
        <f t="shared" si="4"/>
        <v>2978.7290051500568</v>
      </c>
    </row>
    <row r="26" spans="1:33" hidden="1">
      <c r="A26" s="45" t="s">
        <v>352</v>
      </c>
      <c r="B26" s="18">
        <v>0</v>
      </c>
      <c r="C26" s="18">
        <f>+-B25*$B$24</f>
        <v>8967.742275167222</v>
      </c>
      <c r="D26" s="18">
        <f t="shared" ref="D26:V26" si="5">+-D25*$B$24</f>
        <v>8967.742275167222</v>
      </c>
      <c r="E26" s="18">
        <f t="shared" si="5"/>
        <v>8967.742275167222</v>
      </c>
      <c r="F26" s="18">
        <f t="shared" si="5"/>
        <v>8967.742275167222</v>
      </c>
      <c r="G26" s="18">
        <f t="shared" si="5"/>
        <v>8967.742275167222</v>
      </c>
      <c r="H26" s="18">
        <f t="shared" si="5"/>
        <v>8967.742275167222</v>
      </c>
      <c r="I26" s="18">
        <f t="shared" si="5"/>
        <v>8967.742275167222</v>
      </c>
      <c r="J26" s="18">
        <f t="shared" si="5"/>
        <v>8967.742275167222</v>
      </c>
      <c r="K26" s="18">
        <f t="shared" si="5"/>
        <v>8967.742275167222</v>
      </c>
      <c r="L26" s="18">
        <f t="shared" si="5"/>
        <v>8967.742275167222</v>
      </c>
      <c r="M26" s="18">
        <f t="shared" si="5"/>
        <v>8967.742275167222</v>
      </c>
      <c r="N26" s="18">
        <f t="shared" si="5"/>
        <v>8967.742275167222</v>
      </c>
      <c r="O26" s="18">
        <f t="shared" si="5"/>
        <v>8967.742275167222</v>
      </c>
      <c r="P26" s="18">
        <f t="shared" si="5"/>
        <v>8967.742275167222</v>
      </c>
      <c r="Q26" s="18">
        <f t="shared" si="5"/>
        <v>8967.742275167222</v>
      </c>
      <c r="R26" s="18">
        <f t="shared" si="5"/>
        <v>8967.742275167222</v>
      </c>
      <c r="S26" s="18">
        <f t="shared" si="5"/>
        <v>8967.742275167222</v>
      </c>
      <c r="T26" s="18">
        <f t="shared" si="5"/>
        <v>8967.742275167222</v>
      </c>
      <c r="U26" s="18">
        <f t="shared" si="5"/>
        <v>8967.742275167222</v>
      </c>
      <c r="V26" s="18">
        <f t="shared" si="5"/>
        <v>8967.742275167222</v>
      </c>
      <c r="W26" s="18">
        <f t="shared" ref="W26:AG26" si="6">+-W25*$B$24</f>
        <v>8967.742275167222</v>
      </c>
      <c r="X26" s="18">
        <f t="shared" si="6"/>
        <v>8967.742275167222</v>
      </c>
      <c r="Y26" s="18">
        <f t="shared" si="6"/>
        <v>8274.4525861893599</v>
      </c>
      <c r="Z26" s="18">
        <f t="shared" si="6"/>
        <v>7514.7472155419609</v>
      </c>
      <c r="AA26" s="18">
        <f t="shared" si="6"/>
        <v>6681.210510007033</v>
      </c>
      <c r="AB26" s="18">
        <f t="shared" si="6"/>
        <v>5765.5151508907811</v>
      </c>
      <c r="AC26" s="18">
        <f t="shared" si="6"/>
        <v>4758.3032726356141</v>
      </c>
      <c r="AD26" s="18">
        <f t="shared" si="6"/>
        <v>3649.0515485615479</v>
      </c>
      <c r="AE26" s="18">
        <f t="shared" si="6"/>
        <v>2425.9180418297619</v>
      </c>
      <c r="AF26" s="18">
        <f t="shared" si="6"/>
        <v>1075.568314441834</v>
      </c>
      <c r="AG26" s="18">
        <f t="shared" si="6"/>
        <v>-417.02206072100796</v>
      </c>
    </row>
    <row r="27" spans="1:33" hidden="1">
      <c r="A27" s="45" t="s">
        <v>348</v>
      </c>
      <c r="B27" s="18">
        <f>B21</f>
        <v>0</v>
      </c>
      <c r="C27" s="18">
        <f t="shared" ref="C27:AG27" si="7">C21</f>
        <v>4874.9989261615347</v>
      </c>
      <c r="D27" s="18">
        <f t="shared" si="7"/>
        <v>8403.1401948200855</v>
      </c>
      <c r="E27" s="18">
        <f t="shared" si="7"/>
        <v>8361.3768456200833</v>
      </c>
      <c r="F27" s="18">
        <f t="shared" si="7"/>
        <v>8318.7782294360859</v>
      </c>
      <c r="G27" s="18">
        <f t="shared" si="7"/>
        <v>8275.3276409284026</v>
      </c>
      <c r="H27" s="18">
        <f t="shared" si="7"/>
        <v>8231.0080406505713</v>
      </c>
      <c r="I27" s="18">
        <f t="shared" si="7"/>
        <v>8185.8020483671808</v>
      </c>
      <c r="J27" s="18">
        <f t="shared" si="7"/>
        <v>8139.6919362381213</v>
      </c>
      <c r="K27" s="18">
        <f t="shared" si="7"/>
        <v>8092.6596218664836</v>
      </c>
      <c r="L27" s="18">
        <f t="shared" si="7"/>
        <v>8044.68666120741</v>
      </c>
      <c r="M27" s="18">
        <f t="shared" si="7"/>
        <v>7995.7542413351566</v>
      </c>
      <c r="N27" s="18">
        <f t="shared" si="7"/>
        <v>7945.8431730654574</v>
      </c>
      <c r="O27" s="18">
        <f t="shared" si="7"/>
        <v>7894.9338834303653</v>
      </c>
      <c r="P27" s="18">
        <f t="shared" si="7"/>
        <v>7843.0064080025713</v>
      </c>
      <c r="Q27" s="18">
        <f t="shared" si="7"/>
        <v>7790.0403830662235</v>
      </c>
      <c r="R27" s="18">
        <f t="shared" si="7"/>
        <v>7736.015037631144</v>
      </c>
      <c r="S27" s="18">
        <f t="shared" si="7"/>
        <v>7680.9091852873662</v>
      </c>
      <c r="T27" s="18">
        <f t="shared" si="7"/>
        <v>7624.70121589671</v>
      </c>
      <c r="U27" s="18">
        <f t="shared" si="7"/>
        <v>2459.3556553295357</v>
      </c>
      <c r="V27" s="18">
        <f t="shared" si="7"/>
        <v>2275.9469109976772</v>
      </c>
      <c r="W27" s="18">
        <f t="shared" si="7"/>
        <v>2081.4670754267672</v>
      </c>
      <c r="X27" s="18">
        <f t="shared" si="7"/>
        <v>13919.811482151948</v>
      </c>
      <c r="Y27" s="18">
        <f t="shared" si="7"/>
        <v>13700.919519385065</v>
      </c>
      <c r="Z27" s="18">
        <f t="shared" si="7"/>
        <v>13468.580826505726</v>
      </c>
      <c r="AA27" s="18">
        <f t="shared" si="7"/>
        <v>13221.891646551689</v>
      </c>
      <c r="AB27" s="18">
        <f t="shared" si="7"/>
        <v>12959.885709856262</v>
      </c>
      <c r="AC27" s="18">
        <f t="shared" si="7"/>
        <v>12681.529873164656</v>
      </c>
      <c r="AD27" s="18">
        <f t="shared" si="7"/>
        <v>12385.719453788588</v>
      </c>
      <c r="AE27" s="18">
        <f t="shared" si="7"/>
        <v>12071.273237457819</v>
      </c>
      <c r="AF27" s="18">
        <f t="shared" si="7"/>
        <v>11736.928137033561</v>
      </c>
      <c r="AG27" s="18">
        <f t="shared" si="7"/>
        <v>1328.171189245445</v>
      </c>
    </row>
    <row r="28" spans="1:33" hidden="1">
      <c r="A28" s="45" t="s">
        <v>351</v>
      </c>
      <c r="B28" s="303">
        <v>0</v>
      </c>
      <c r="C28" s="303">
        <f t="shared" ref="C28:V28" si="8">+IF(C27&gt;C26,C27-C26,0)</f>
        <v>0</v>
      </c>
      <c r="D28" s="303">
        <f t="shared" si="8"/>
        <v>0</v>
      </c>
      <c r="E28" s="303">
        <f t="shared" si="8"/>
        <v>0</v>
      </c>
      <c r="F28" s="303">
        <f t="shared" si="8"/>
        <v>0</v>
      </c>
      <c r="G28" s="303">
        <f t="shared" si="8"/>
        <v>0</v>
      </c>
      <c r="H28" s="303">
        <f t="shared" si="8"/>
        <v>0</v>
      </c>
      <c r="I28" s="303">
        <f t="shared" si="8"/>
        <v>0</v>
      </c>
      <c r="J28" s="303">
        <f t="shared" si="8"/>
        <v>0</v>
      </c>
      <c r="K28" s="303">
        <f t="shared" si="8"/>
        <v>0</v>
      </c>
      <c r="L28" s="303">
        <f t="shared" si="8"/>
        <v>0</v>
      </c>
      <c r="M28" s="303">
        <f t="shared" si="8"/>
        <v>0</v>
      </c>
      <c r="N28" s="303">
        <f t="shared" si="8"/>
        <v>0</v>
      </c>
      <c r="O28" s="303">
        <f t="shared" si="8"/>
        <v>0</v>
      </c>
      <c r="P28" s="303">
        <f t="shared" si="8"/>
        <v>0</v>
      </c>
      <c r="Q28" s="303">
        <f t="shared" si="8"/>
        <v>0</v>
      </c>
      <c r="R28" s="303">
        <f t="shared" si="8"/>
        <v>0</v>
      </c>
      <c r="S28" s="303">
        <f t="shared" si="8"/>
        <v>0</v>
      </c>
      <c r="T28" s="303">
        <f t="shared" si="8"/>
        <v>0</v>
      </c>
      <c r="U28" s="303">
        <f t="shared" si="8"/>
        <v>0</v>
      </c>
      <c r="V28" s="303">
        <f t="shared" si="8"/>
        <v>0</v>
      </c>
      <c r="W28" s="303">
        <f t="shared" ref="W28:AG28" si="9">+IF(W27&gt;W26,W27-W26,0)</f>
        <v>0</v>
      </c>
      <c r="X28" s="303">
        <f t="shared" si="9"/>
        <v>4952.0692069847264</v>
      </c>
      <c r="Y28" s="303">
        <f t="shared" si="9"/>
        <v>5426.4669331957048</v>
      </c>
      <c r="Z28" s="303">
        <f t="shared" si="9"/>
        <v>5953.8336109637648</v>
      </c>
      <c r="AA28" s="303">
        <f t="shared" si="9"/>
        <v>6540.6811365446556</v>
      </c>
      <c r="AB28" s="303">
        <f t="shared" si="9"/>
        <v>7194.370558965481</v>
      </c>
      <c r="AC28" s="303">
        <f t="shared" si="9"/>
        <v>7923.2266005290421</v>
      </c>
      <c r="AD28" s="303">
        <f t="shared" si="9"/>
        <v>8736.667905227041</v>
      </c>
      <c r="AE28" s="303">
        <f t="shared" si="9"/>
        <v>9645.3551956280571</v>
      </c>
      <c r="AF28" s="303">
        <f t="shared" si="9"/>
        <v>10661.359822591727</v>
      </c>
      <c r="AG28" s="303">
        <f t="shared" si="9"/>
        <v>1745.1932499664531</v>
      </c>
    </row>
    <row r="29" spans="1:33" hidden="1">
      <c r="A29" s="45" t="s">
        <v>57</v>
      </c>
      <c r="B29" s="18">
        <f t="shared" ref="B29:V29" si="10">+B25+B28</f>
        <v>-64055.301965480146</v>
      </c>
      <c r="C29" s="18">
        <f t="shared" si="10"/>
        <v>-64055.301965480146</v>
      </c>
      <c r="D29" s="18">
        <f t="shared" si="10"/>
        <v>-64055.301965480146</v>
      </c>
      <c r="E29" s="18">
        <f t="shared" si="10"/>
        <v>-64055.301965480146</v>
      </c>
      <c r="F29" s="18">
        <f t="shared" si="10"/>
        <v>-64055.301965480146</v>
      </c>
      <c r="G29" s="18">
        <f t="shared" si="10"/>
        <v>-64055.301965480146</v>
      </c>
      <c r="H29" s="18">
        <f t="shared" si="10"/>
        <v>-64055.301965480146</v>
      </c>
      <c r="I29" s="18">
        <f t="shared" si="10"/>
        <v>-64055.301965480146</v>
      </c>
      <c r="J29" s="18">
        <f t="shared" si="10"/>
        <v>-64055.301965480146</v>
      </c>
      <c r="K29" s="18">
        <f t="shared" si="10"/>
        <v>-64055.301965480146</v>
      </c>
      <c r="L29" s="18">
        <f t="shared" si="10"/>
        <v>-64055.301965480146</v>
      </c>
      <c r="M29" s="18">
        <f t="shared" si="10"/>
        <v>-64055.301965480146</v>
      </c>
      <c r="N29" s="18">
        <f t="shared" si="10"/>
        <v>-64055.301965480146</v>
      </c>
      <c r="O29" s="18">
        <f t="shared" si="10"/>
        <v>-64055.301965480146</v>
      </c>
      <c r="P29" s="18">
        <f t="shared" si="10"/>
        <v>-64055.301965480146</v>
      </c>
      <c r="Q29" s="18">
        <f t="shared" si="10"/>
        <v>-64055.301965480146</v>
      </c>
      <c r="R29" s="18">
        <f t="shared" si="10"/>
        <v>-64055.301965480146</v>
      </c>
      <c r="S29" s="18">
        <f t="shared" si="10"/>
        <v>-64055.301965480146</v>
      </c>
      <c r="T29" s="18">
        <f t="shared" si="10"/>
        <v>-64055.301965480146</v>
      </c>
      <c r="U29" s="18">
        <f t="shared" si="10"/>
        <v>-64055.301965480146</v>
      </c>
      <c r="V29" s="18">
        <f t="shared" si="10"/>
        <v>-64055.301965480146</v>
      </c>
      <c r="W29" s="18">
        <f t="shared" ref="W29:AG29" si="11">+W25+W28</f>
        <v>-64055.301965480146</v>
      </c>
      <c r="X29" s="18">
        <f t="shared" si="11"/>
        <v>-59103.232758495418</v>
      </c>
      <c r="Y29" s="18">
        <f t="shared" si="11"/>
        <v>-53676.765825299713</v>
      </c>
      <c r="Z29" s="18">
        <f t="shared" si="11"/>
        <v>-47722.932214335946</v>
      </c>
      <c r="AA29" s="18">
        <f t="shared" si="11"/>
        <v>-41182.25107779129</v>
      </c>
      <c r="AB29" s="18">
        <f t="shared" si="11"/>
        <v>-33987.880518825812</v>
      </c>
      <c r="AC29" s="18">
        <f t="shared" si="11"/>
        <v>-26064.653918296768</v>
      </c>
      <c r="AD29" s="18">
        <f t="shared" si="11"/>
        <v>-17327.986013069727</v>
      </c>
      <c r="AE29" s="18">
        <f t="shared" si="11"/>
        <v>-7682.6308174416699</v>
      </c>
      <c r="AF29" s="18">
        <f t="shared" si="11"/>
        <v>2978.7290051500568</v>
      </c>
      <c r="AG29" s="18">
        <f t="shared" si="11"/>
        <v>4723.9222551165094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1" t="s">
        <v>383</v>
      </c>
    </row>
    <row r="34" spans="1:33">
      <c r="A34" s="441"/>
    </row>
    <row r="35" spans="1:33">
      <c r="A35" s="440" t="s">
        <v>350</v>
      </c>
    </row>
    <row r="36" spans="1:33" s="18" customFormat="1">
      <c r="A36" s="45" t="s">
        <v>349</v>
      </c>
      <c r="B36" s="18">
        <f>-Assumptions!C11*Assumptions!$G$48</f>
        <v>-64055.301965480146</v>
      </c>
    </row>
    <row r="37" spans="1:33" s="18" customFormat="1">
      <c r="A37" s="45" t="s">
        <v>348</v>
      </c>
      <c r="B37" s="446">
        <f>B21*Assumptions!$G$48</f>
        <v>0</v>
      </c>
      <c r="C37" s="303">
        <f>C21*Assumptions!$G$48</f>
        <v>4874.9989261615347</v>
      </c>
      <c r="D37" s="303">
        <f>D21*Assumptions!$G$48</f>
        <v>8403.1401948200855</v>
      </c>
      <c r="E37" s="303">
        <f>E21*Assumptions!$G$48</f>
        <v>8361.3768456200833</v>
      </c>
      <c r="F37" s="303">
        <f>F21*Assumptions!$G$48</f>
        <v>8318.7782294360859</v>
      </c>
      <c r="G37" s="303">
        <f>G21*Assumptions!$G$48</f>
        <v>8275.3276409284026</v>
      </c>
      <c r="H37" s="303">
        <f>H21*Assumptions!$G$48</f>
        <v>8231.0080406505713</v>
      </c>
      <c r="I37" s="303">
        <f>I21*Assumptions!$G$48</f>
        <v>8185.8020483671808</v>
      </c>
      <c r="J37" s="303">
        <f>J21*Assumptions!$G$48</f>
        <v>8139.6919362381213</v>
      </c>
      <c r="K37" s="303">
        <f>K21*Assumptions!$G$48</f>
        <v>8092.6596218664836</v>
      </c>
      <c r="L37" s="303">
        <f>L21*Assumptions!$G$48</f>
        <v>8044.68666120741</v>
      </c>
      <c r="M37" s="303">
        <f>M21*Assumptions!$G$48</f>
        <v>7995.7542413351566</v>
      </c>
      <c r="N37" s="303">
        <f>N21*Assumptions!$G$48</f>
        <v>7945.8431730654574</v>
      </c>
      <c r="O37" s="303">
        <f>O21*Assumptions!$G$48</f>
        <v>7894.9338834303653</v>
      </c>
      <c r="P37" s="303">
        <f>P21*Assumptions!$G$48</f>
        <v>7843.0064080025713</v>
      </c>
      <c r="Q37" s="303">
        <f>Q21*Assumptions!$G$48</f>
        <v>7790.0403830662235</v>
      </c>
      <c r="R37" s="303">
        <f>R21*Assumptions!$G$48</f>
        <v>7736.015037631144</v>
      </c>
      <c r="S37" s="303">
        <f>S21*Assumptions!$G$48</f>
        <v>7680.9091852873662</v>
      </c>
      <c r="T37" s="303">
        <f>T21*Assumptions!$G$48</f>
        <v>7624.70121589671</v>
      </c>
      <c r="U37" s="303">
        <f>U21*Assumptions!$G$48</f>
        <v>2459.3556553295357</v>
      </c>
      <c r="V37" s="303">
        <f>V21*Assumptions!$G$48</f>
        <v>2275.9469109976772</v>
      </c>
      <c r="W37" s="303">
        <f>W21*Assumptions!$G$48</f>
        <v>2081.4670754267672</v>
      </c>
      <c r="X37" s="303">
        <f>X21*Assumptions!$G$48</f>
        <v>13919.811482151948</v>
      </c>
      <c r="Y37" s="303">
        <f>Y21*Assumptions!$G$48</f>
        <v>13700.919519385065</v>
      </c>
      <c r="Z37" s="303">
        <f>Z21*Assumptions!$G$48</f>
        <v>13468.580826505726</v>
      </c>
      <c r="AA37" s="303">
        <f>AA21*Assumptions!$G$48</f>
        <v>13221.891646551689</v>
      </c>
      <c r="AB37" s="303">
        <f>AB21*Assumptions!$G$48</f>
        <v>12959.885709856262</v>
      </c>
      <c r="AC37" s="303">
        <f>AC21*Assumptions!$G$48</f>
        <v>12681.529873164656</v>
      </c>
      <c r="AD37" s="303">
        <f>AD21*Assumptions!$G$48</f>
        <v>12385.719453788588</v>
      </c>
      <c r="AE37" s="303">
        <f>AE21*Assumptions!$G$48</f>
        <v>12071.273237457819</v>
      </c>
      <c r="AF37" s="303">
        <f>AF21*Assumptions!$G$48</f>
        <v>11736.928137033561</v>
      </c>
      <c r="AG37" s="303">
        <f>AG21*Assumptions!$G$48</f>
        <v>1328.171189245445</v>
      </c>
    </row>
    <row r="38" spans="1:33" s="18" customFormat="1">
      <c r="A38" s="45" t="s">
        <v>347</v>
      </c>
      <c r="B38" s="18">
        <f t="shared" ref="B38:AG38" si="12">SUM(B36:B37)</f>
        <v>-64055.301965480146</v>
      </c>
      <c r="C38" s="18">
        <f t="shared" si="12"/>
        <v>4874.9989261615347</v>
      </c>
      <c r="D38" s="18">
        <f t="shared" si="12"/>
        <v>8403.1401948200855</v>
      </c>
      <c r="E38" s="18">
        <f t="shared" si="12"/>
        <v>8361.3768456200833</v>
      </c>
      <c r="F38" s="18">
        <f t="shared" si="12"/>
        <v>8318.7782294360859</v>
      </c>
      <c r="G38" s="18">
        <f t="shared" si="12"/>
        <v>8275.3276409284026</v>
      </c>
      <c r="H38" s="18">
        <f t="shared" si="12"/>
        <v>8231.0080406505713</v>
      </c>
      <c r="I38" s="18">
        <f t="shared" si="12"/>
        <v>8185.8020483671808</v>
      </c>
      <c r="J38" s="18">
        <f t="shared" si="12"/>
        <v>8139.6919362381213</v>
      </c>
      <c r="K38" s="18">
        <f t="shared" si="12"/>
        <v>8092.6596218664836</v>
      </c>
      <c r="L38" s="18">
        <f t="shared" si="12"/>
        <v>8044.68666120741</v>
      </c>
      <c r="M38" s="18">
        <f t="shared" si="12"/>
        <v>7995.7542413351566</v>
      </c>
      <c r="N38" s="18">
        <f t="shared" si="12"/>
        <v>7945.8431730654574</v>
      </c>
      <c r="O38" s="18">
        <f t="shared" si="12"/>
        <v>7894.9338834303653</v>
      </c>
      <c r="P38" s="18">
        <f t="shared" si="12"/>
        <v>7843.0064080025713</v>
      </c>
      <c r="Q38" s="18">
        <f t="shared" si="12"/>
        <v>7790.0403830662235</v>
      </c>
      <c r="R38" s="18">
        <f t="shared" si="12"/>
        <v>7736.015037631144</v>
      </c>
      <c r="S38" s="18">
        <f t="shared" si="12"/>
        <v>7680.9091852873662</v>
      </c>
      <c r="T38" s="18">
        <f t="shared" si="12"/>
        <v>7624.70121589671</v>
      </c>
      <c r="U38" s="18">
        <f t="shared" si="12"/>
        <v>2459.3556553295357</v>
      </c>
      <c r="V38" s="18">
        <f t="shared" si="12"/>
        <v>2275.9469109976772</v>
      </c>
      <c r="W38" s="18">
        <f t="shared" si="12"/>
        <v>2081.4670754267672</v>
      </c>
      <c r="X38" s="18">
        <f t="shared" si="12"/>
        <v>13919.811482151948</v>
      </c>
      <c r="Y38" s="18">
        <f t="shared" si="12"/>
        <v>13700.919519385065</v>
      </c>
      <c r="Z38" s="18">
        <f t="shared" si="12"/>
        <v>13468.580826505726</v>
      </c>
      <c r="AA38" s="18">
        <f t="shared" si="12"/>
        <v>13221.891646551689</v>
      </c>
      <c r="AB38" s="18">
        <f t="shared" si="12"/>
        <v>12959.885709856262</v>
      </c>
      <c r="AC38" s="18">
        <f t="shared" si="12"/>
        <v>12681.529873164656</v>
      </c>
      <c r="AD38" s="18">
        <f t="shared" si="12"/>
        <v>12385.719453788588</v>
      </c>
      <c r="AE38" s="18">
        <f t="shared" si="12"/>
        <v>12071.273237457819</v>
      </c>
      <c r="AF38" s="18">
        <f t="shared" si="12"/>
        <v>11736.928137033561</v>
      </c>
      <c r="AG38" s="18">
        <f t="shared" si="12"/>
        <v>1328.171189245445</v>
      </c>
    </row>
    <row r="39" spans="1:33">
      <c r="B39" s="440" t="s">
        <v>1</v>
      </c>
      <c r="C39" s="574">
        <f>XIRR(B38:W38,B8:W8)</f>
        <v>9.2022821307182298E-2</v>
      </c>
    </row>
    <row r="40" spans="1:33">
      <c r="A40" s="45"/>
      <c r="B40" s="570" t="s">
        <v>555</v>
      </c>
      <c r="C40" s="571">
        <f>NPV(0.12,B38:W38)</f>
        <v>-6374.3491042554224</v>
      </c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349</v>
      </c>
      <c r="B42" s="18">
        <f>-Assumptions!C11*Assumptions!$G$48</f>
        <v>-64055.301965480146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348</v>
      </c>
      <c r="B43" s="442">
        <f>B21*Assumptions!$G$48</f>
        <v>0</v>
      </c>
      <c r="C43" s="18">
        <f>C21*Assumptions!$G$48</f>
        <v>4874.9989261615347</v>
      </c>
      <c r="D43" s="18">
        <f>D21*Assumptions!$G$48</f>
        <v>8403.1401948200855</v>
      </c>
      <c r="E43" s="18">
        <f>E21*Assumptions!$G$48</f>
        <v>8361.3768456200833</v>
      </c>
      <c r="F43" s="18">
        <f>F21*Assumptions!$G$48</f>
        <v>8318.7782294360859</v>
      </c>
      <c r="G43" s="18">
        <f>G21*Assumptions!$G$48</f>
        <v>8275.3276409284026</v>
      </c>
      <c r="H43" s="18">
        <f>H21*Assumptions!$G$48</f>
        <v>8231.0080406505713</v>
      </c>
      <c r="I43" s="18">
        <f>I21*Assumptions!$G$48</f>
        <v>8185.8020483671808</v>
      </c>
      <c r="J43" s="18">
        <f>J21*Assumptions!$G$48</f>
        <v>8139.6919362381213</v>
      </c>
      <c r="K43" s="18">
        <f>K21*Assumptions!$G$48</f>
        <v>8092.6596218664836</v>
      </c>
      <c r="L43" s="18">
        <f>L21*Assumptions!$G$48</f>
        <v>8044.68666120741</v>
      </c>
      <c r="M43" s="18">
        <f>M21*Assumptions!$G$48</f>
        <v>7995.7542413351566</v>
      </c>
      <c r="N43" s="18">
        <f>N21*Assumptions!$G$48</f>
        <v>7945.8431730654574</v>
      </c>
      <c r="O43" s="18">
        <f>O21*Assumptions!$G$48</f>
        <v>7894.9338834303653</v>
      </c>
      <c r="P43" s="18">
        <f>P21*Assumptions!$G$48</f>
        <v>7843.0064080025713</v>
      </c>
      <c r="Q43" s="18">
        <f>Q21*Assumptions!$G$48</f>
        <v>7790.0403830662235</v>
      </c>
      <c r="R43" s="18">
        <f>R21*Assumptions!$G$48</f>
        <v>7736.015037631144</v>
      </c>
      <c r="S43" s="18">
        <f>S21*Assumptions!$G$48</f>
        <v>7680.9091852873662</v>
      </c>
      <c r="T43" s="18">
        <f>T21*Assumptions!$G$48</f>
        <v>7624.70121589671</v>
      </c>
      <c r="U43" s="18">
        <f>U21*Assumptions!$G$48</f>
        <v>2459.3556553295357</v>
      </c>
      <c r="V43" s="18">
        <f>V21*Assumptions!$G$48</f>
        <v>2275.9469109976772</v>
      </c>
      <c r="W43" s="18">
        <f>W21*Assumptions!$G$48</f>
        <v>2081.4670754267672</v>
      </c>
      <c r="X43" s="18">
        <f>X21*Assumptions!$G$48</f>
        <v>13919.811482151948</v>
      </c>
      <c r="Y43" s="18">
        <f>Y21*Assumptions!$G$48</f>
        <v>13700.919519385065</v>
      </c>
      <c r="Z43" s="18">
        <f>Z21*Assumptions!$G$48</f>
        <v>13468.580826505726</v>
      </c>
      <c r="AA43" s="18">
        <f>AA21*Assumptions!$G$48</f>
        <v>13221.891646551689</v>
      </c>
      <c r="AB43" s="18">
        <f>AB21*Assumptions!$G$48</f>
        <v>12959.885709856262</v>
      </c>
      <c r="AC43" s="18">
        <f>AC21*Assumptions!$G$48</f>
        <v>12681.529873164656</v>
      </c>
      <c r="AD43" s="18">
        <f>AD21*Assumptions!$G$48</f>
        <v>12385.719453788588</v>
      </c>
      <c r="AE43" s="18">
        <f>AE21*Assumptions!$G$48</f>
        <v>12071.273237457819</v>
      </c>
      <c r="AF43" s="18">
        <f>AF21*Assumptions!$G$48</f>
        <v>11736.928137033561</v>
      </c>
      <c r="AG43" s="18">
        <f>AG21*Assumptions!$G$48</f>
        <v>1328.171189245445</v>
      </c>
    </row>
    <row r="44" spans="1:33">
      <c r="A44" s="56" t="s">
        <v>119</v>
      </c>
      <c r="B44" s="303">
        <v>0</v>
      </c>
      <c r="C44" s="303">
        <v>0</v>
      </c>
      <c r="D44" s="303">
        <v>0</v>
      </c>
      <c r="E44" s="303">
        <v>0</v>
      </c>
      <c r="F44" s="303">
        <v>0</v>
      </c>
      <c r="G44" s="303">
        <v>0</v>
      </c>
      <c r="H44" s="303">
        <v>0</v>
      </c>
      <c r="I44" s="303">
        <v>0</v>
      </c>
      <c r="J44" s="303">
        <v>0</v>
      </c>
      <c r="K44" s="303">
        <v>0</v>
      </c>
      <c r="L44" s="303">
        <v>0</v>
      </c>
      <c r="M44" s="303">
        <v>0</v>
      </c>
      <c r="N44" s="303">
        <v>0</v>
      </c>
      <c r="O44" s="303">
        <v>0</v>
      </c>
      <c r="P44" s="303">
        <v>0</v>
      </c>
      <c r="Q44" s="303">
        <v>0</v>
      </c>
      <c r="R44" s="303">
        <v>0</v>
      </c>
      <c r="S44" s="303">
        <v>0</v>
      </c>
      <c r="T44" s="303">
        <v>0</v>
      </c>
      <c r="U44" s="303">
        <v>0</v>
      </c>
      <c r="V44" s="303">
        <v>0</v>
      </c>
      <c r="W44" s="303">
        <f>IS!W32*Assumptions!H23</f>
        <v>97469.384642438454</v>
      </c>
      <c r="X44" s="303">
        <v>0</v>
      </c>
      <c r="Y44" s="303">
        <v>0</v>
      </c>
      <c r="Z44" s="303">
        <v>0</v>
      </c>
      <c r="AA44" s="303">
        <v>0</v>
      </c>
      <c r="AB44" s="303">
        <v>0</v>
      </c>
      <c r="AC44" s="303">
        <v>0</v>
      </c>
      <c r="AD44" s="303">
        <v>0</v>
      </c>
      <c r="AE44" s="303">
        <v>0</v>
      </c>
      <c r="AF44" s="303">
        <v>0</v>
      </c>
      <c r="AG44" s="303">
        <f>Assumptions!H23*IS!AF32*Assumptions!G48</f>
        <v>94501.962599599778</v>
      </c>
    </row>
    <row r="45" spans="1:33">
      <c r="A45" s="56" t="s">
        <v>347</v>
      </c>
      <c r="B45" s="18">
        <f t="shared" ref="B45:AG45" si="13">SUM(B42:B44)</f>
        <v>-64055.301965480146</v>
      </c>
      <c r="C45" s="18">
        <f t="shared" si="13"/>
        <v>4874.9989261615347</v>
      </c>
      <c r="D45" s="18">
        <f t="shared" si="13"/>
        <v>8403.1401948200855</v>
      </c>
      <c r="E45" s="18">
        <f t="shared" si="13"/>
        <v>8361.3768456200833</v>
      </c>
      <c r="F45" s="18">
        <f t="shared" si="13"/>
        <v>8318.7782294360859</v>
      </c>
      <c r="G45" s="18">
        <f t="shared" si="13"/>
        <v>8275.3276409284026</v>
      </c>
      <c r="H45" s="18">
        <f t="shared" si="13"/>
        <v>8231.0080406505713</v>
      </c>
      <c r="I45" s="18">
        <f t="shared" si="13"/>
        <v>8185.8020483671808</v>
      </c>
      <c r="J45" s="18">
        <f t="shared" si="13"/>
        <v>8139.6919362381213</v>
      </c>
      <c r="K45" s="18">
        <f t="shared" si="13"/>
        <v>8092.6596218664836</v>
      </c>
      <c r="L45" s="18">
        <f t="shared" si="13"/>
        <v>8044.68666120741</v>
      </c>
      <c r="M45" s="18">
        <f t="shared" si="13"/>
        <v>7995.7542413351566</v>
      </c>
      <c r="N45" s="18">
        <f t="shared" si="13"/>
        <v>7945.8431730654574</v>
      </c>
      <c r="O45" s="18">
        <f t="shared" si="13"/>
        <v>7894.9338834303653</v>
      </c>
      <c r="P45" s="18">
        <f t="shared" si="13"/>
        <v>7843.0064080025713</v>
      </c>
      <c r="Q45" s="18">
        <f t="shared" si="13"/>
        <v>7790.0403830662235</v>
      </c>
      <c r="R45" s="18">
        <f t="shared" si="13"/>
        <v>7736.015037631144</v>
      </c>
      <c r="S45" s="18">
        <f t="shared" si="13"/>
        <v>7680.9091852873662</v>
      </c>
      <c r="T45" s="18">
        <f t="shared" si="13"/>
        <v>7624.70121589671</v>
      </c>
      <c r="U45" s="18">
        <f t="shared" si="13"/>
        <v>2459.3556553295357</v>
      </c>
      <c r="V45" s="18">
        <f t="shared" si="13"/>
        <v>2275.9469109976772</v>
      </c>
      <c r="W45" s="18">
        <f t="shared" si="13"/>
        <v>99550.851717865226</v>
      </c>
      <c r="X45" s="18">
        <f t="shared" si="13"/>
        <v>13919.811482151948</v>
      </c>
      <c r="Y45" s="18">
        <f t="shared" si="13"/>
        <v>13700.919519385065</v>
      </c>
      <c r="Z45" s="18">
        <f t="shared" si="13"/>
        <v>13468.580826505726</v>
      </c>
      <c r="AA45" s="18">
        <f t="shared" si="13"/>
        <v>13221.891646551689</v>
      </c>
      <c r="AB45" s="18">
        <f t="shared" si="13"/>
        <v>12959.885709856262</v>
      </c>
      <c r="AC45" s="18">
        <f t="shared" si="13"/>
        <v>12681.529873164656</v>
      </c>
      <c r="AD45" s="18">
        <f t="shared" si="13"/>
        <v>12385.719453788588</v>
      </c>
      <c r="AE45" s="18">
        <f t="shared" si="13"/>
        <v>12071.273237457819</v>
      </c>
      <c r="AF45" s="18">
        <f t="shared" si="13"/>
        <v>11736.928137033561</v>
      </c>
      <c r="AG45" s="18">
        <f t="shared" si="13"/>
        <v>95830.133788845225</v>
      </c>
    </row>
    <row r="46" spans="1:33">
      <c r="A46" s="13"/>
      <c r="B46" s="440" t="s">
        <v>1</v>
      </c>
      <c r="C46" s="574">
        <f>XIRR(B45:AG45,B8:AG8)</f>
        <v>0.12728857398033142</v>
      </c>
    </row>
    <row r="47" spans="1:33">
      <c r="A47" s="56"/>
      <c r="B47" s="570" t="s">
        <v>555</v>
      </c>
      <c r="C47" s="572">
        <f>NPV(0.12,B45:AG45)</f>
        <v>10001.544523333403</v>
      </c>
    </row>
    <row r="48" spans="1:33">
      <c r="A48" s="43" t="str">
        <f>CONCATENATE("With ",Assumptions!H24*100,"% Initial Project Cost")</f>
        <v>With 10% Initial Project Cost</v>
      </c>
    </row>
    <row r="49" spans="1:33" s="18" customFormat="1">
      <c r="A49" s="56" t="s">
        <v>349</v>
      </c>
      <c r="B49" s="18">
        <f>-Assumptions!C11*Assumptions!G48</f>
        <v>-64055.301965480146</v>
      </c>
    </row>
    <row r="50" spans="1:33" s="18" customFormat="1">
      <c r="A50" s="56" t="s">
        <v>348</v>
      </c>
      <c r="B50" s="18">
        <f>+B21*Assumptions!$G$48</f>
        <v>0</v>
      </c>
      <c r="C50" s="18">
        <f>+C21*Assumptions!$G$48</f>
        <v>4874.9989261615347</v>
      </c>
      <c r="D50" s="18">
        <f>+D21*Assumptions!$G$48</f>
        <v>8403.1401948200855</v>
      </c>
      <c r="E50" s="18">
        <f>+E21*Assumptions!$G$48</f>
        <v>8361.3768456200833</v>
      </c>
      <c r="F50" s="18">
        <f>+F21*Assumptions!$G$48</f>
        <v>8318.7782294360859</v>
      </c>
      <c r="G50" s="18">
        <f>+G21*Assumptions!$G$48</f>
        <v>8275.3276409284026</v>
      </c>
      <c r="H50" s="18">
        <f>+H21*Assumptions!$G$48</f>
        <v>8231.0080406505713</v>
      </c>
      <c r="I50" s="18">
        <f>+I21*Assumptions!$G$48</f>
        <v>8185.8020483671808</v>
      </c>
      <c r="J50" s="18">
        <f>+J21*Assumptions!$G$48</f>
        <v>8139.6919362381213</v>
      </c>
      <c r="K50" s="18">
        <f>+K21*Assumptions!$G$48</f>
        <v>8092.6596218664836</v>
      </c>
      <c r="L50" s="18">
        <f>+L21*Assumptions!$G$48</f>
        <v>8044.68666120741</v>
      </c>
      <c r="M50" s="18">
        <f>+M21*Assumptions!$G$48</f>
        <v>7995.7542413351566</v>
      </c>
      <c r="N50" s="18">
        <f>+N21*Assumptions!$G$48</f>
        <v>7945.8431730654574</v>
      </c>
      <c r="O50" s="18">
        <f>+O21*Assumptions!$G$48</f>
        <v>7894.9338834303653</v>
      </c>
      <c r="P50" s="18">
        <f>+P21*Assumptions!$G$48</f>
        <v>7843.0064080025713</v>
      </c>
      <c r="Q50" s="18">
        <f>+Q21*Assumptions!$G$48</f>
        <v>7790.0403830662235</v>
      </c>
      <c r="R50" s="18">
        <f>+R21*Assumptions!$G$48</f>
        <v>7736.015037631144</v>
      </c>
      <c r="S50" s="18">
        <f>+S21*Assumptions!$G$48</f>
        <v>7680.9091852873662</v>
      </c>
      <c r="T50" s="18">
        <f>+T21*Assumptions!$G$48</f>
        <v>7624.70121589671</v>
      </c>
      <c r="U50" s="18">
        <f>+U21*Assumptions!$G$48</f>
        <v>2459.3556553295357</v>
      </c>
      <c r="V50" s="18">
        <f>+V21*Assumptions!$G$48</f>
        <v>2275.9469109976772</v>
      </c>
      <c r="W50" s="18">
        <f>+W21*Assumptions!$G$48</f>
        <v>2081.4670754267672</v>
      </c>
      <c r="X50" s="18">
        <f>+X21*Assumptions!$G$48</f>
        <v>13919.811482151948</v>
      </c>
      <c r="Y50" s="18">
        <f>+Y21*Assumptions!$G$48</f>
        <v>13700.919519385065</v>
      </c>
      <c r="Z50" s="18">
        <f>+Z21*Assumptions!$G$48</f>
        <v>13468.580826505726</v>
      </c>
      <c r="AA50" s="18">
        <f>+AA21*Assumptions!$G$48</f>
        <v>13221.891646551689</v>
      </c>
      <c r="AB50" s="18">
        <f>+AB21*Assumptions!$G$48</f>
        <v>12959.885709856262</v>
      </c>
      <c r="AC50" s="18">
        <f>+AC21*Assumptions!$G$48</f>
        <v>12681.529873164656</v>
      </c>
      <c r="AD50" s="18">
        <f>+AD21*Assumptions!$G$48</f>
        <v>12385.719453788588</v>
      </c>
      <c r="AE50" s="18">
        <f>+AE21*Assumptions!$G$48</f>
        <v>12071.273237457819</v>
      </c>
      <c r="AF50" s="18">
        <f>+AF21*Assumptions!$G$48</f>
        <v>11736.928137033561</v>
      </c>
      <c r="AG50" s="18">
        <f>+AG21*Assumptions!$G$48</f>
        <v>1328.171189245445</v>
      </c>
    </row>
    <row r="51" spans="1:33" s="18" customFormat="1">
      <c r="A51" s="56" t="s">
        <v>119</v>
      </c>
      <c r="B51" s="303">
        <v>0</v>
      </c>
      <c r="C51" s="303">
        <v>0</v>
      </c>
      <c r="D51" s="303">
        <v>0</v>
      </c>
      <c r="E51" s="303">
        <v>0</v>
      </c>
      <c r="F51" s="303">
        <v>0</v>
      </c>
      <c r="G51" s="303">
        <v>0</v>
      </c>
      <c r="H51" s="303">
        <v>0</v>
      </c>
      <c r="I51" s="303">
        <v>0</v>
      </c>
      <c r="J51" s="303">
        <v>0</v>
      </c>
      <c r="K51" s="303">
        <v>0</v>
      </c>
      <c r="L51" s="303">
        <v>0</v>
      </c>
      <c r="M51" s="303">
        <v>0</v>
      </c>
      <c r="N51" s="303">
        <v>0</v>
      </c>
      <c r="O51" s="303">
        <v>0</v>
      </c>
      <c r="P51" s="303">
        <v>0</v>
      </c>
      <c r="Q51" s="303">
        <v>0</v>
      </c>
      <c r="R51" s="303">
        <v>0</v>
      </c>
      <c r="S51" s="303">
        <v>0</v>
      </c>
      <c r="T51" s="303">
        <v>0</v>
      </c>
      <c r="U51" s="303">
        <v>0</v>
      </c>
      <c r="V51" s="303">
        <v>0</v>
      </c>
      <c r="W51" s="303">
        <v>0</v>
      </c>
      <c r="X51" s="303">
        <v>0</v>
      </c>
      <c r="Y51" s="303">
        <v>0</v>
      </c>
      <c r="Z51" s="303">
        <v>0</v>
      </c>
      <c r="AA51" s="303">
        <v>0</v>
      </c>
      <c r="AB51" s="303">
        <v>0</v>
      </c>
      <c r="AC51" s="303">
        <v>0</v>
      </c>
      <c r="AD51" s="303">
        <v>0</v>
      </c>
      <c r="AE51" s="303">
        <v>0</v>
      </c>
      <c r="AF51" s="303">
        <v>0</v>
      </c>
      <c r="AG51" s="303">
        <f>Assumptions!H24*Assumptions!C60*Assumptions!G48</f>
        <v>21351.767321826715</v>
      </c>
    </row>
    <row r="52" spans="1:33" s="18" customFormat="1">
      <c r="A52" s="56" t="s">
        <v>347</v>
      </c>
      <c r="B52" s="18">
        <f>SUM(B49:B51)</f>
        <v>-64055.301965480146</v>
      </c>
      <c r="C52" s="18">
        <f t="shared" ref="C52:AG52" si="14">SUM(C49:C51)</f>
        <v>4874.9989261615347</v>
      </c>
      <c r="D52" s="18">
        <f t="shared" si="14"/>
        <v>8403.1401948200855</v>
      </c>
      <c r="E52" s="18">
        <f t="shared" si="14"/>
        <v>8361.3768456200833</v>
      </c>
      <c r="F52" s="18">
        <f t="shared" si="14"/>
        <v>8318.7782294360859</v>
      </c>
      <c r="G52" s="18">
        <f t="shared" si="14"/>
        <v>8275.3276409284026</v>
      </c>
      <c r="H52" s="18">
        <f t="shared" si="14"/>
        <v>8231.0080406505713</v>
      </c>
      <c r="I52" s="18">
        <f t="shared" si="14"/>
        <v>8185.8020483671808</v>
      </c>
      <c r="J52" s="18">
        <f t="shared" si="14"/>
        <v>8139.6919362381213</v>
      </c>
      <c r="K52" s="18">
        <f t="shared" si="14"/>
        <v>8092.6596218664836</v>
      </c>
      <c r="L52" s="18">
        <f t="shared" si="14"/>
        <v>8044.68666120741</v>
      </c>
      <c r="M52" s="18">
        <f t="shared" si="14"/>
        <v>7995.7542413351566</v>
      </c>
      <c r="N52" s="18">
        <f t="shared" si="14"/>
        <v>7945.8431730654574</v>
      </c>
      <c r="O52" s="18">
        <f t="shared" si="14"/>
        <v>7894.9338834303653</v>
      </c>
      <c r="P52" s="18">
        <f t="shared" si="14"/>
        <v>7843.0064080025713</v>
      </c>
      <c r="Q52" s="18">
        <f t="shared" si="14"/>
        <v>7790.0403830662235</v>
      </c>
      <c r="R52" s="18">
        <f t="shared" si="14"/>
        <v>7736.015037631144</v>
      </c>
      <c r="S52" s="18">
        <f t="shared" si="14"/>
        <v>7680.9091852873662</v>
      </c>
      <c r="T52" s="18">
        <f t="shared" si="14"/>
        <v>7624.70121589671</v>
      </c>
      <c r="U52" s="18">
        <f t="shared" si="14"/>
        <v>2459.3556553295357</v>
      </c>
      <c r="V52" s="18">
        <f t="shared" si="14"/>
        <v>2275.9469109976772</v>
      </c>
      <c r="W52" s="18">
        <f t="shared" si="14"/>
        <v>2081.4670754267672</v>
      </c>
      <c r="X52" s="18">
        <f t="shared" si="14"/>
        <v>13919.811482151948</v>
      </c>
      <c r="Y52" s="18">
        <f t="shared" si="14"/>
        <v>13700.919519385065</v>
      </c>
      <c r="Z52" s="18">
        <f t="shared" si="14"/>
        <v>13468.580826505726</v>
      </c>
      <c r="AA52" s="18">
        <f t="shared" si="14"/>
        <v>13221.891646551689</v>
      </c>
      <c r="AB52" s="18">
        <f t="shared" si="14"/>
        <v>12959.885709856262</v>
      </c>
      <c r="AC52" s="18">
        <f t="shared" si="14"/>
        <v>12681.529873164656</v>
      </c>
      <c r="AD52" s="18">
        <f t="shared" si="14"/>
        <v>12385.719453788588</v>
      </c>
      <c r="AE52" s="18">
        <f t="shared" si="14"/>
        <v>12071.273237457819</v>
      </c>
      <c r="AF52" s="18">
        <f t="shared" si="14"/>
        <v>11736.928137033561</v>
      </c>
      <c r="AG52" s="18">
        <f t="shared" si="14"/>
        <v>22679.93851107216</v>
      </c>
    </row>
    <row r="53" spans="1:33">
      <c r="A53" s="13"/>
      <c r="B53" s="440" t="s">
        <v>1</v>
      </c>
      <c r="C53" s="574">
        <f>XIRR(B52:AG52,B8:AG8)</f>
        <v>0.11053778529167174</v>
      </c>
    </row>
    <row r="54" spans="1:33">
      <c r="A54" s="56"/>
      <c r="B54" s="570" t="s">
        <v>555</v>
      </c>
      <c r="C54" s="572">
        <f>NPV(0.12,B52:AG52)</f>
        <v>-1.9793690496174217E-11</v>
      </c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349</v>
      </c>
      <c r="B56" s="18">
        <f>-Assumptions!C11*Assumptions!G48</f>
        <v>-64055.301965480146</v>
      </c>
    </row>
    <row r="57" spans="1:33" s="18" customFormat="1">
      <c r="A57" s="56" t="s">
        <v>348</v>
      </c>
      <c r="B57" s="442">
        <f>B21*Assumptions!$G$48</f>
        <v>0</v>
      </c>
      <c r="C57" s="18">
        <f>C21*Assumptions!$G$48</f>
        <v>4874.9989261615347</v>
      </c>
      <c r="D57" s="18">
        <f>D21*Assumptions!$G$48</f>
        <v>8403.1401948200855</v>
      </c>
      <c r="E57" s="18">
        <f>E21*Assumptions!$G$48</f>
        <v>8361.3768456200833</v>
      </c>
      <c r="F57" s="18">
        <f>F21*Assumptions!$G$48</f>
        <v>8318.7782294360859</v>
      </c>
      <c r="G57" s="18">
        <f>G21*Assumptions!$G$48</f>
        <v>8275.3276409284026</v>
      </c>
      <c r="H57" s="18">
        <f>H21*Assumptions!$G$48</f>
        <v>8231.0080406505713</v>
      </c>
      <c r="I57" s="18">
        <f>I21*Assumptions!$G$48</f>
        <v>8185.8020483671808</v>
      </c>
      <c r="J57" s="18">
        <f>J21*Assumptions!$G$48</f>
        <v>8139.6919362381213</v>
      </c>
      <c r="K57" s="18">
        <f>K21*Assumptions!$G$48</f>
        <v>8092.6596218664836</v>
      </c>
      <c r="L57" s="18">
        <f>L21*Assumptions!$G$48</f>
        <v>8044.68666120741</v>
      </c>
      <c r="M57" s="18">
        <f>M21*Assumptions!$G$48</f>
        <v>7995.7542413351566</v>
      </c>
      <c r="N57" s="18">
        <f>N21*Assumptions!$G$48</f>
        <v>7945.8431730654574</v>
      </c>
      <c r="O57" s="18">
        <f>O21*Assumptions!$G$48</f>
        <v>7894.9338834303653</v>
      </c>
      <c r="P57" s="18">
        <f>P21*Assumptions!$G$48</f>
        <v>7843.0064080025713</v>
      </c>
      <c r="Q57" s="18">
        <f>Q21*Assumptions!$G$48</f>
        <v>7790.0403830662235</v>
      </c>
      <c r="R57" s="18">
        <f>R21*Assumptions!$G$48</f>
        <v>7736.015037631144</v>
      </c>
      <c r="S57" s="18">
        <f>S21*Assumptions!$G$48</f>
        <v>7680.9091852873662</v>
      </c>
      <c r="T57" s="18">
        <f>T21*Assumptions!$G$48</f>
        <v>7624.70121589671</v>
      </c>
      <c r="U57" s="18">
        <f>U21*Assumptions!$G$48</f>
        <v>2459.3556553295357</v>
      </c>
      <c r="V57" s="18">
        <f>V21*Assumptions!$G$48</f>
        <v>2275.9469109976772</v>
      </c>
      <c r="W57" s="18">
        <f>W21*Assumptions!$G$48</f>
        <v>2081.4670754267672</v>
      </c>
      <c r="X57" s="18">
        <f>X21*Assumptions!$G$48</f>
        <v>13919.811482151948</v>
      </c>
      <c r="Y57" s="18">
        <f>Y21*Assumptions!$G$48</f>
        <v>13700.919519385065</v>
      </c>
      <c r="Z57" s="18">
        <f>Z21*Assumptions!$G$48</f>
        <v>13468.580826505726</v>
      </c>
      <c r="AA57" s="18">
        <f>AA21*Assumptions!$G$48</f>
        <v>13221.891646551689</v>
      </c>
      <c r="AB57" s="18">
        <f>AB21*Assumptions!$G$48</f>
        <v>12959.885709856262</v>
      </c>
      <c r="AC57" s="18">
        <f>AC21*Assumptions!$G$48</f>
        <v>12681.529873164656</v>
      </c>
      <c r="AD57" s="18">
        <f>AD21*Assumptions!$G$48</f>
        <v>12385.719453788588</v>
      </c>
      <c r="AE57" s="18">
        <f>AE21*Assumptions!$G$48</f>
        <v>12071.273237457819</v>
      </c>
      <c r="AF57" s="18">
        <f>AF21*Assumptions!$G$48</f>
        <v>11736.928137033561</v>
      </c>
      <c r="AG57" s="18">
        <f>AG21*Assumptions!$G$48</f>
        <v>1328.171189245445</v>
      </c>
    </row>
    <row r="58" spans="1:33" s="18" customFormat="1">
      <c r="A58" s="56" t="s">
        <v>119</v>
      </c>
      <c r="B58" s="303">
        <v>0</v>
      </c>
      <c r="C58" s="303">
        <v>0</v>
      </c>
      <c r="D58" s="303">
        <v>0</v>
      </c>
      <c r="E58" s="303">
        <v>0</v>
      </c>
      <c r="F58" s="303">
        <v>0</v>
      </c>
      <c r="G58" s="303">
        <v>0</v>
      </c>
      <c r="H58" s="303">
        <v>0</v>
      </c>
      <c r="I58" s="303">
        <v>0</v>
      </c>
      <c r="J58" s="303">
        <v>0</v>
      </c>
      <c r="K58" s="303">
        <v>0</v>
      </c>
      <c r="L58" s="303">
        <v>0</v>
      </c>
      <c r="M58" s="303">
        <v>0</v>
      </c>
      <c r="N58" s="303">
        <v>0</v>
      </c>
      <c r="O58" s="303">
        <v>0</v>
      </c>
      <c r="P58" s="303">
        <v>0</v>
      </c>
      <c r="Q58" s="303">
        <v>0</v>
      </c>
      <c r="R58" s="303">
        <v>0</v>
      </c>
      <c r="S58" s="303">
        <v>0</v>
      </c>
      <c r="T58" s="303">
        <v>0</v>
      </c>
      <c r="U58" s="303">
        <v>0</v>
      </c>
      <c r="V58" s="303">
        <v>0</v>
      </c>
      <c r="W58" s="303">
        <f>AG58</f>
        <v>69600</v>
      </c>
      <c r="X58" s="303">
        <v>0</v>
      </c>
      <c r="Y58" s="303">
        <v>0</v>
      </c>
      <c r="Z58" s="303">
        <v>0</v>
      </c>
      <c r="AA58" s="303">
        <v>0</v>
      </c>
      <c r="AB58" s="303">
        <v>0</v>
      </c>
      <c r="AC58" s="303">
        <v>0</v>
      </c>
      <c r="AD58" s="303">
        <v>0</v>
      </c>
      <c r="AE58" s="303">
        <v>0</v>
      </c>
      <c r="AF58" s="303">
        <v>0</v>
      </c>
      <c r="AG58" s="303">
        <f>Assumptions!H25*Assumptions!H68*Assumptions!G48</f>
        <v>69600</v>
      </c>
    </row>
    <row r="59" spans="1:33" s="18" customFormat="1" ht="12" customHeight="1">
      <c r="A59" s="56" t="s">
        <v>347</v>
      </c>
      <c r="B59" s="18">
        <f>SUM(B56:B58)</f>
        <v>-64055.301965480146</v>
      </c>
      <c r="C59" s="18">
        <f t="shared" ref="C59:AG59" si="15">SUM(C56:C58)</f>
        <v>4874.9989261615347</v>
      </c>
      <c r="D59" s="18">
        <f t="shared" si="15"/>
        <v>8403.1401948200855</v>
      </c>
      <c r="E59" s="18">
        <f t="shared" si="15"/>
        <v>8361.3768456200833</v>
      </c>
      <c r="F59" s="18">
        <f t="shared" si="15"/>
        <v>8318.7782294360859</v>
      </c>
      <c r="G59" s="18">
        <f t="shared" si="15"/>
        <v>8275.3276409284026</v>
      </c>
      <c r="H59" s="18">
        <f t="shared" si="15"/>
        <v>8231.0080406505713</v>
      </c>
      <c r="I59" s="18">
        <f t="shared" si="15"/>
        <v>8185.8020483671808</v>
      </c>
      <c r="J59" s="18">
        <f t="shared" si="15"/>
        <v>8139.6919362381213</v>
      </c>
      <c r="K59" s="18">
        <f t="shared" si="15"/>
        <v>8092.6596218664836</v>
      </c>
      <c r="L59" s="18">
        <f t="shared" si="15"/>
        <v>8044.68666120741</v>
      </c>
      <c r="M59" s="18">
        <f t="shared" si="15"/>
        <v>7995.7542413351566</v>
      </c>
      <c r="N59" s="18">
        <f t="shared" si="15"/>
        <v>7945.8431730654574</v>
      </c>
      <c r="O59" s="18">
        <f t="shared" si="15"/>
        <v>7894.9338834303653</v>
      </c>
      <c r="P59" s="18">
        <f t="shared" si="15"/>
        <v>7843.0064080025713</v>
      </c>
      <c r="Q59" s="18">
        <f t="shared" si="15"/>
        <v>7790.0403830662235</v>
      </c>
      <c r="R59" s="18">
        <f t="shared" si="15"/>
        <v>7736.015037631144</v>
      </c>
      <c r="S59" s="18">
        <f t="shared" si="15"/>
        <v>7680.9091852873662</v>
      </c>
      <c r="T59" s="18">
        <f t="shared" si="15"/>
        <v>7624.70121589671</v>
      </c>
      <c r="U59" s="18">
        <f t="shared" si="15"/>
        <v>2459.3556553295357</v>
      </c>
      <c r="V59" s="18">
        <f t="shared" si="15"/>
        <v>2275.9469109976772</v>
      </c>
      <c r="W59" s="18">
        <f t="shared" si="15"/>
        <v>71681.467075426772</v>
      </c>
      <c r="X59" s="18">
        <f t="shared" si="15"/>
        <v>13919.811482151948</v>
      </c>
      <c r="Y59" s="18">
        <f t="shared" si="15"/>
        <v>13700.919519385065</v>
      </c>
      <c r="Z59" s="18">
        <f t="shared" si="15"/>
        <v>13468.580826505726</v>
      </c>
      <c r="AA59" s="18">
        <f t="shared" si="15"/>
        <v>13221.891646551689</v>
      </c>
      <c r="AB59" s="18">
        <f t="shared" si="15"/>
        <v>12959.885709856262</v>
      </c>
      <c r="AC59" s="18">
        <f t="shared" si="15"/>
        <v>12681.529873164656</v>
      </c>
      <c r="AD59" s="18">
        <f t="shared" si="15"/>
        <v>12385.719453788588</v>
      </c>
      <c r="AE59" s="18">
        <f t="shared" si="15"/>
        <v>12071.273237457819</v>
      </c>
      <c r="AF59" s="18">
        <f t="shared" si="15"/>
        <v>11736.928137033561</v>
      </c>
      <c r="AG59" s="18">
        <f t="shared" si="15"/>
        <v>70928.171189245448</v>
      </c>
    </row>
    <row r="60" spans="1:33">
      <c r="A60" s="13"/>
      <c r="B60" s="440" t="s">
        <v>1</v>
      </c>
      <c r="C60" s="574">
        <f>XIRR(B59:AG59,B8:AG8)</f>
        <v>0.12304224371910097</v>
      </c>
    </row>
    <row r="61" spans="1:33">
      <c r="A61" s="56"/>
      <c r="B61" s="570" t="s">
        <v>555</v>
      </c>
      <c r="C61" s="572">
        <f>NPV(0.12,B59:AG59)</f>
        <v>7035.7403438205056</v>
      </c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5" zoomScale="75" zoomScaleNormal="75" workbookViewId="0">
      <selection activeCell="J44" sqref="J44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7" t="str">
        <f>Assumptions!A3</f>
        <v>PROJECT NAME: Homestead, Florida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10" t="s">
        <v>398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5" thickBot="1">
      <c r="A7" s="122" t="s">
        <v>38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88"/>
      <c r="B8" s="387">
        <f>IS!C8</f>
        <v>37256</v>
      </c>
      <c r="C8" s="387">
        <f>IS!D8</f>
        <v>37621</v>
      </c>
      <c r="D8" s="387">
        <f>IS!E8</f>
        <v>37986</v>
      </c>
      <c r="E8" s="387">
        <f>IS!F8</f>
        <v>38352</v>
      </c>
      <c r="F8" s="387">
        <f>IS!G8</f>
        <v>38717</v>
      </c>
      <c r="G8" s="387">
        <f>IS!H8</f>
        <v>39082</v>
      </c>
      <c r="H8" s="387">
        <f>IS!I8</f>
        <v>39447</v>
      </c>
      <c r="I8" s="387">
        <f>IS!J8</f>
        <v>39813</v>
      </c>
      <c r="J8" s="387">
        <f>IS!K8</f>
        <v>40178</v>
      </c>
      <c r="K8" s="387">
        <f>IS!L8</f>
        <v>40543</v>
      </c>
      <c r="L8" s="387">
        <f>IS!M8</f>
        <v>40908</v>
      </c>
      <c r="M8" s="387">
        <f>IS!N8</f>
        <v>41274</v>
      </c>
      <c r="N8" s="387">
        <f>IS!O8</f>
        <v>41639</v>
      </c>
      <c r="O8" s="387">
        <f>IS!P8</f>
        <v>42004</v>
      </c>
      <c r="P8" s="387">
        <f>IS!Q8</f>
        <v>42369</v>
      </c>
      <c r="Q8" s="387">
        <f>IS!R8</f>
        <v>42735</v>
      </c>
      <c r="R8" s="387">
        <f>IS!S8</f>
        <v>43100</v>
      </c>
      <c r="S8" s="387">
        <f>IS!T8</f>
        <v>43465</v>
      </c>
      <c r="T8" s="387">
        <f>IS!U8</f>
        <v>43830</v>
      </c>
      <c r="U8" s="387">
        <f>IS!V8</f>
        <v>44196</v>
      </c>
      <c r="V8" s="387">
        <f>IS!W8</f>
        <v>44561</v>
      </c>
      <c r="W8" s="387">
        <f>IS!X8</f>
        <v>44926</v>
      </c>
      <c r="X8" s="387">
        <f>IS!Y8</f>
        <v>45291</v>
      </c>
      <c r="Y8" s="387">
        <f>IS!Z8</f>
        <v>45657</v>
      </c>
      <c r="Z8" s="387">
        <f>IS!AA8</f>
        <v>46022</v>
      </c>
      <c r="AA8" s="387">
        <f>IS!AB8</f>
        <v>46387</v>
      </c>
      <c r="AB8" s="387">
        <f>IS!AC8</f>
        <v>46752</v>
      </c>
      <c r="AC8" s="387">
        <f>IS!AD8</f>
        <v>47118</v>
      </c>
      <c r="AD8" s="387">
        <f>IS!AE8</f>
        <v>47483</v>
      </c>
      <c r="AE8" s="387">
        <f>IS!AF8</f>
        <v>47848</v>
      </c>
      <c r="AF8" s="387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1" t="s">
        <v>380</v>
      </c>
      <c r="B11" s="382">
        <f>B29+B38</f>
        <v>7875.9350524235924</v>
      </c>
      <c r="C11" s="382">
        <f t="shared" ref="C11:AF11" si="1">C29+C38</f>
        <v>20034.216362894604</v>
      </c>
      <c r="D11" s="382">
        <f t="shared" si="1"/>
        <v>20416.424037390985</v>
      </c>
      <c r="E11" s="382">
        <f t="shared" si="1"/>
        <v>20387.904993048913</v>
      </c>
      <c r="F11" s="382">
        <f t="shared" si="1"/>
        <v>20316.924159686263</v>
      </c>
      <c r="G11" s="382">
        <f t="shared" si="1"/>
        <v>20286.69254433403</v>
      </c>
      <c r="H11" s="382">
        <f t="shared" si="1"/>
        <v>20241.707542934215</v>
      </c>
      <c r="I11" s="382">
        <f t="shared" si="1"/>
        <v>20209.57217714165</v>
      </c>
      <c r="J11" s="382">
        <f t="shared" si="1"/>
        <v>20135.271110414793</v>
      </c>
      <c r="K11" s="382">
        <f t="shared" si="1"/>
        <v>20101.282002684547</v>
      </c>
      <c r="L11" s="382">
        <f t="shared" si="1"/>
        <v>20052.588790451744</v>
      </c>
      <c r="M11" s="382">
        <f t="shared" si="1"/>
        <v>20016.539002020276</v>
      </c>
      <c r="N11" s="382">
        <f t="shared" si="1"/>
        <v>19938.644007921284</v>
      </c>
      <c r="O11" s="382">
        <f t="shared" si="1"/>
        <v>19900.587669600129</v>
      </c>
      <c r="P11" s="455">
        <f t="shared" si="1"/>
        <v>19847.880570705638</v>
      </c>
      <c r="Q11" s="382">
        <f t="shared" si="1"/>
        <v>19807.593685321986</v>
      </c>
      <c r="R11" s="382">
        <f t="shared" si="1"/>
        <v>19725.8085086547</v>
      </c>
      <c r="S11" s="382">
        <f t="shared" si="1"/>
        <v>19683.349669139803</v>
      </c>
      <c r="T11" s="382">
        <f t="shared" si="1"/>
        <v>19626.297810236108</v>
      </c>
      <c r="U11" s="382">
        <f t="shared" si="1"/>
        <v>19581.424554846373</v>
      </c>
      <c r="V11" s="382">
        <f t="shared" si="1"/>
        <v>19495.428519458892</v>
      </c>
      <c r="W11" s="382">
        <f t="shared" si="1"/>
        <v>19448.20427106745</v>
      </c>
      <c r="X11" s="382">
        <f t="shared" si="1"/>
        <v>19386.449504202305</v>
      </c>
      <c r="Y11" s="382">
        <f t="shared" si="1"/>
        <v>19336.611814420332</v>
      </c>
      <c r="Z11" s="382">
        <f t="shared" si="1"/>
        <v>19246.057810132887</v>
      </c>
      <c r="AA11" s="382">
        <f t="shared" si="1"/>
        <v>19193.675329917933</v>
      </c>
      <c r="AB11" s="382">
        <f t="shared" si="1"/>
        <v>19126.8299842298</v>
      </c>
      <c r="AC11" s="382">
        <f t="shared" si="1"/>
        <v>19071.618631005455</v>
      </c>
      <c r="AD11" s="382">
        <f t="shared" si="1"/>
        <v>18976.130934596415</v>
      </c>
      <c r="AE11" s="382">
        <f t="shared" si="1"/>
        <v>18918.165018366952</v>
      </c>
      <c r="AF11" s="455">
        <f t="shared" si="1"/>
        <v>6909.2927536586294</v>
      </c>
      <c r="AG11"/>
      <c r="AN11" s="515">
        <f>IF(MONTH(C23)=MONTH(Assumptions!G34),1,2)</f>
        <v>1</v>
      </c>
    </row>
    <row r="12" spans="1:40">
      <c r="A12" s="383" t="s">
        <v>0</v>
      </c>
      <c r="B12" s="379">
        <v>1.3</v>
      </c>
      <c r="C12" s="379">
        <v>1.3</v>
      </c>
      <c r="D12" s="379">
        <v>1.3</v>
      </c>
      <c r="E12" s="379">
        <v>1.3</v>
      </c>
      <c r="F12" s="379">
        <v>1.3</v>
      </c>
      <c r="G12" s="379">
        <v>1.3</v>
      </c>
      <c r="H12" s="379">
        <v>1.3</v>
      </c>
      <c r="I12" s="379">
        <v>1.3</v>
      </c>
      <c r="J12" s="379">
        <v>1.3</v>
      </c>
      <c r="K12" s="379">
        <v>1.3</v>
      </c>
      <c r="L12" s="379">
        <v>1.3</v>
      </c>
      <c r="M12" s="379">
        <v>1.3</v>
      </c>
      <c r="N12" s="379">
        <v>1.3</v>
      </c>
      <c r="O12" s="379">
        <v>1.3</v>
      </c>
      <c r="P12" s="379">
        <v>1.3</v>
      </c>
      <c r="Q12" s="379">
        <v>1.3</v>
      </c>
      <c r="R12" s="379">
        <v>1.3</v>
      </c>
      <c r="S12" s="379">
        <v>1.3</v>
      </c>
      <c r="T12" s="379">
        <v>1.3</v>
      </c>
      <c r="U12" s="379">
        <v>1.3</v>
      </c>
      <c r="V12" s="379">
        <v>1.3</v>
      </c>
      <c r="W12" s="379">
        <v>1.3</v>
      </c>
      <c r="X12" s="379">
        <v>1.3</v>
      </c>
      <c r="Y12" s="379">
        <v>1.3</v>
      </c>
      <c r="Z12" s="379">
        <v>1.3</v>
      </c>
      <c r="AA12" s="379">
        <v>1.3</v>
      </c>
      <c r="AB12" s="379">
        <v>1.3</v>
      </c>
      <c r="AC12" s="379">
        <v>1.3</v>
      </c>
      <c r="AD12" s="379">
        <v>1.3</v>
      </c>
      <c r="AE12" s="379">
        <v>1.3</v>
      </c>
      <c r="AF12" s="379">
        <v>1.3</v>
      </c>
      <c r="AG12"/>
      <c r="AN12" s="515">
        <f>IF(AN11=1,6,15)</f>
        <v>6</v>
      </c>
    </row>
    <row r="13" spans="1:40">
      <c r="A13" s="384" t="s">
        <v>316</v>
      </c>
      <c r="B13" s="300">
        <f>B11/B12</f>
        <v>6058.4115787873789</v>
      </c>
      <c r="C13" s="300">
        <f t="shared" ref="C13:AF13" si="2">C11/C12</f>
        <v>15410.93566376508</v>
      </c>
      <c r="D13" s="300">
        <f t="shared" si="2"/>
        <v>15704.941567223834</v>
      </c>
      <c r="E13" s="300">
        <f t="shared" si="2"/>
        <v>15683.003840806856</v>
      </c>
      <c r="F13" s="300">
        <f t="shared" si="2"/>
        <v>15628.403199758663</v>
      </c>
      <c r="G13" s="300">
        <f t="shared" si="2"/>
        <v>15605.148111026176</v>
      </c>
      <c r="H13" s="300">
        <f t="shared" si="2"/>
        <v>15570.544263795549</v>
      </c>
      <c r="I13" s="300">
        <f t="shared" si="2"/>
        <v>15545.824751647422</v>
      </c>
      <c r="J13" s="300">
        <f t="shared" si="2"/>
        <v>15488.670084934456</v>
      </c>
      <c r="K13" s="300">
        <f t="shared" si="2"/>
        <v>15462.524617449651</v>
      </c>
      <c r="L13" s="300">
        <f t="shared" si="2"/>
        <v>15425.068300347495</v>
      </c>
      <c r="M13" s="300">
        <f t="shared" si="2"/>
        <v>15397.337693861749</v>
      </c>
      <c r="N13" s="300">
        <f t="shared" si="2"/>
        <v>15337.418467631756</v>
      </c>
      <c r="O13" s="300">
        <f t="shared" si="2"/>
        <v>15308.144361230869</v>
      </c>
      <c r="P13" s="385">
        <f t="shared" si="2"/>
        <v>15267.600439004336</v>
      </c>
      <c r="Q13" s="300">
        <f t="shared" si="2"/>
        <v>15236.610527170758</v>
      </c>
      <c r="R13" s="300">
        <f t="shared" si="2"/>
        <v>15173.698852811307</v>
      </c>
      <c r="S13" s="300">
        <f t="shared" si="2"/>
        <v>15141.038207030617</v>
      </c>
      <c r="T13" s="300">
        <f t="shared" si="2"/>
        <v>15097.152161720083</v>
      </c>
      <c r="U13" s="300">
        <f t="shared" si="2"/>
        <v>15062.634272958749</v>
      </c>
      <c r="V13" s="300">
        <f t="shared" si="2"/>
        <v>14996.483476506839</v>
      </c>
      <c r="W13" s="300">
        <f t="shared" si="2"/>
        <v>14960.157131590346</v>
      </c>
      <c r="X13" s="300">
        <f t="shared" si="2"/>
        <v>14912.653464771003</v>
      </c>
      <c r="Y13" s="300">
        <f t="shared" si="2"/>
        <v>14874.316780323332</v>
      </c>
      <c r="Z13" s="300">
        <f t="shared" si="2"/>
        <v>14804.659853948373</v>
      </c>
      <c r="AA13" s="300">
        <f t="shared" si="2"/>
        <v>14764.365638398409</v>
      </c>
      <c r="AB13" s="300">
        <f t="shared" si="2"/>
        <v>14712.946141715231</v>
      </c>
      <c r="AC13" s="300">
        <f t="shared" si="2"/>
        <v>14670.475870004195</v>
      </c>
      <c r="AD13" s="300">
        <f t="shared" si="2"/>
        <v>14597.023795843395</v>
      </c>
      <c r="AE13" s="300">
        <f t="shared" si="2"/>
        <v>14552.43462951304</v>
      </c>
      <c r="AF13" s="385">
        <f t="shared" si="2"/>
        <v>5314.8405797374071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17"/>
      <c r="AG17"/>
    </row>
    <row r="18" spans="1:33">
      <c r="A18" s="53"/>
      <c r="B18" s="222"/>
      <c r="AG18"/>
    </row>
    <row r="19" spans="1:33">
      <c r="A19" s="11" t="s">
        <v>339</v>
      </c>
      <c r="B19" s="391">
        <v>84092.230613083506</v>
      </c>
      <c r="S19" s="18"/>
      <c r="AF19" s="65"/>
      <c r="AG19"/>
    </row>
    <row r="20" spans="1:33">
      <c r="A20" s="11" t="s">
        <v>338</v>
      </c>
      <c r="B20" s="396">
        <f>HLOOKUP(Assumptions!G34,B23:AF39,AN12)</f>
        <v>0</v>
      </c>
      <c r="AF20" s="517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6">
        <v>36982</v>
      </c>
      <c r="C23" s="386">
        <v>37347</v>
      </c>
      <c r="D23" s="386">
        <v>37712</v>
      </c>
      <c r="E23" s="386">
        <v>38078</v>
      </c>
      <c r="F23" s="386">
        <v>38443</v>
      </c>
      <c r="G23" s="386">
        <v>38808</v>
      </c>
      <c r="H23" s="386">
        <v>39173</v>
      </c>
      <c r="I23" s="386">
        <v>39539</v>
      </c>
      <c r="J23" s="386">
        <v>39904</v>
      </c>
      <c r="K23" s="386">
        <v>40269</v>
      </c>
      <c r="L23" s="386">
        <v>40634</v>
      </c>
      <c r="M23" s="386">
        <v>41000</v>
      </c>
      <c r="N23" s="386">
        <v>41365</v>
      </c>
      <c r="O23" s="386">
        <v>41730</v>
      </c>
      <c r="P23" s="386">
        <v>42095</v>
      </c>
      <c r="Q23" s="386">
        <v>42461</v>
      </c>
      <c r="R23" s="386">
        <v>42826</v>
      </c>
      <c r="S23" s="386">
        <v>43191</v>
      </c>
      <c r="T23" s="386">
        <v>43556</v>
      </c>
      <c r="U23" s="386">
        <v>43922</v>
      </c>
      <c r="V23" s="386">
        <v>44287</v>
      </c>
      <c r="W23" s="386">
        <v>44652</v>
      </c>
      <c r="X23" s="386">
        <v>45017</v>
      </c>
      <c r="Y23" s="386">
        <v>45383</v>
      </c>
      <c r="Z23" s="386">
        <v>45748</v>
      </c>
      <c r="AA23" s="386">
        <v>46113</v>
      </c>
      <c r="AB23" s="386">
        <v>46478</v>
      </c>
      <c r="AC23" s="386">
        <v>46844</v>
      </c>
      <c r="AD23" s="386">
        <v>47209</v>
      </c>
      <c r="AE23" s="386">
        <v>47574</v>
      </c>
      <c r="AF23" s="386">
        <v>47939</v>
      </c>
      <c r="AG23" s="518">
        <v>47969</v>
      </c>
    </row>
    <row r="24" spans="1:33">
      <c r="A24" s="48" t="s">
        <v>54</v>
      </c>
      <c r="B24"/>
      <c r="C24" s="48">
        <f>B45</f>
        <v>147786.55240806492</v>
      </c>
      <c r="D24" s="48">
        <f t="shared" ref="D24:AF24" si="3">C45</f>
        <v>142629.45501766322</v>
      </c>
      <c r="E24" s="48">
        <f t="shared" si="3"/>
        <v>136807.7056185219</v>
      </c>
      <c r="F24" s="48">
        <f t="shared" si="3"/>
        <v>130601.12979378093</v>
      </c>
      <c r="G24" s="48">
        <f t="shared" si="3"/>
        <v>123994.09845964404</v>
      </c>
      <c r="H24" s="48">
        <f t="shared" si="3"/>
        <v>116946.59058730821</v>
      </c>
      <c r="I24" s="48">
        <f t="shared" si="3"/>
        <v>109432.33510521261</v>
      </c>
      <c r="J24" s="48">
        <f t="shared" si="3"/>
        <v>101414.17720625101</v>
      </c>
      <c r="K24" s="48">
        <f t="shared" si="3"/>
        <v>92871.931157810075</v>
      </c>
      <c r="L24" s="48">
        <f t="shared" si="3"/>
        <v>83752.873448395374</v>
      </c>
      <c r="M24" s="48">
        <f t="shared" si="3"/>
        <v>74022.424535979342</v>
      </c>
      <c r="N24" s="48">
        <f t="shared" si="3"/>
        <v>63631.533783788764</v>
      </c>
      <c r="O24" s="48">
        <f t="shared" si="3"/>
        <v>52553.989903778478</v>
      </c>
      <c r="P24" s="48">
        <f t="shared" si="3"/>
        <v>40720.376511763374</v>
      </c>
      <c r="Q24" s="48">
        <f t="shared" si="3"/>
        <v>28085.169499463896</v>
      </c>
      <c r="R24" s="48">
        <f t="shared" si="3"/>
        <v>14583.670548383125</v>
      </c>
      <c r="S24" s="48">
        <f t="shared" si="3"/>
        <v>181.70645847805554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0</v>
      </c>
      <c r="AB24" s="48">
        <f t="shared" si="3"/>
        <v>0</v>
      </c>
      <c r="AC24" s="48">
        <f t="shared" si="3"/>
        <v>0</v>
      </c>
      <c r="AD24" s="48">
        <f t="shared" si="3"/>
        <v>0</v>
      </c>
      <c r="AE24" s="48">
        <f t="shared" si="3"/>
        <v>0</v>
      </c>
      <c r="AF24" s="48">
        <f t="shared" si="3"/>
        <v>0</v>
      </c>
      <c r="AG24"/>
    </row>
    <row r="25" spans="1:33">
      <c r="A25" s="48" t="s">
        <v>317</v>
      </c>
      <c r="B25"/>
      <c r="C25" s="377">
        <v>0</v>
      </c>
      <c r="D25" s="377">
        <v>0</v>
      </c>
      <c r="E25" s="377">
        <v>0</v>
      </c>
      <c r="F25" s="377">
        <v>0</v>
      </c>
      <c r="G25" s="377">
        <v>0</v>
      </c>
      <c r="H25" s="377">
        <v>0</v>
      </c>
      <c r="I25" s="377">
        <v>0</v>
      </c>
      <c r="J25" s="377">
        <v>0</v>
      </c>
      <c r="K25" s="377">
        <v>0</v>
      </c>
      <c r="L25" s="377">
        <v>0</v>
      </c>
      <c r="M25" s="377">
        <v>0</v>
      </c>
      <c r="N25" s="377">
        <v>0</v>
      </c>
      <c r="O25" s="377">
        <v>0</v>
      </c>
      <c r="P25" s="377">
        <v>0</v>
      </c>
      <c r="Q25" s="377">
        <v>0</v>
      </c>
      <c r="R25" s="377">
        <v>0</v>
      </c>
      <c r="S25" s="377">
        <v>0</v>
      </c>
      <c r="T25" s="377">
        <v>0</v>
      </c>
      <c r="U25" s="377">
        <v>0</v>
      </c>
      <c r="V25" s="377">
        <v>0</v>
      </c>
      <c r="W25" s="377">
        <v>0</v>
      </c>
      <c r="X25" s="377">
        <v>0</v>
      </c>
      <c r="Y25" s="377">
        <v>0</v>
      </c>
      <c r="Z25" s="377">
        <v>0</v>
      </c>
      <c r="AA25" s="377">
        <v>0</v>
      </c>
      <c r="AB25" s="377">
        <v>0</v>
      </c>
      <c r="AC25" s="377">
        <v>0</v>
      </c>
      <c r="AD25" s="377">
        <v>0</v>
      </c>
      <c r="AE25" s="377">
        <v>0</v>
      </c>
      <c r="AF25" s="377">
        <v>0</v>
      </c>
      <c r="AG25"/>
    </row>
    <row r="26" spans="1:33">
      <c r="A26" s="48" t="s">
        <v>55</v>
      </c>
      <c r="B26"/>
      <c r="C26" s="48">
        <f t="shared" ref="C26:AF26" si="4">C24-C28</f>
        <v>2548.8751626659068</v>
      </c>
      <c r="D26" s="48">
        <f t="shared" si="4"/>
        <v>2874.1166550501657</v>
      </c>
      <c r="E26" s="48">
        <f t="shared" si="4"/>
        <v>3046.7087932229915</v>
      </c>
      <c r="F26" s="48">
        <f t="shared" si="4"/>
        <v>3261.9129341794614</v>
      </c>
      <c r="G26" s="48">
        <f t="shared" si="4"/>
        <v>3474.6704544833192</v>
      </c>
      <c r="H26" s="48">
        <f t="shared" si="4"/>
        <v>3703.3555179736577</v>
      </c>
      <c r="I26" s="48">
        <f t="shared" si="4"/>
        <v>3937.5625621452346</v>
      </c>
      <c r="J26" s="48">
        <f t="shared" si="4"/>
        <v>4209.3992408683698</v>
      </c>
      <c r="K26" s="48">
        <f t="shared" si="4"/>
        <v>4489.6502458467294</v>
      </c>
      <c r="L26" s="48">
        <f t="shared" si="4"/>
        <v>4789.2146769338578</v>
      </c>
      <c r="M26" s="48">
        <f t="shared" si="4"/>
        <v>5104.3543613709917</v>
      </c>
      <c r="N26" s="48">
        <f t="shared" si="4"/>
        <v>5450.7413610843869</v>
      </c>
      <c r="O26" s="48">
        <f t="shared" si="4"/>
        <v>5819.7219576725911</v>
      </c>
      <c r="P26" s="48">
        <f t="shared" si="4"/>
        <v>6212.4917352285702</v>
      </c>
      <c r="Q26" s="48">
        <f t="shared" si="4"/>
        <v>6633.9851400740372</v>
      </c>
      <c r="R26" s="48">
        <f t="shared" si="4"/>
        <v>7078.5147875971379</v>
      </c>
      <c r="S26" s="48">
        <f t="shared" si="4"/>
        <v>181.70645847805554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0</v>
      </c>
      <c r="Y26" s="48">
        <f t="shared" si="4"/>
        <v>0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0</v>
      </c>
      <c r="AD26" s="48">
        <f t="shared" si="4"/>
        <v>0</v>
      </c>
      <c r="AE26" s="48">
        <f t="shared" si="4"/>
        <v>0</v>
      </c>
      <c r="AF26" s="48">
        <f t="shared" si="4"/>
        <v>0</v>
      </c>
      <c r="AG26"/>
    </row>
    <row r="27" spans="1:33">
      <c r="A27" s="48" t="s">
        <v>56</v>
      </c>
      <c r="B27"/>
      <c r="C27" s="380">
        <f t="shared" ref="C27:AF27" si="5">C24*(C23-B41)/(C41-B41)*$E$64</f>
        <v>2579.1790105188311</v>
      </c>
      <c r="D27" s="380">
        <f t="shared" si="5"/>
        <v>2489.1770642808615</v>
      </c>
      <c r="E27" s="380">
        <f t="shared" si="5"/>
        <v>2407.2175524133359</v>
      </c>
      <c r="F27" s="380">
        <f t="shared" si="5"/>
        <v>2279.2580733873547</v>
      </c>
      <c r="G27" s="380">
        <f t="shared" si="5"/>
        <v>2163.9518005148834</v>
      </c>
      <c r="H27" s="380">
        <f t="shared" si="5"/>
        <v>2040.9583069620635</v>
      </c>
      <c r="I27" s="380">
        <f t="shared" si="5"/>
        <v>1925.5307051299703</v>
      </c>
      <c r="J27" s="380">
        <f t="shared" si="5"/>
        <v>1769.8857775447093</v>
      </c>
      <c r="K27" s="380">
        <f t="shared" si="5"/>
        <v>1620.8060314390416</v>
      </c>
      <c r="L27" s="380">
        <f t="shared" si="5"/>
        <v>1461.6597366199412</v>
      </c>
      <c r="M27" s="380">
        <f t="shared" si="5"/>
        <v>1302.4710765347186</v>
      </c>
      <c r="N27" s="380">
        <f t="shared" si="5"/>
        <v>1110.5010142540668</v>
      </c>
      <c r="O27" s="380">
        <f t="shared" si="5"/>
        <v>917.17511147142159</v>
      </c>
      <c r="P27" s="380">
        <f t="shared" si="5"/>
        <v>710.65424213680171</v>
      </c>
      <c r="Q27" s="380">
        <f t="shared" si="5"/>
        <v>494.17620649329916</v>
      </c>
      <c r="R27" s="380">
        <f t="shared" si="5"/>
        <v>254.51501751561779</v>
      </c>
      <c r="S27" s="380">
        <f t="shared" si="5"/>
        <v>3.1711510698772978</v>
      </c>
      <c r="T27" s="380">
        <f t="shared" si="5"/>
        <v>0</v>
      </c>
      <c r="U27" s="380">
        <f t="shared" si="5"/>
        <v>0</v>
      </c>
      <c r="V27" s="380">
        <f t="shared" si="5"/>
        <v>0</v>
      </c>
      <c r="W27" s="380">
        <f t="shared" si="5"/>
        <v>0</v>
      </c>
      <c r="X27" s="380">
        <f t="shared" si="5"/>
        <v>0</v>
      </c>
      <c r="Y27" s="380">
        <f t="shared" si="5"/>
        <v>0</v>
      </c>
      <c r="Z27" s="380">
        <f t="shared" si="5"/>
        <v>0</v>
      </c>
      <c r="AA27" s="380">
        <f t="shared" si="5"/>
        <v>0</v>
      </c>
      <c r="AB27" s="380">
        <f t="shared" si="5"/>
        <v>0</v>
      </c>
      <c r="AC27" s="380">
        <f t="shared" si="5"/>
        <v>0</v>
      </c>
      <c r="AD27" s="380">
        <f t="shared" si="5"/>
        <v>0</v>
      </c>
      <c r="AE27" s="380">
        <f t="shared" si="5"/>
        <v>0</v>
      </c>
      <c r="AF27" s="380">
        <f t="shared" si="5"/>
        <v>0</v>
      </c>
      <c r="AG27"/>
    </row>
    <row r="28" spans="1:33">
      <c r="A28" s="48" t="s">
        <v>57</v>
      </c>
      <c r="B28"/>
      <c r="C28" s="161">
        <f t="shared" ref="C28:AF28" si="6">MAX(C24+C25+B44+C27-0.5*C13,0)</f>
        <v>145237.67724539901</v>
      </c>
      <c r="D28" s="161">
        <f t="shared" si="6"/>
        <v>139755.33836261305</v>
      </c>
      <c r="E28" s="161">
        <f t="shared" si="6"/>
        <v>133760.99682529891</v>
      </c>
      <c r="F28" s="161">
        <f t="shared" si="6"/>
        <v>127339.21685960147</v>
      </c>
      <c r="G28" s="161">
        <f t="shared" si="6"/>
        <v>120519.42800516072</v>
      </c>
      <c r="H28" s="161">
        <f t="shared" si="6"/>
        <v>113243.23506933455</v>
      </c>
      <c r="I28" s="161">
        <f t="shared" si="6"/>
        <v>105494.77254306737</v>
      </c>
      <c r="J28" s="161">
        <f t="shared" si="6"/>
        <v>97204.777965382644</v>
      </c>
      <c r="K28" s="161">
        <f t="shared" si="6"/>
        <v>88382.280911963346</v>
      </c>
      <c r="L28" s="161">
        <f t="shared" si="6"/>
        <v>78963.658771461516</v>
      </c>
      <c r="M28" s="161">
        <f t="shared" si="6"/>
        <v>68918.07017460835</v>
      </c>
      <c r="N28" s="161">
        <f t="shared" si="6"/>
        <v>58180.792422704377</v>
      </c>
      <c r="O28" s="161">
        <f t="shared" si="6"/>
        <v>46734.267946105887</v>
      </c>
      <c r="P28" s="161">
        <f t="shared" si="6"/>
        <v>34507.884776534804</v>
      </c>
      <c r="Q28" s="161">
        <f t="shared" si="6"/>
        <v>21451.184359389859</v>
      </c>
      <c r="R28" s="161">
        <f t="shared" si="6"/>
        <v>7505.1557607859868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0</v>
      </c>
      <c r="X28" s="161">
        <f t="shared" si="6"/>
        <v>0</v>
      </c>
      <c r="Y28" s="161">
        <f t="shared" si="6"/>
        <v>0</v>
      </c>
      <c r="Z28" s="161">
        <f t="shared" si="6"/>
        <v>0</v>
      </c>
      <c r="AA28" s="161">
        <f t="shared" si="6"/>
        <v>0</v>
      </c>
      <c r="AB28" s="161">
        <f t="shared" si="6"/>
        <v>0</v>
      </c>
      <c r="AC28" s="161">
        <f t="shared" si="6"/>
        <v>0</v>
      </c>
      <c r="AD28" s="161">
        <f t="shared" si="6"/>
        <v>0</v>
      </c>
      <c r="AE28" s="161">
        <f t="shared" si="6"/>
        <v>0</v>
      </c>
      <c r="AF28" s="161">
        <f t="shared" si="6"/>
        <v>0</v>
      </c>
      <c r="AG28"/>
    </row>
    <row r="29" spans="1:33">
      <c r="A29" s="48" t="s">
        <v>319</v>
      </c>
      <c r="B29"/>
      <c r="C29" s="161">
        <f>(C23-B41)/(C41-B41)*IS!D32+(B41-B32)/(B41-Assumptions!H17)*IS!C32</f>
        <v>9782.3181348359249</v>
      </c>
      <c r="D29" s="161">
        <f>(D23-C41)/(D41-C41)*IS!E32+(C41-C32)/(C41-B41)*IS!D32</f>
        <v>10185.464693999706</v>
      </c>
      <c r="E29" s="161">
        <f>(E23-D41)/(E41-D41)*IS!F32+(D41-D32)/(D41-C41)*IS!E32</f>
        <v>10206.198398578568</v>
      </c>
      <c r="F29" s="161">
        <f>(F23-E41)/(F41-E41)*IS!G32+(E41-E32)/(E41-D41)*IS!F32</f>
        <v>10129.107294263689</v>
      </c>
      <c r="G29" s="161">
        <f>(G23-F41)/(G41-F41)*IS!H32+(F41-F32)/(F41-E41)*IS!G32</f>
        <v>10121.096190831573</v>
      </c>
      <c r="H29" s="161">
        <f>(H23-G41)/(H41-G41)*IS!I32+(G41-G32)/(G41-F41)*IS!H32</f>
        <v>10098.776111590281</v>
      </c>
      <c r="I29" s="161">
        <f>(I23-H41)/(I41-H41)*IS!J32+(H41-H32)/(H41-G41)*IS!I32</f>
        <v>10117.40872927029</v>
      </c>
      <c r="J29" s="161">
        <f>(J23-I41)/(J41-I41)*IS!K32+(I41-I32)/(I41-H41)*IS!J32</f>
        <v>10039.038484686276</v>
      </c>
      <c r="K29" s="161">
        <f>(K23-J41)/(K41-J41)*IS!L32+(J41-J32)/(J41-I41)*IS!K32</f>
        <v>10029.101573670032</v>
      </c>
      <c r="L29" s="161">
        <f>(L23-K41)/(L41-K41)*IS!M32+(K41-K32)/(K41-J41)*IS!L32</f>
        <v>10004.94160208551</v>
      </c>
      <c r="M29" s="161">
        <f>(M23-L41)/(M41-L41)*IS!N32+(L41-L32)/(L41-K41)*IS!M32</f>
        <v>10021.299935735246</v>
      </c>
      <c r="N29" s="161">
        <f>(N23-M41)/(N41-M41)*IS!O32+(M41-M32)/(M41-L41)*IS!N32</f>
        <v>9941.545108586768</v>
      </c>
      <c r="O29" s="161">
        <f>(O23-N41)/(O41-N41)*IS!P32+(N41-N32)/(N41-M41)*IS!O32</f>
        <v>9929.5236415074905</v>
      </c>
      <c r="P29" s="161">
        <f>(P23-O41)/(P41-O41)*IS!Q32+(O41-O32)/(O41-N41)*IS!P32</f>
        <v>9903.3721112797193</v>
      </c>
      <c r="Q29" s="161">
        <f>(Q23-P41)/(Q41-P41)*IS!R32+(P41-P32)/(P41-O41)*IS!Q32</f>
        <v>9917.2686867541142</v>
      </c>
      <c r="R29" s="161">
        <f>(R23-Q41)/(R41-Q41)*IS!S32+(Q41-Q32)/(Q41-P41)*IS!R32</f>
        <v>9836.0151429096877</v>
      </c>
      <c r="S29" s="161">
        <f>(S23-R41)/(S41-R41)*IS!T32+(R41-R32)/(R41-Q41)*IS!S32</f>
        <v>9821.7372853084598</v>
      </c>
      <c r="T29" s="161">
        <f>(T23-S41)/(T41-S41)*IS!U32+(S41-S32)/(S41-R41)*IS!T32</f>
        <v>9793.4300279567069</v>
      </c>
      <c r="U29" s="161">
        <f>(U23-T41)/(U41-T41)*IS!V32+(T41-T32)/(T41-S41)*IS!U32</f>
        <v>9804.6619172119681</v>
      </c>
      <c r="V29" s="161">
        <f>(V23-U41)/(V41-U41)*IS!W32+(U41-U32)/(U41-T41)*IS!V32</f>
        <v>9721.7861142171168</v>
      </c>
      <c r="W29" s="161">
        <f>(W23-V41)/(W41-V41)*IS!X32+(V41-V32)/(V41-U41)*IS!W32</f>
        <v>9705.0658669494151</v>
      </c>
      <c r="X29" s="161">
        <f>(X23-W41)/(X41-W41)*IS!Y32+(W41-W32)/(W41-V41)*IS!X32</f>
        <v>9674.4251812304792</v>
      </c>
      <c r="Y29" s="161">
        <f>(Y23-X41)/(Y41-X41)*IS!Z32+(X41-X32)/(X41-W41)*IS!Y32</f>
        <v>9682.7727284258435</v>
      </c>
      <c r="Z29" s="161">
        <f>(Z23-Y41)/(Z41-Y41)*IS!AA32+(Y41-Y32)/(Y41-X41)*IS!Z32</f>
        <v>9598.1409399547119</v>
      </c>
      <c r="AA29" s="161">
        <f>(AA23-Z41)/(AA41-Z41)*IS!AB32+(Z41-Z32)/(Z41-Y41)*IS!AA32</f>
        <v>9578.7769715647664</v>
      </c>
      <c r="AB29" s="161">
        <f>(AB23-AA41)/(AB41-AA41)*IS!AC32+(AA41-AA32)/(AA41-Z41)*IS!AB32</f>
        <v>9545.6105079381377</v>
      </c>
      <c r="AC29" s="161">
        <f>(AC23-AB41)/(AC41-AB41)*IS!AD32+(AB41-AB32)/(AB41-AA41)*IS!AC32</f>
        <v>9550.8359505274293</v>
      </c>
      <c r="AD29" s="161">
        <f>(AD23-AC41)/(AD41-AC41)*IS!AE32+(AC41-AC32)/(AC41-AB41)*IS!AD32</f>
        <v>9464.3034269042837</v>
      </c>
      <c r="AE29" s="161">
        <f>(AE23-AD41)/(AE41-AD41)*IS!AF32+(AD41-AD32)/(AD41-AC41)*IS!AE32</f>
        <v>9442.0778097495495</v>
      </c>
      <c r="AF29" s="161">
        <f>(AF23-AE41)/(AG23-AE41)*IS!AG32+(AE41-AE32)/(AE41-AD41)*IS!AF32</f>
        <v>6364.5472748138309</v>
      </c>
      <c r="AG29"/>
    </row>
    <row r="30" spans="1:33">
      <c r="A30" s="399" t="s">
        <v>0</v>
      </c>
      <c r="B30" s="401"/>
      <c r="C30" s="400">
        <f>IF(C28&gt;0.1,C29/(C27+C26+B44)," ")</f>
        <v>1.2695294235555821</v>
      </c>
      <c r="D30" s="400">
        <f t="shared" ref="D30:AF30" si="7">IF(D28&gt;0.1,D29/(D27+D26+C44)," ")</f>
        <v>1.2971031634089969</v>
      </c>
      <c r="E30" s="400">
        <f t="shared" si="7"/>
        <v>1.3015616781298329</v>
      </c>
      <c r="F30" s="400">
        <f t="shared" si="7"/>
        <v>1.2962434056500529</v>
      </c>
      <c r="G30" s="400">
        <f t="shared" si="7"/>
        <v>1.2971483665291561</v>
      </c>
      <c r="H30" s="400">
        <f t="shared" si="7"/>
        <v>1.2971641762159625</v>
      </c>
      <c r="I30" s="400">
        <f t="shared" si="7"/>
        <v>1.3016239267972101</v>
      </c>
      <c r="J30" s="400">
        <f t="shared" si="7"/>
        <v>1.296307356233388</v>
      </c>
      <c r="K30" s="400">
        <f t="shared" si="7"/>
        <v>1.2972139830713134</v>
      </c>
      <c r="L30" s="400">
        <f t="shared" si="7"/>
        <v>1.2972314167140677</v>
      </c>
      <c r="M30" s="400">
        <f t="shared" si="7"/>
        <v>1.3016925568542008</v>
      </c>
      <c r="N30" s="400">
        <f t="shared" si="7"/>
        <v>1.2963778916989865</v>
      </c>
      <c r="O30" s="400">
        <f t="shared" si="7"/>
        <v>1.2972863865400726</v>
      </c>
      <c r="P30" s="400">
        <f t="shared" si="7"/>
        <v>1.2973056441769908</v>
      </c>
      <c r="Q30" s="400">
        <f t="shared" si="7"/>
        <v>1.3017683518350882</v>
      </c>
      <c r="R30" s="400">
        <f t="shared" si="7"/>
        <v>1.2964558264035035</v>
      </c>
      <c r="S30" s="400" t="str">
        <f t="shared" si="7"/>
        <v xml:space="preserve"> </v>
      </c>
      <c r="T30" s="400" t="str">
        <f t="shared" si="7"/>
        <v xml:space="preserve"> </v>
      </c>
      <c r="U30" s="400" t="str">
        <f t="shared" si="7"/>
        <v xml:space="preserve"> </v>
      </c>
      <c r="V30" s="400" t="str">
        <f t="shared" si="7"/>
        <v xml:space="preserve"> </v>
      </c>
      <c r="W30" s="400" t="str">
        <f t="shared" si="7"/>
        <v xml:space="preserve"> </v>
      </c>
      <c r="X30" s="400" t="str">
        <f t="shared" si="7"/>
        <v xml:space="preserve"> </v>
      </c>
      <c r="Y30" s="400" t="str">
        <f t="shared" si="7"/>
        <v xml:space="preserve"> </v>
      </c>
      <c r="Z30" s="400" t="str">
        <f t="shared" si="7"/>
        <v xml:space="preserve"> </v>
      </c>
      <c r="AA30" s="400" t="str">
        <f t="shared" si="7"/>
        <v xml:space="preserve"> </v>
      </c>
      <c r="AB30" s="400" t="str">
        <f t="shared" si="7"/>
        <v xml:space="preserve"> </v>
      </c>
      <c r="AC30" s="400" t="str">
        <f t="shared" si="7"/>
        <v xml:space="preserve"> </v>
      </c>
      <c r="AD30" s="400" t="str">
        <f t="shared" si="7"/>
        <v xml:space="preserve"> </v>
      </c>
      <c r="AE30" s="400" t="str">
        <f t="shared" si="7"/>
        <v xml:space="preserve"> </v>
      </c>
      <c r="AF30" s="400" t="str">
        <f t="shared" si="7"/>
        <v xml:space="preserve"> </v>
      </c>
      <c r="AG30"/>
    </row>
    <row r="31" spans="1:33">
      <c r="A31" s="11"/>
      <c r="B31" s="376"/>
      <c r="C31" s="53"/>
      <c r="AG31"/>
    </row>
    <row r="32" spans="1:33">
      <c r="A32" s="398" t="s">
        <v>403</v>
      </c>
      <c r="B32" s="386">
        <v>37165</v>
      </c>
      <c r="C32" s="386">
        <v>37530</v>
      </c>
      <c r="D32" s="386">
        <v>37895</v>
      </c>
      <c r="E32" s="386">
        <v>38261</v>
      </c>
      <c r="F32" s="386">
        <v>38626</v>
      </c>
      <c r="G32" s="386">
        <v>38991</v>
      </c>
      <c r="H32" s="386">
        <v>39356</v>
      </c>
      <c r="I32" s="386">
        <v>39722</v>
      </c>
      <c r="J32" s="386">
        <v>40087</v>
      </c>
      <c r="K32" s="386">
        <v>40452</v>
      </c>
      <c r="L32" s="386">
        <v>40817</v>
      </c>
      <c r="M32" s="386">
        <v>41183</v>
      </c>
      <c r="N32" s="386">
        <v>41548</v>
      </c>
      <c r="O32" s="386">
        <v>41913</v>
      </c>
      <c r="P32" s="386">
        <v>42278</v>
      </c>
      <c r="Q32" s="386">
        <v>42644</v>
      </c>
      <c r="R32" s="386">
        <v>43009</v>
      </c>
      <c r="S32" s="386">
        <v>43374</v>
      </c>
      <c r="T32" s="386">
        <v>43739</v>
      </c>
      <c r="U32" s="386">
        <v>44105</v>
      </c>
      <c r="V32" s="386">
        <v>44470</v>
      </c>
      <c r="W32" s="386">
        <v>44835</v>
      </c>
      <c r="X32" s="386">
        <v>45200</v>
      </c>
      <c r="Y32" s="386">
        <v>45566</v>
      </c>
      <c r="Z32" s="386">
        <v>45931</v>
      </c>
      <c r="AA32" s="386">
        <v>46296</v>
      </c>
      <c r="AB32" s="386">
        <v>46661</v>
      </c>
      <c r="AC32" s="386">
        <v>47027</v>
      </c>
      <c r="AD32" s="386">
        <v>47392</v>
      </c>
      <c r="AE32" s="386">
        <v>47757</v>
      </c>
      <c r="AF32" s="386">
        <v>47969</v>
      </c>
      <c r="AG32"/>
    </row>
    <row r="33" spans="1:39">
      <c r="A33" s="48" t="s">
        <v>54</v>
      </c>
      <c r="B33" s="377">
        <f>Assumptions!C12</f>
        <v>149462.37125278701</v>
      </c>
      <c r="C33" s="48">
        <f>C28</f>
        <v>145237.67724539901</v>
      </c>
      <c r="D33" s="48">
        <f t="shared" ref="D33:AF33" si="8">D28</f>
        <v>139755.33836261305</v>
      </c>
      <c r="E33" s="48">
        <f t="shared" si="8"/>
        <v>133760.99682529891</v>
      </c>
      <c r="F33" s="48">
        <f t="shared" si="8"/>
        <v>127339.21685960147</v>
      </c>
      <c r="G33" s="48">
        <f t="shared" si="8"/>
        <v>120519.42800516072</v>
      </c>
      <c r="H33" s="48">
        <f t="shared" si="8"/>
        <v>113243.23506933455</v>
      </c>
      <c r="I33" s="48">
        <f t="shared" si="8"/>
        <v>105494.77254306737</v>
      </c>
      <c r="J33" s="48">
        <f t="shared" si="8"/>
        <v>97204.777965382644</v>
      </c>
      <c r="K33" s="48">
        <f t="shared" si="8"/>
        <v>88382.280911963346</v>
      </c>
      <c r="L33" s="48">
        <f t="shared" si="8"/>
        <v>78963.658771461516</v>
      </c>
      <c r="M33" s="48">
        <f t="shared" si="8"/>
        <v>68918.07017460835</v>
      </c>
      <c r="N33" s="48">
        <f t="shared" si="8"/>
        <v>58180.792422704377</v>
      </c>
      <c r="O33" s="48">
        <f t="shared" si="8"/>
        <v>46734.267946105887</v>
      </c>
      <c r="P33" s="48">
        <f t="shared" si="8"/>
        <v>34507.884776534804</v>
      </c>
      <c r="Q33" s="48">
        <f t="shared" si="8"/>
        <v>21451.184359389859</v>
      </c>
      <c r="R33" s="48">
        <f t="shared" si="8"/>
        <v>7505.1557607859868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0</v>
      </c>
      <c r="Y33" s="48">
        <f t="shared" si="8"/>
        <v>0</v>
      </c>
      <c r="Z33" s="48">
        <f t="shared" si="8"/>
        <v>0</v>
      </c>
      <c r="AA33" s="48">
        <f t="shared" si="8"/>
        <v>0</v>
      </c>
      <c r="AB33" s="48">
        <f t="shared" si="8"/>
        <v>0</v>
      </c>
      <c r="AC33" s="48">
        <f t="shared" si="8"/>
        <v>0</v>
      </c>
      <c r="AD33" s="48">
        <f t="shared" si="8"/>
        <v>0</v>
      </c>
      <c r="AE33" s="48">
        <f t="shared" si="8"/>
        <v>0</v>
      </c>
      <c r="AF33" s="48">
        <f t="shared" si="8"/>
        <v>0</v>
      </c>
      <c r="AG33"/>
    </row>
    <row r="34" spans="1:39">
      <c r="A34" s="48" t="s">
        <v>317</v>
      </c>
      <c r="B34" s="377">
        <v>0</v>
      </c>
      <c r="C34" s="377">
        <v>0</v>
      </c>
      <c r="D34" s="377">
        <v>0</v>
      </c>
      <c r="E34" s="377">
        <v>0</v>
      </c>
      <c r="F34" s="377">
        <v>0</v>
      </c>
      <c r="G34" s="377">
        <v>0</v>
      </c>
      <c r="H34" s="377">
        <v>0</v>
      </c>
      <c r="I34" s="377">
        <v>0</v>
      </c>
      <c r="J34" s="377">
        <v>0</v>
      </c>
      <c r="K34" s="377">
        <v>0</v>
      </c>
      <c r="L34" s="377">
        <v>0</v>
      </c>
      <c r="M34" s="377">
        <v>0</v>
      </c>
      <c r="N34" s="377">
        <v>0</v>
      </c>
      <c r="O34" s="377">
        <v>0</v>
      </c>
      <c r="P34" s="377">
        <v>0</v>
      </c>
      <c r="Q34" s="377">
        <v>0</v>
      </c>
      <c r="R34" s="377">
        <v>0</v>
      </c>
      <c r="S34" s="377">
        <v>0</v>
      </c>
      <c r="T34" s="377">
        <v>0</v>
      </c>
      <c r="U34" s="377">
        <v>0</v>
      </c>
      <c r="V34" s="377">
        <v>0</v>
      </c>
      <c r="W34" s="377">
        <v>0</v>
      </c>
      <c r="X34" s="377">
        <v>0</v>
      </c>
      <c r="Y34" s="377">
        <v>0</v>
      </c>
      <c r="Z34" s="377">
        <v>0</v>
      </c>
      <c r="AA34" s="377">
        <v>0</v>
      </c>
      <c r="AB34" s="377">
        <v>0</v>
      </c>
      <c r="AC34" s="377">
        <v>0</v>
      </c>
      <c r="AD34" s="377">
        <v>0</v>
      </c>
      <c r="AE34" s="377">
        <v>0</v>
      </c>
      <c r="AF34" s="377">
        <v>0</v>
      </c>
      <c r="AG34"/>
    </row>
    <row r="35" spans="1:39">
      <c r="A35" s="48" t="s">
        <v>55</v>
      </c>
      <c r="B35" s="48">
        <f>B33-B37</f>
        <v>1675.8188447220891</v>
      </c>
      <c r="C35" s="48">
        <f>C33-C37</f>
        <v>2608.2222277357941</v>
      </c>
      <c r="D35" s="48">
        <f t="shared" ref="D35:AF35" si="9">D33-D37</f>
        <v>2947.6327440911555</v>
      </c>
      <c r="E35" s="48">
        <f t="shared" si="9"/>
        <v>3159.867031517977</v>
      </c>
      <c r="F35" s="48">
        <f t="shared" si="9"/>
        <v>3345.1183999574278</v>
      </c>
      <c r="G35" s="48">
        <f t="shared" si="9"/>
        <v>3572.8374178525119</v>
      </c>
      <c r="H35" s="48">
        <f t="shared" si="9"/>
        <v>3810.8999641219416</v>
      </c>
      <c r="I35" s="48">
        <f t="shared" si="9"/>
        <v>4080.5953368163609</v>
      </c>
      <c r="J35" s="48">
        <f t="shared" si="9"/>
        <v>4332.8468075725687</v>
      </c>
      <c r="K35" s="48">
        <f t="shared" si="9"/>
        <v>4629.4074635679717</v>
      </c>
      <c r="L35" s="48">
        <f t="shared" si="9"/>
        <v>4941.234235482174</v>
      </c>
      <c r="M35" s="48">
        <f t="shared" si="9"/>
        <v>5286.5363908195868</v>
      </c>
      <c r="N35" s="48">
        <f t="shared" si="9"/>
        <v>5626.8025189258988</v>
      </c>
      <c r="O35" s="48">
        <f t="shared" si="9"/>
        <v>6013.8914343425131</v>
      </c>
      <c r="P35" s="48">
        <f t="shared" si="9"/>
        <v>6422.7152770709072</v>
      </c>
      <c r="Q35" s="48">
        <f t="shared" si="9"/>
        <v>6867.5138110067346</v>
      </c>
      <c r="R35" s="48">
        <f t="shared" si="9"/>
        <v>7323.4493023079312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0</v>
      </c>
      <c r="Y35" s="48">
        <f t="shared" si="9"/>
        <v>0</v>
      </c>
      <c r="Z35" s="48">
        <f t="shared" si="9"/>
        <v>0</v>
      </c>
      <c r="AA35" s="48">
        <f t="shared" si="9"/>
        <v>0</v>
      </c>
      <c r="AB35" s="48">
        <f t="shared" si="9"/>
        <v>0</v>
      </c>
      <c r="AC35" s="48">
        <f t="shared" si="9"/>
        <v>0</v>
      </c>
      <c r="AD35" s="48">
        <f t="shared" si="9"/>
        <v>0</v>
      </c>
      <c r="AE35" s="48">
        <f t="shared" si="9"/>
        <v>0</v>
      </c>
      <c r="AF35" s="48">
        <f t="shared" si="9"/>
        <v>0</v>
      </c>
      <c r="AG35"/>
    </row>
    <row r="36" spans="1:39">
      <c r="A36" s="48" t="s">
        <v>56</v>
      </c>
      <c r="B36" s="380">
        <f>B33*(B32-Assumptions!H17)/365.25*$E$64</f>
        <v>4382.5927340652943</v>
      </c>
      <c r="C36" s="380">
        <f t="shared" ref="C36:AF36" si="10">C33*(C32-C23)/(C41-B41)*$E$64</f>
        <v>5097.2456041467431</v>
      </c>
      <c r="D36" s="380">
        <f t="shared" si="10"/>
        <v>4904.8380395207478</v>
      </c>
      <c r="E36" s="380">
        <f t="shared" si="10"/>
        <v>4681.6348888854609</v>
      </c>
      <c r="F36" s="380">
        <f t="shared" si="10"/>
        <v>4469.0831999219026</v>
      </c>
      <c r="G36" s="380">
        <f t="shared" si="10"/>
        <v>4229.7366376605714</v>
      </c>
      <c r="H36" s="380">
        <f t="shared" si="10"/>
        <v>3974.3721677758231</v>
      </c>
      <c r="I36" s="380">
        <f t="shared" si="10"/>
        <v>3692.3170390073574</v>
      </c>
      <c r="J36" s="380">
        <f t="shared" si="10"/>
        <v>3411.4882348946617</v>
      </c>
      <c r="K36" s="380">
        <f t="shared" si="10"/>
        <v>3101.8548451568499</v>
      </c>
      <c r="L36" s="380">
        <f t="shared" si="10"/>
        <v>2771.2999146915668</v>
      </c>
      <c r="M36" s="380">
        <f t="shared" si="10"/>
        <v>2412.132456111292</v>
      </c>
      <c r="N36" s="380">
        <f t="shared" si="10"/>
        <v>2041.9067148899808</v>
      </c>
      <c r="O36" s="380">
        <f t="shared" si="10"/>
        <v>1640.1807462729216</v>
      </c>
      <c r="P36" s="380">
        <f t="shared" si="10"/>
        <v>1211.0849424312623</v>
      </c>
      <c r="Q36" s="380">
        <f t="shared" si="10"/>
        <v>750.79145257864502</v>
      </c>
      <c r="R36" s="380">
        <f t="shared" si="10"/>
        <v>263.40012409772186</v>
      </c>
      <c r="S36" s="380">
        <f t="shared" si="10"/>
        <v>0</v>
      </c>
      <c r="T36" s="380">
        <f t="shared" si="10"/>
        <v>0</v>
      </c>
      <c r="U36" s="380">
        <f t="shared" si="10"/>
        <v>0</v>
      </c>
      <c r="V36" s="380">
        <f t="shared" si="10"/>
        <v>0</v>
      </c>
      <c r="W36" s="380">
        <f t="shared" si="10"/>
        <v>0</v>
      </c>
      <c r="X36" s="380">
        <f t="shared" si="10"/>
        <v>0</v>
      </c>
      <c r="Y36" s="380">
        <f t="shared" si="10"/>
        <v>0</v>
      </c>
      <c r="Z36" s="380">
        <f t="shared" si="10"/>
        <v>0</v>
      </c>
      <c r="AA36" s="380">
        <f t="shared" si="10"/>
        <v>0</v>
      </c>
      <c r="AB36" s="380">
        <f t="shared" si="10"/>
        <v>0</v>
      </c>
      <c r="AC36" s="380">
        <f t="shared" si="10"/>
        <v>0</v>
      </c>
      <c r="AD36" s="380">
        <f t="shared" si="10"/>
        <v>0</v>
      </c>
      <c r="AE36" s="380">
        <f t="shared" si="10"/>
        <v>0</v>
      </c>
      <c r="AF36" s="380">
        <f t="shared" si="10"/>
        <v>0</v>
      </c>
      <c r="AG36"/>
    </row>
    <row r="37" spans="1:39">
      <c r="A37" s="48" t="s">
        <v>57</v>
      </c>
      <c r="B37" s="161">
        <f>MAX(B33+B34+B36-B13,0)</f>
        <v>147786.55240806492</v>
      </c>
      <c r="C37" s="161">
        <f>MAX(C33+C34+C36-0.5*C13,0)</f>
        <v>142629.45501766322</v>
      </c>
      <c r="D37" s="161">
        <f t="shared" ref="D37:AF37" si="11">MAX(D33+D34+D36-0.5*D13,0)</f>
        <v>136807.7056185219</v>
      </c>
      <c r="E37" s="161">
        <f t="shared" si="11"/>
        <v>130601.12979378093</v>
      </c>
      <c r="F37" s="161">
        <f t="shared" si="11"/>
        <v>123994.09845964404</v>
      </c>
      <c r="G37" s="161">
        <f t="shared" si="11"/>
        <v>116946.59058730821</v>
      </c>
      <c r="H37" s="161">
        <f t="shared" si="11"/>
        <v>109432.33510521261</v>
      </c>
      <c r="I37" s="161">
        <f t="shared" si="11"/>
        <v>101414.17720625101</v>
      </c>
      <c r="J37" s="161">
        <f t="shared" si="11"/>
        <v>92871.931157810075</v>
      </c>
      <c r="K37" s="161">
        <f t="shared" si="11"/>
        <v>83752.873448395374</v>
      </c>
      <c r="L37" s="161">
        <f t="shared" si="11"/>
        <v>74022.424535979342</v>
      </c>
      <c r="M37" s="161">
        <f t="shared" si="11"/>
        <v>63631.533783788764</v>
      </c>
      <c r="N37" s="161">
        <f t="shared" si="11"/>
        <v>52553.989903778478</v>
      </c>
      <c r="O37" s="161">
        <f t="shared" si="11"/>
        <v>40720.376511763374</v>
      </c>
      <c r="P37" s="161">
        <f t="shared" si="11"/>
        <v>28085.169499463896</v>
      </c>
      <c r="Q37" s="161">
        <f t="shared" si="11"/>
        <v>14583.670548383125</v>
      </c>
      <c r="R37" s="161">
        <f t="shared" si="11"/>
        <v>181.70645847805554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0</v>
      </c>
      <c r="X37" s="161">
        <f t="shared" si="11"/>
        <v>0</v>
      </c>
      <c r="Y37" s="161">
        <f t="shared" si="11"/>
        <v>0</v>
      </c>
      <c r="Z37" s="161">
        <f t="shared" si="11"/>
        <v>0</v>
      </c>
      <c r="AA37" s="161">
        <f t="shared" si="11"/>
        <v>0</v>
      </c>
      <c r="AB37" s="161">
        <f t="shared" si="11"/>
        <v>0</v>
      </c>
      <c r="AC37" s="161">
        <f t="shared" si="11"/>
        <v>0</v>
      </c>
      <c r="AD37" s="161">
        <f t="shared" si="11"/>
        <v>0</v>
      </c>
      <c r="AE37" s="161">
        <f t="shared" si="11"/>
        <v>0</v>
      </c>
      <c r="AF37" s="161">
        <f t="shared" si="11"/>
        <v>0</v>
      </c>
      <c r="AG37"/>
    </row>
    <row r="38" spans="1:39">
      <c r="A38" s="48" t="s">
        <v>319</v>
      </c>
      <c r="B38" s="161">
        <f>(B32-Assumptions!H17)/(Debt!B41-Assumptions!H17)*IS!C32</f>
        <v>7875.9350524235924</v>
      </c>
      <c r="C38" s="161">
        <f>(C32-C23)/(C41-B41)*IS!D32</f>
        <v>10251.898228058679</v>
      </c>
      <c r="D38" s="161">
        <f>(D32-D23)/(D41-C41)*IS!E32</f>
        <v>10230.95934339128</v>
      </c>
      <c r="E38" s="161">
        <f>(E32-E23)/(E41-D41)*IS!F32</f>
        <v>10181.706594470343</v>
      </c>
      <c r="F38" s="161">
        <f>(F32-F23)/(F41-E41)*IS!G32</f>
        <v>10187.816865422574</v>
      </c>
      <c r="G38" s="161">
        <f>(G32-G23)/(G41-F41)*IS!H32</f>
        <v>10165.596353502457</v>
      </c>
      <c r="H38" s="161">
        <f>(H32-H23)/(H41-G41)*IS!I32</f>
        <v>10142.931431343935</v>
      </c>
      <c r="I38" s="161">
        <f>(I32-I23)/(I41-H41)*IS!J32</f>
        <v>10092.16344787136</v>
      </c>
      <c r="J38" s="161">
        <f>(J32-J23)/(J41-I41)*IS!K32</f>
        <v>10096.232625728517</v>
      </c>
      <c r="K38" s="161">
        <f>(K32-K23)/(K41-J41)*IS!L32</f>
        <v>10072.180429014516</v>
      </c>
      <c r="L38" s="161">
        <f>(L32-L23)/(L41-K41)*IS!M32</f>
        <v>10047.647188366234</v>
      </c>
      <c r="M38" s="161">
        <f>(M32-M23)/(M41-L41)*IS!N32</f>
        <v>9995.2390662850285</v>
      </c>
      <c r="N38" s="161">
        <f>(N32-N23)/(N41-M41)*IS!O32</f>
        <v>9997.0988993345181</v>
      </c>
      <c r="O38" s="161">
        <f>(O32-O23)/(O41-N41)*IS!P32</f>
        <v>9971.0640280926382</v>
      </c>
      <c r="P38" s="161">
        <f>(P32-P23)/(P41-O41)*IS!Q32</f>
        <v>9944.5084594259206</v>
      </c>
      <c r="Q38" s="161">
        <f>(Q32-Q23)/(Q41-P41)*IS!R32</f>
        <v>9890.3249985678722</v>
      </c>
      <c r="R38" s="161">
        <f>(R32-R23)/(R41-Q41)*IS!S32</f>
        <v>9889.7933657450139</v>
      </c>
      <c r="S38" s="161">
        <f>(S32-S23)/(S41-R41)*IS!T32</f>
        <v>9861.6123838313433</v>
      </c>
      <c r="T38" s="161">
        <f>(T32-T23)/(T41-S41)*IS!U32</f>
        <v>9832.8677822793998</v>
      </c>
      <c r="U38" s="161">
        <f>(U32-U23)/(U41-T41)*IS!V32</f>
        <v>9776.7626376344033</v>
      </c>
      <c r="V38" s="161">
        <f>(V32-V23)/(V41-U41)*IS!W32</f>
        <v>9773.6424052417751</v>
      </c>
      <c r="W38" s="161">
        <f>(W32-W23)/(W41-V41)*IS!X32</f>
        <v>9743.1384041180372</v>
      </c>
      <c r="X38" s="161">
        <f>(X32-X23)/(X41-W41)*IS!Y32</f>
        <v>9712.0243229718271</v>
      </c>
      <c r="Y38" s="161">
        <f>(Y32-Y23)/(Y41-X41)*IS!Z32</f>
        <v>9653.8390859944884</v>
      </c>
      <c r="Z38" s="161">
        <f>(Z32-Z23)/(Z41-Y41)*IS!AA32</f>
        <v>9647.9168701781764</v>
      </c>
      <c r="AA38" s="161">
        <f>(AA32-AA23)/(AA41-Z41)*IS!AB32</f>
        <v>9614.8983583531681</v>
      </c>
      <c r="AB38" s="161">
        <f>(AB32-AB23)/(AB41-AA41)*IS!AC32</f>
        <v>9581.2194762916624</v>
      </c>
      <c r="AC38" s="161">
        <f>(AC32-AC23)/(AC41-AB41)*IS!AD32</f>
        <v>9520.7826804780252</v>
      </c>
      <c r="AD38" s="161">
        <f>(AD32-AD23)/(AD41-AC41)*IS!AE32</f>
        <v>9511.8275076921309</v>
      </c>
      <c r="AE38" s="161">
        <f>(AE32-AE23)/(AE41-AD41)*IS!AF32</f>
        <v>9476.0872086174022</v>
      </c>
      <c r="AF38" s="161">
        <f>(AF32-AF23)/(AG23-AE41)*IS!AG32</f>
        <v>544.7454788447983</v>
      </c>
      <c r="AG38"/>
    </row>
    <row r="39" spans="1:39">
      <c r="A39" s="399" t="s">
        <v>0</v>
      </c>
      <c r="B39" s="400">
        <f t="shared" ref="B39:AF39" si="12">IF(B37&gt;0.1,B38/(B36+B35)," ")</f>
        <v>1.2999999999999989</v>
      </c>
      <c r="C39" s="400">
        <f t="shared" si="12"/>
        <v>1.330470576444418</v>
      </c>
      <c r="D39" s="400">
        <f t="shared" si="12"/>
        <v>1.3028968365910101</v>
      </c>
      <c r="E39" s="400">
        <f t="shared" si="12"/>
        <v>1.2984383218701685</v>
      </c>
      <c r="F39" s="400">
        <f t="shared" si="12"/>
        <v>1.3037565943499458</v>
      </c>
      <c r="G39" s="400">
        <f t="shared" si="12"/>
        <v>1.3028516334708451</v>
      </c>
      <c r="H39" s="400">
        <f t="shared" si="12"/>
        <v>1.3028358237840376</v>
      </c>
      <c r="I39" s="400">
        <f t="shared" si="12"/>
        <v>1.2983760732027889</v>
      </c>
      <c r="J39" s="400">
        <f t="shared" si="12"/>
        <v>1.3036926437666114</v>
      </c>
      <c r="K39" s="400">
        <f t="shared" si="12"/>
        <v>1.3027860169286898</v>
      </c>
      <c r="L39" s="400">
        <f t="shared" si="12"/>
        <v>1.3027685832859348</v>
      </c>
      <c r="M39" s="400">
        <f t="shared" si="12"/>
        <v>1.2983074431457966</v>
      </c>
      <c r="N39" s="400">
        <f t="shared" si="12"/>
        <v>1.3036221083010149</v>
      </c>
      <c r="O39" s="400">
        <f t="shared" si="12"/>
        <v>1.3027136134599273</v>
      </c>
      <c r="P39" s="400">
        <f t="shared" si="12"/>
        <v>1.3026943558230086</v>
      </c>
      <c r="Q39" s="400">
        <f t="shared" si="12"/>
        <v>1.2982316481649119</v>
      </c>
      <c r="R39" s="400">
        <f t="shared" si="12"/>
        <v>1.3035441735964968</v>
      </c>
      <c r="S39" s="400" t="str">
        <f t="shared" si="12"/>
        <v xml:space="preserve"> </v>
      </c>
      <c r="T39" s="400" t="str">
        <f t="shared" si="12"/>
        <v xml:space="preserve"> </v>
      </c>
      <c r="U39" s="400" t="str">
        <f t="shared" si="12"/>
        <v xml:space="preserve"> </v>
      </c>
      <c r="V39" s="400" t="str">
        <f t="shared" si="12"/>
        <v xml:space="preserve"> </v>
      </c>
      <c r="W39" s="400" t="str">
        <f t="shared" si="12"/>
        <v xml:space="preserve"> </v>
      </c>
      <c r="X39" s="400" t="str">
        <f t="shared" si="12"/>
        <v xml:space="preserve"> </v>
      </c>
      <c r="Y39" s="400" t="str">
        <f t="shared" si="12"/>
        <v xml:space="preserve"> </v>
      </c>
      <c r="Z39" s="400" t="str">
        <f t="shared" si="12"/>
        <v xml:space="preserve"> </v>
      </c>
      <c r="AA39" s="400" t="str">
        <f t="shared" si="12"/>
        <v xml:space="preserve"> </v>
      </c>
      <c r="AB39" s="400" t="str">
        <f t="shared" si="12"/>
        <v xml:space="preserve"> </v>
      </c>
      <c r="AC39" s="400" t="str">
        <f t="shared" si="12"/>
        <v xml:space="preserve"> </v>
      </c>
      <c r="AD39" s="400" t="str">
        <f t="shared" si="12"/>
        <v xml:space="preserve"> </v>
      </c>
      <c r="AE39" s="400" t="str">
        <f t="shared" si="12"/>
        <v xml:space="preserve"> </v>
      </c>
      <c r="AF39" s="400" t="str">
        <f t="shared" si="12"/>
        <v xml:space="preserve"> 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89">
        <f>B8</f>
        <v>37256</v>
      </c>
      <c r="C41" s="389">
        <f t="shared" ref="C41:AF41" si="13">C8</f>
        <v>37621</v>
      </c>
      <c r="D41" s="389">
        <f t="shared" si="13"/>
        <v>37986</v>
      </c>
      <c r="E41" s="389">
        <f t="shared" si="13"/>
        <v>38352</v>
      </c>
      <c r="F41" s="389">
        <f t="shared" si="13"/>
        <v>38717</v>
      </c>
      <c r="G41" s="389">
        <f t="shared" si="13"/>
        <v>39082</v>
      </c>
      <c r="H41" s="389">
        <f t="shared" si="13"/>
        <v>39447</v>
      </c>
      <c r="I41" s="389">
        <f t="shared" si="13"/>
        <v>39813</v>
      </c>
      <c r="J41" s="389">
        <f t="shared" si="13"/>
        <v>40178</v>
      </c>
      <c r="K41" s="389">
        <f t="shared" si="13"/>
        <v>40543</v>
      </c>
      <c r="L41" s="389">
        <f t="shared" si="13"/>
        <v>40908</v>
      </c>
      <c r="M41" s="389">
        <f t="shared" si="13"/>
        <v>41274</v>
      </c>
      <c r="N41" s="389">
        <f t="shared" si="13"/>
        <v>41639</v>
      </c>
      <c r="O41" s="389">
        <f t="shared" si="13"/>
        <v>42004</v>
      </c>
      <c r="P41" s="389">
        <f t="shared" si="13"/>
        <v>42369</v>
      </c>
      <c r="Q41" s="389">
        <f t="shared" si="13"/>
        <v>42735</v>
      </c>
      <c r="R41" s="389">
        <f t="shared" si="13"/>
        <v>43100</v>
      </c>
      <c r="S41" s="389">
        <f t="shared" si="13"/>
        <v>43465</v>
      </c>
      <c r="T41" s="389">
        <f t="shared" si="13"/>
        <v>43830</v>
      </c>
      <c r="U41" s="389">
        <f t="shared" si="13"/>
        <v>44196</v>
      </c>
      <c r="V41" s="389">
        <f t="shared" si="13"/>
        <v>44561</v>
      </c>
      <c r="W41" s="389">
        <f t="shared" si="13"/>
        <v>44926</v>
      </c>
      <c r="X41" s="389">
        <f t="shared" si="13"/>
        <v>45291</v>
      </c>
      <c r="Y41" s="389">
        <f t="shared" si="13"/>
        <v>45657</v>
      </c>
      <c r="Z41" s="389">
        <f t="shared" si="13"/>
        <v>46022</v>
      </c>
      <c r="AA41" s="389">
        <f t="shared" si="13"/>
        <v>46387</v>
      </c>
      <c r="AB41" s="389">
        <f t="shared" si="13"/>
        <v>46752</v>
      </c>
      <c r="AC41" s="389">
        <f t="shared" si="13"/>
        <v>47118</v>
      </c>
      <c r="AD41" s="389">
        <f t="shared" si="13"/>
        <v>47483</v>
      </c>
      <c r="AE41" s="389">
        <f t="shared" si="13"/>
        <v>47848</v>
      </c>
      <c r="AF41" s="389">
        <f t="shared" si="13"/>
        <v>48213</v>
      </c>
    </row>
    <row r="42" spans="1:39">
      <c r="A42" s="48" t="s">
        <v>54</v>
      </c>
      <c r="B42" s="48">
        <f>B37</f>
        <v>147786.55240806492</v>
      </c>
      <c r="C42" s="48">
        <f>C37</f>
        <v>142629.45501766322</v>
      </c>
      <c r="D42" s="48">
        <f t="shared" ref="D42:AF42" si="14">D37</f>
        <v>136807.7056185219</v>
      </c>
      <c r="E42" s="48">
        <f t="shared" si="14"/>
        <v>130601.12979378093</v>
      </c>
      <c r="F42" s="48">
        <f t="shared" si="14"/>
        <v>123994.09845964404</v>
      </c>
      <c r="G42" s="48">
        <f t="shared" si="14"/>
        <v>116946.59058730821</v>
      </c>
      <c r="H42" s="48">
        <f t="shared" si="14"/>
        <v>109432.33510521261</v>
      </c>
      <c r="I42" s="48">
        <f t="shared" si="14"/>
        <v>101414.17720625101</v>
      </c>
      <c r="J42" s="48">
        <f t="shared" si="14"/>
        <v>92871.931157810075</v>
      </c>
      <c r="K42" s="48">
        <f t="shared" si="14"/>
        <v>83752.873448395374</v>
      </c>
      <c r="L42" s="48">
        <f t="shared" si="14"/>
        <v>74022.424535979342</v>
      </c>
      <c r="M42" s="48">
        <f t="shared" si="14"/>
        <v>63631.533783788764</v>
      </c>
      <c r="N42" s="48">
        <f t="shared" si="14"/>
        <v>52553.989903778478</v>
      </c>
      <c r="O42" s="48">
        <f t="shared" si="14"/>
        <v>40720.376511763374</v>
      </c>
      <c r="P42" s="48">
        <f t="shared" si="14"/>
        <v>28085.169499463896</v>
      </c>
      <c r="Q42" s="48">
        <f t="shared" si="14"/>
        <v>14583.670548383125</v>
      </c>
      <c r="R42" s="48">
        <f t="shared" si="14"/>
        <v>181.70645847805554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0</v>
      </c>
      <c r="Y42" s="48">
        <f t="shared" si="14"/>
        <v>0</v>
      </c>
      <c r="Z42" s="48">
        <f t="shared" si="14"/>
        <v>0</v>
      </c>
      <c r="AA42" s="48">
        <f t="shared" si="14"/>
        <v>0</v>
      </c>
      <c r="AB42" s="48">
        <f t="shared" si="14"/>
        <v>0</v>
      </c>
      <c r="AC42" s="48">
        <f t="shared" si="14"/>
        <v>0</v>
      </c>
      <c r="AD42" s="48">
        <f t="shared" si="14"/>
        <v>0</v>
      </c>
      <c r="AE42" s="48">
        <f t="shared" si="14"/>
        <v>0</v>
      </c>
      <c r="AF42" s="48">
        <f t="shared" si="14"/>
        <v>0</v>
      </c>
    </row>
    <row r="43" spans="1:39">
      <c r="A43" s="48" t="s">
        <v>317</v>
      </c>
      <c r="B43" s="377">
        <v>0</v>
      </c>
      <c r="C43" s="377">
        <v>0</v>
      </c>
      <c r="D43" s="377">
        <v>0</v>
      </c>
      <c r="E43" s="377">
        <v>0</v>
      </c>
      <c r="F43" s="377">
        <v>0</v>
      </c>
      <c r="G43" s="377">
        <v>0</v>
      </c>
      <c r="H43" s="377">
        <v>0</v>
      </c>
      <c r="I43" s="377">
        <v>0</v>
      </c>
      <c r="J43" s="377">
        <v>0</v>
      </c>
      <c r="K43" s="377">
        <v>0</v>
      </c>
      <c r="L43" s="377">
        <v>0</v>
      </c>
      <c r="M43" s="377">
        <v>0</v>
      </c>
      <c r="N43" s="377">
        <v>0</v>
      </c>
      <c r="O43" s="377">
        <v>0</v>
      </c>
      <c r="P43" s="377">
        <v>0</v>
      </c>
      <c r="Q43" s="377">
        <v>0</v>
      </c>
      <c r="R43" s="377">
        <v>0</v>
      </c>
      <c r="S43" s="377">
        <v>0</v>
      </c>
      <c r="T43" s="377">
        <v>0</v>
      </c>
      <c r="U43" s="377">
        <v>0</v>
      </c>
      <c r="V43" s="377">
        <v>0</v>
      </c>
      <c r="W43" s="377">
        <v>0</v>
      </c>
      <c r="X43" s="377">
        <v>0</v>
      </c>
      <c r="Y43" s="377">
        <v>0</v>
      </c>
      <c r="Z43" s="377">
        <v>0</v>
      </c>
      <c r="AA43" s="377">
        <v>0</v>
      </c>
      <c r="AB43" s="377">
        <v>0</v>
      </c>
      <c r="AC43" s="377">
        <v>0</v>
      </c>
      <c r="AD43" s="377">
        <v>0</v>
      </c>
      <c r="AE43" s="377">
        <v>0</v>
      </c>
      <c r="AF43" s="377">
        <v>0</v>
      </c>
    </row>
    <row r="44" spans="1:39">
      <c r="A44" s="48" t="s">
        <v>56</v>
      </c>
      <c r="B44" s="380">
        <f>B42*(B41-B32)/365.25*$E$64</f>
        <v>2577.4136586978052</v>
      </c>
      <c r="C44" s="380">
        <f t="shared" ref="C44:AF44" si="15">C42*(C41-C32)/(C41-B41)*$E$64</f>
        <v>2489.1770642808615</v>
      </c>
      <c r="D44" s="380">
        <f t="shared" si="15"/>
        <v>2387.5755747670805</v>
      </c>
      <c r="E44" s="380">
        <f t="shared" si="15"/>
        <v>2273.0305923125256</v>
      </c>
      <c r="F44" s="380">
        <f t="shared" si="15"/>
        <v>2163.9518005148834</v>
      </c>
      <c r="G44" s="380">
        <f t="shared" si="15"/>
        <v>2040.9583069620635</v>
      </c>
      <c r="H44" s="380">
        <f t="shared" si="15"/>
        <v>1909.8191085485048</v>
      </c>
      <c r="I44" s="380">
        <f t="shared" si="15"/>
        <v>1765.0500240541498</v>
      </c>
      <c r="J44" s="380">
        <f t="shared" si="15"/>
        <v>1620.8060314390416</v>
      </c>
      <c r="K44" s="380">
        <f t="shared" si="15"/>
        <v>1461.6597366199412</v>
      </c>
      <c r="L44" s="380">
        <f t="shared" si="15"/>
        <v>1291.8434090251737</v>
      </c>
      <c r="M44" s="380">
        <f t="shared" si="15"/>
        <v>1107.4668584774163</v>
      </c>
      <c r="N44" s="380">
        <f t="shared" si="15"/>
        <v>917.17511147142159</v>
      </c>
      <c r="O44" s="380">
        <f t="shared" si="15"/>
        <v>710.65424213680171</v>
      </c>
      <c r="P44" s="380">
        <f t="shared" si="15"/>
        <v>490.14391701804112</v>
      </c>
      <c r="Q44" s="380">
        <f t="shared" si="15"/>
        <v>253.81962129289749</v>
      </c>
      <c r="R44" s="380">
        <f t="shared" si="15"/>
        <v>3.1711510698772978</v>
      </c>
      <c r="S44" s="380">
        <f t="shared" si="15"/>
        <v>0</v>
      </c>
      <c r="T44" s="380">
        <f t="shared" si="15"/>
        <v>0</v>
      </c>
      <c r="U44" s="380">
        <f t="shared" si="15"/>
        <v>0</v>
      </c>
      <c r="V44" s="380">
        <f t="shared" si="15"/>
        <v>0</v>
      </c>
      <c r="W44" s="380">
        <f t="shared" si="15"/>
        <v>0</v>
      </c>
      <c r="X44" s="380">
        <f t="shared" si="15"/>
        <v>0</v>
      </c>
      <c r="Y44" s="380">
        <f t="shared" si="15"/>
        <v>0</v>
      </c>
      <c r="Z44" s="380">
        <f t="shared" si="15"/>
        <v>0</v>
      </c>
      <c r="AA44" s="380">
        <f t="shared" si="15"/>
        <v>0</v>
      </c>
      <c r="AB44" s="380">
        <f t="shared" si="15"/>
        <v>0</v>
      </c>
      <c r="AC44" s="380">
        <f t="shared" si="15"/>
        <v>0</v>
      </c>
      <c r="AD44" s="380">
        <f t="shared" si="15"/>
        <v>0</v>
      </c>
      <c r="AE44" s="380">
        <f t="shared" si="15"/>
        <v>0</v>
      </c>
      <c r="AF44" s="380">
        <f t="shared" si="15"/>
        <v>0</v>
      </c>
    </row>
    <row r="45" spans="1:39">
      <c r="A45" s="48" t="s">
        <v>57</v>
      </c>
      <c r="B45" s="48">
        <f>B42+B43</f>
        <v>147786.55240806492</v>
      </c>
      <c r="C45" s="48">
        <f t="shared" ref="C45:AF45" si="16">C42+C43</f>
        <v>142629.45501766322</v>
      </c>
      <c r="D45" s="48">
        <f t="shared" si="16"/>
        <v>136807.7056185219</v>
      </c>
      <c r="E45" s="48">
        <f t="shared" si="16"/>
        <v>130601.12979378093</v>
      </c>
      <c r="F45" s="48">
        <f t="shared" si="16"/>
        <v>123994.09845964404</v>
      </c>
      <c r="G45" s="48">
        <f t="shared" si="16"/>
        <v>116946.59058730821</v>
      </c>
      <c r="H45" s="48">
        <f t="shared" si="16"/>
        <v>109432.33510521261</v>
      </c>
      <c r="I45" s="48">
        <f t="shared" si="16"/>
        <v>101414.17720625101</v>
      </c>
      <c r="J45" s="48">
        <f t="shared" si="16"/>
        <v>92871.931157810075</v>
      </c>
      <c r="K45" s="48">
        <f t="shared" si="16"/>
        <v>83752.873448395374</v>
      </c>
      <c r="L45" s="48">
        <f t="shared" si="16"/>
        <v>74022.424535979342</v>
      </c>
      <c r="M45" s="48">
        <f t="shared" si="16"/>
        <v>63631.533783788764</v>
      </c>
      <c r="N45" s="48">
        <f t="shared" si="16"/>
        <v>52553.989903778478</v>
      </c>
      <c r="O45" s="48">
        <f t="shared" si="16"/>
        <v>40720.376511763374</v>
      </c>
      <c r="P45" s="48">
        <f t="shared" si="16"/>
        <v>28085.169499463896</v>
      </c>
      <c r="Q45" s="48">
        <f t="shared" si="16"/>
        <v>14583.670548383125</v>
      </c>
      <c r="R45" s="48">
        <f t="shared" si="16"/>
        <v>181.70645847805554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0</v>
      </c>
      <c r="Y45" s="48">
        <f t="shared" si="16"/>
        <v>0</v>
      </c>
      <c r="Z45" s="48">
        <f t="shared" si="16"/>
        <v>0</v>
      </c>
      <c r="AA45" s="48">
        <f t="shared" si="16"/>
        <v>0</v>
      </c>
      <c r="AB45" s="48">
        <f t="shared" si="16"/>
        <v>0</v>
      </c>
      <c r="AC45" s="48">
        <f t="shared" si="16"/>
        <v>0</v>
      </c>
      <c r="AD45" s="48">
        <f t="shared" si="16"/>
        <v>0</v>
      </c>
      <c r="AE45" s="48">
        <f t="shared" si="16"/>
        <v>0</v>
      </c>
      <c r="AF45" s="48">
        <f t="shared" si="16"/>
        <v>0</v>
      </c>
    </row>
    <row r="46" spans="1:39">
      <c r="A46" s="48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376"/>
      <c r="Y46" s="376"/>
      <c r="Z46" s="376"/>
      <c r="AA46" s="376"/>
      <c r="AB46" s="376"/>
      <c r="AC46" s="376"/>
      <c r="AD46" s="376"/>
      <c r="AE46" s="376"/>
      <c r="AF46" s="376"/>
    </row>
    <row r="47" spans="1:39">
      <c r="A47" s="390" t="s">
        <v>375</v>
      </c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376"/>
      <c r="Z47" s="376"/>
      <c r="AA47" s="376"/>
      <c r="AB47" s="376"/>
      <c r="AC47" s="376"/>
      <c r="AD47" s="376"/>
      <c r="AE47" s="376"/>
      <c r="AF47" s="376"/>
      <c r="AG47" s="49"/>
      <c r="AH47" s="49"/>
      <c r="AI47" s="49"/>
      <c r="AJ47" s="49"/>
      <c r="AK47" s="49"/>
      <c r="AL47" s="49"/>
      <c r="AM47" s="49"/>
    </row>
    <row r="48" spans="1:39">
      <c r="A48" s="48" t="s">
        <v>130</v>
      </c>
      <c r="B48" s="161">
        <f>SUM(B35,B26)</f>
        <v>1675.8188447220891</v>
      </c>
      <c r="C48" s="161">
        <f t="shared" ref="C48:AF48" si="17">SUM(C35,C26)</f>
        <v>5157.097390401701</v>
      </c>
      <c r="D48" s="161">
        <f t="shared" si="17"/>
        <v>5821.7493991413212</v>
      </c>
      <c r="E48" s="161">
        <f t="shared" si="17"/>
        <v>6206.5758247409685</v>
      </c>
      <c r="F48" s="161">
        <f t="shared" si="17"/>
        <v>6607.0313341368892</v>
      </c>
      <c r="G48" s="161">
        <f t="shared" si="17"/>
        <v>7047.5078723358311</v>
      </c>
      <c r="H48" s="161">
        <f t="shared" si="17"/>
        <v>7514.2554820955993</v>
      </c>
      <c r="I48" s="161">
        <f t="shared" si="17"/>
        <v>8018.1578989615955</v>
      </c>
      <c r="J48" s="161">
        <f t="shared" si="17"/>
        <v>8542.2460484409385</v>
      </c>
      <c r="K48" s="161">
        <f t="shared" si="17"/>
        <v>9119.0577094147011</v>
      </c>
      <c r="L48" s="161">
        <f t="shared" si="17"/>
        <v>9730.4489124160318</v>
      </c>
      <c r="M48" s="161">
        <f t="shared" si="17"/>
        <v>10390.890752190578</v>
      </c>
      <c r="N48" s="161">
        <f t="shared" si="17"/>
        <v>11077.543880010286</v>
      </c>
      <c r="O48" s="161">
        <f t="shared" si="17"/>
        <v>11833.613392015104</v>
      </c>
      <c r="P48" s="161">
        <f t="shared" si="17"/>
        <v>12635.207012299477</v>
      </c>
      <c r="Q48" s="161">
        <f t="shared" si="17"/>
        <v>13501.498951080772</v>
      </c>
      <c r="R48" s="161">
        <f t="shared" si="17"/>
        <v>14401.964089905068</v>
      </c>
      <c r="S48" s="161">
        <f t="shared" si="17"/>
        <v>181.70645847805554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0</v>
      </c>
      <c r="X48" s="161">
        <f t="shared" si="17"/>
        <v>0</v>
      </c>
      <c r="Y48" s="161">
        <f t="shared" si="17"/>
        <v>0</v>
      </c>
      <c r="Z48" s="161">
        <f t="shared" si="17"/>
        <v>0</v>
      </c>
      <c r="AA48" s="161">
        <f t="shared" si="17"/>
        <v>0</v>
      </c>
      <c r="AB48" s="161">
        <f t="shared" si="17"/>
        <v>0</v>
      </c>
      <c r="AC48" s="161">
        <f t="shared" si="17"/>
        <v>0</v>
      </c>
      <c r="AD48" s="161">
        <f t="shared" si="17"/>
        <v>0</v>
      </c>
      <c r="AE48" s="161">
        <f t="shared" si="17"/>
        <v>0</v>
      </c>
      <c r="AF48" s="161">
        <f t="shared" si="17"/>
        <v>0</v>
      </c>
      <c r="AG48" s="49"/>
      <c r="AH48" s="49"/>
      <c r="AI48" s="49"/>
      <c r="AJ48" s="49"/>
      <c r="AK48" s="49"/>
      <c r="AL48" s="49"/>
      <c r="AM48" s="49"/>
    </row>
    <row r="49" spans="1:39">
      <c r="A49" s="390" t="s">
        <v>129</v>
      </c>
      <c r="B49" s="380">
        <f>B36</f>
        <v>4382.5927340652943</v>
      </c>
      <c r="C49" s="380">
        <f t="shared" ref="C49:AF49" si="18">C27+C36+B44</f>
        <v>10253.838273363379</v>
      </c>
      <c r="D49" s="380">
        <f t="shared" si="18"/>
        <v>9883.1921680824707</v>
      </c>
      <c r="E49" s="380">
        <f t="shared" si="18"/>
        <v>9476.4280160658782</v>
      </c>
      <c r="F49" s="380">
        <f t="shared" si="18"/>
        <v>9021.3718656217825</v>
      </c>
      <c r="G49" s="380">
        <f t="shared" si="18"/>
        <v>8557.6402386903392</v>
      </c>
      <c r="H49" s="380">
        <f t="shared" si="18"/>
        <v>8056.2887816999501</v>
      </c>
      <c r="I49" s="380">
        <f t="shared" si="18"/>
        <v>7527.666852685833</v>
      </c>
      <c r="J49" s="380">
        <f t="shared" si="18"/>
        <v>6946.4240364935204</v>
      </c>
      <c r="K49" s="380">
        <f t="shared" si="18"/>
        <v>6343.4669080349331</v>
      </c>
      <c r="L49" s="380">
        <f t="shared" si="18"/>
        <v>5694.6193879314496</v>
      </c>
      <c r="M49" s="380">
        <f t="shared" si="18"/>
        <v>5006.4469416711845</v>
      </c>
      <c r="N49" s="380">
        <f t="shared" si="18"/>
        <v>4259.8745876214634</v>
      </c>
      <c r="O49" s="380">
        <f t="shared" si="18"/>
        <v>3474.5309692157648</v>
      </c>
      <c r="P49" s="380">
        <f t="shared" si="18"/>
        <v>2632.3934267048658</v>
      </c>
      <c r="Q49" s="380">
        <f t="shared" si="18"/>
        <v>1735.1115760899852</v>
      </c>
      <c r="R49" s="380">
        <f t="shared" si="18"/>
        <v>771.73476290623717</v>
      </c>
      <c r="S49" s="380">
        <f t="shared" si="18"/>
        <v>6.3423021397545956</v>
      </c>
      <c r="T49" s="380">
        <f t="shared" si="18"/>
        <v>0</v>
      </c>
      <c r="U49" s="380">
        <f t="shared" si="18"/>
        <v>0</v>
      </c>
      <c r="V49" s="380">
        <f t="shared" si="18"/>
        <v>0</v>
      </c>
      <c r="W49" s="380">
        <f t="shared" si="18"/>
        <v>0</v>
      </c>
      <c r="X49" s="380">
        <f t="shared" si="18"/>
        <v>0</v>
      </c>
      <c r="Y49" s="380">
        <f t="shared" si="18"/>
        <v>0</v>
      </c>
      <c r="Z49" s="380">
        <f t="shared" si="18"/>
        <v>0</v>
      </c>
      <c r="AA49" s="380">
        <f t="shared" si="18"/>
        <v>0</v>
      </c>
      <c r="AB49" s="380">
        <f t="shared" si="18"/>
        <v>0</v>
      </c>
      <c r="AC49" s="380">
        <f t="shared" si="18"/>
        <v>0</v>
      </c>
      <c r="AD49" s="380">
        <f t="shared" si="18"/>
        <v>0</v>
      </c>
      <c r="AE49" s="380">
        <f t="shared" si="18"/>
        <v>0</v>
      </c>
      <c r="AF49" s="380">
        <f t="shared" si="18"/>
        <v>0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6058.4115787873834</v>
      </c>
      <c r="C50" s="49">
        <f t="shared" si="19"/>
        <v>15410.93566376508</v>
      </c>
      <c r="D50" s="49">
        <f t="shared" si="19"/>
        <v>15704.941567223792</v>
      </c>
      <c r="E50" s="49">
        <f t="shared" si="19"/>
        <v>15683.003840806847</v>
      </c>
      <c r="F50" s="49">
        <f t="shared" si="19"/>
        <v>15628.403199758672</v>
      </c>
      <c r="G50" s="49">
        <f t="shared" si="19"/>
        <v>15605.14811102617</v>
      </c>
      <c r="H50" s="49">
        <f t="shared" si="19"/>
        <v>15570.544263795549</v>
      </c>
      <c r="I50" s="49">
        <f t="shared" si="19"/>
        <v>15545.824751647429</v>
      </c>
      <c r="J50" s="49">
        <f t="shared" si="19"/>
        <v>15488.67008493446</v>
      </c>
      <c r="K50" s="49">
        <f t="shared" si="19"/>
        <v>15462.524617449635</v>
      </c>
      <c r="L50" s="49">
        <f t="shared" si="19"/>
        <v>15425.068300347481</v>
      </c>
      <c r="M50" s="49">
        <f t="shared" si="19"/>
        <v>15397.337693861762</v>
      </c>
      <c r="N50" s="49">
        <f t="shared" si="19"/>
        <v>15337.418467631749</v>
      </c>
      <c r="O50" s="49">
        <f t="shared" si="19"/>
        <v>15308.144361230869</v>
      </c>
      <c r="P50" s="49">
        <f t="shared" si="19"/>
        <v>15267.600439004344</v>
      </c>
      <c r="Q50" s="49">
        <f t="shared" si="19"/>
        <v>15236.610527170757</v>
      </c>
      <c r="R50" s="49">
        <f t="shared" si="19"/>
        <v>15173.698852811305</v>
      </c>
      <c r="S50" s="49">
        <f t="shared" si="19"/>
        <v>188.04876061781013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0</v>
      </c>
      <c r="Y50" s="49">
        <f t="shared" si="19"/>
        <v>0</v>
      </c>
      <c r="Z50" s="49">
        <f t="shared" si="19"/>
        <v>0</v>
      </c>
      <c r="AA50" s="49">
        <f t="shared" si="19"/>
        <v>0</v>
      </c>
      <c r="AB50" s="49">
        <f t="shared" si="19"/>
        <v>0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0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390</v>
      </c>
      <c r="B52" s="397">
        <f>IF(B33&gt;0.1,(B38+B29)/B50," ")</f>
        <v>1.2999999999999989</v>
      </c>
      <c r="C52" s="397">
        <f t="shared" ref="C52:AF52" si="20">IF(C33&gt;0.1,(C38+C29)/C50," ")</f>
        <v>1.3</v>
      </c>
      <c r="D52" s="397">
        <f t="shared" si="20"/>
        <v>1.3000000000000036</v>
      </c>
      <c r="E52" s="397">
        <f t="shared" si="20"/>
        <v>1.3000000000000007</v>
      </c>
      <c r="F52" s="397">
        <f t="shared" si="20"/>
        <v>1.2999999999999994</v>
      </c>
      <c r="G52" s="397">
        <f t="shared" si="20"/>
        <v>1.3000000000000005</v>
      </c>
      <c r="H52" s="397">
        <f t="shared" si="20"/>
        <v>1.3</v>
      </c>
      <c r="I52" s="397">
        <f t="shared" si="20"/>
        <v>1.2999999999999994</v>
      </c>
      <c r="J52" s="397">
        <f t="shared" si="20"/>
        <v>1.2999999999999996</v>
      </c>
      <c r="K52" s="397">
        <f t="shared" si="20"/>
        <v>1.3000000000000014</v>
      </c>
      <c r="L52" s="397">
        <f t="shared" si="20"/>
        <v>1.3000000000000012</v>
      </c>
      <c r="M52" s="397">
        <f t="shared" si="20"/>
        <v>1.2999999999999989</v>
      </c>
      <c r="N52" s="397">
        <f t="shared" si="20"/>
        <v>1.3000000000000007</v>
      </c>
      <c r="O52" s="397">
        <f t="shared" si="20"/>
        <v>1.3</v>
      </c>
      <c r="P52" s="456">
        <f t="shared" si="20"/>
        <v>1.2999999999999994</v>
      </c>
      <c r="Q52" s="397">
        <f t="shared" si="20"/>
        <v>1.3000000000000003</v>
      </c>
      <c r="R52" s="397">
        <f t="shared" si="20"/>
        <v>1.3000000000000003</v>
      </c>
      <c r="S52" s="397" t="str">
        <f t="shared" si="20"/>
        <v xml:space="preserve"> </v>
      </c>
      <c r="T52" s="397" t="str">
        <f t="shared" si="20"/>
        <v xml:space="preserve"> </v>
      </c>
      <c r="U52" s="397" t="str">
        <f t="shared" si="20"/>
        <v xml:space="preserve"> </v>
      </c>
      <c r="V52" s="397" t="str">
        <f t="shared" si="20"/>
        <v xml:space="preserve"> </v>
      </c>
      <c r="W52" s="397" t="str">
        <f t="shared" si="20"/>
        <v xml:space="preserve"> </v>
      </c>
      <c r="X52" s="397" t="str">
        <f t="shared" si="20"/>
        <v xml:space="preserve"> </v>
      </c>
      <c r="Y52" s="397" t="str">
        <f t="shared" si="20"/>
        <v xml:space="preserve"> </v>
      </c>
      <c r="Z52" s="397" t="str">
        <f t="shared" si="20"/>
        <v xml:space="preserve"> </v>
      </c>
      <c r="AA52" s="397" t="str">
        <f t="shared" si="20"/>
        <v xml:space="preserve"> </v>
      </c>
      <c r="AB52" s="397" t="str">
        <f t="shared" si="20"/>
        <v xml:space="preserve"> </v>
      </c>
      <c r="AC52" s="397" t="str">
        <f t="shared" si="20"/>
        <v xml:space="preserve"> </v>
      </c>
      <c r="AD52" s="397" t="str">
        <f t="shared" si="20"/>
        <v xml:space="preserve"> </v>
      </c>
      <c r="AE52" s="397" t="str">
        <f t="shared" si="20"/>
        <v xml:space="preserve"> </v>
      </c>
      <c r="AF52" s="456" t="str">
        <f t="shared" si="20"/>
        <v xml:space="preserve"> 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2"/>
      <c r="D53" s="402"/>
      <c r="E53" s="402"/>
      <c r="F53" s="402"/>
      <c r="G53" s="402"/>
      <c r="H53" s="402"/>
      <c r="I53" s="402"/>
      <c r="J53" s="402"/>
      <c r="K53" s="402"/>
      <c r="L53" s="402"/>
      <c r="M53" s="402"/>
      <c r="N53" s="402"/>
      <c r="O53" s="402"/>
      <c r="P53" s="402"/>
      <c r="Q53" s="402"/>
      <c r="R53" s="402"/>
      <c r="S53" s="402"/>
      <c r="T53" s="402"/>
      <c r="U53" s="402"/>
      <c r="V53" s="402"/>
      <c r="W53" s="402"/>
      <c r="X53" s="402"/>
      <c r="Y53" s="402"/>
      <c r="Z53" s="402"/>
      <c r="AA53" s="402"/>
      <c r="AB53" s="402"/>
      <c r="AC53" s="402"/>
      <c r="AD53" s="402"/>
      <c r="AE53" s="402"/>
      <c r="AF53" s="402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2"/>
      <c r="D54" s="402"/>
      <c r="E54" s="402"/>
      <c r="F54" s="402"/>
      <c r="G54" s="402"/>
      <c r="H54" s="402"/>
      <c r="I54" s="402"/>
      <c r="J54" s="402"/>
      <c r="K54" s="402"/>
      <c r="L54" s="402"/>
      <c r="M54" s="402"/>
      <c r="N54" s="402"/>
      <c r="O54" s="402"/>
      <c r="P54" s="402"/>
      <c r="Q54" s="402"/>
      <c r="R54" s="402"/>
      <c r="S54" s="402"/>
      <c r="T54" s="402"/>
      <c r="U54" s="402"/>
      <c r="V54" s="402"/>
      <c r="W54" s="402"/>
      <c r="X54" s="402"/>
      <c r="Y54" s="402"/>
      <c r="Z54" s="402"/>
      <c r="AA54" s="402"/>
      <c r="AB54" s="402"/>
      <c r="AC54" s="402"/>
      <c r="AD54" s="402"/>
      <c r="AE54" s="402"/>
      <c r="AF54" s="402"/>
      <c r="AG54" s="50"/>
      <c r="AH54" s="50"/>
      <c r="AI54" s="50"/>
      <c r="AJ54" s="50"/>
      <c r="AK54" s="50"/>
      <c r="AL54" s="50"/>
      <c r="AM54" s="50"/>
    </row>
    <row r="55" spans="1:39">
      <c r="A55" s="390" t="s">
        <v>374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76"/>
      <c r="AA55" s="376"/>
      <c r="AB55" s="376"/>
      <c r="AC55" s="376"/>
      <c r="AD55" s="376"/>
      <c r="AE55" s="376"/>
      <c r="AF55" s="376"/>
    </row>
    <row r="56" spans="1:39">
      <c r="A56" s="48" t="s">
        <v>130</v>
      </c>
      <c r="B56" s="161">
        <f t="shared" ref="B56:AF56" si="21">B35+B26</f>
        <v>1675.8188447220891</v>
      </c>
      <c r="C56" s="161">
        <f t="shared" si="21"/>
        <v>5157.097390401701</v>
      </c>
      <c r="D56" s="161">
        <f t="shared" si="21"/>
        <v>5821.7493991413212</v>
      </c>
      <c r="E56" s="161">
        <f t="shared" si="21"/>
        <v>6206.5758247409685</v>
      </c>
      <c r="F56" s="161">
        <f t="shared" si="21"/>
        <v>6607.0313341368892</v>
      </c>
      <c r="G56" s="161">
        <f t="shared" si="21"/>
        <v>7047.5078723358311</v>
      </c>
      <c r="H56" s="161">
        <f t="shared" si="21"/>
        <v>7514.2554820955993</v>
      </c>
      <c r="I56" s="161">
        <f t="shared" si="21"/>
        <v>8018.1578989615955</v>
      </c>
      <c r="J56" s="161">
        <f t="shared" si="21"/>
        <v>8542.2460484409385</v>
      </c>
      <c r="K56" s="161">
        <f t="shared" si="21"/>
        <v>9119.0577094147011</v>
      </c>
      <c r="L56" s="161">
        <f t="shared" si="21"/>
        <v>9730.4489124160318</v>
      </c>
      <c r="M56" s="161">
        <f t="shared" si="21"/>
        <v>10390.890752190578</v>
      </c>
      <c r="N56" s="161">
        <f t="shared" si="21"/>
        <v>11077.543880010286</v>
      </c>
      <c r="O56" s="161">
        <f t="shared" si="21"/>
        <v>11833.613392015104</v>
      </c>
      <c r="P56" s="161">
        <f t="shared" si="21"/>
        <v>12635.207012299477</v>
      </c>
      <c r="Q56" s="161">
        <f t="shared" si="21"/>
        <v>13501.498951080772</v>
      </c>
      <c r="R56" s="161">
        <f t="shared" si="21"/>
        <v>14401.964089905068</v>
      </c>
      <c r="S56" s="161">
        <f t="shared" si="21"/>
        <v>181.70645847805554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0</v>
      </c>
      <c r="X56" s="161">
        <f t="shared" si="21"/>
        <v>0</v>
      </c>
      <c r="Y56" s="161">
        <f t="shared" si="21"/>
        <v>0</v>
      </c>
      <c r="Z56" s="161">
        <f t="shared" si="21"/>
        <v>0</v>
      </c>
      <c r="AA56" s="161">
        <f t="shared" si="21"/>
        <v>0</v>
      </c>
      <c r="AB56" s="161">
        <f t="shared" si="21"/>
        <v>0</v>
      </c>
      <c r="AC56" s="161">
        <f t="shared" si="21"/>
        <v>0</v>
      </c>
      <c r="AD56" s="161">
        <f t="shared" si="21"/>
        <v>0</v>
      </c>
      <c r="AE56" s="161">
        <f t="shared" si="21"/>
        <v>0</v>
      </c>
      <c r="AF56" s="161">
        <f t="shared" si="21"/>
        <v>0</v>
      </c>
    </row>
    <row r="57" spans="1:39">
      <c r="A57" s="390" t="s">
        <v>129</v>
      </c>
      <c r="B57" s="380">
        <f t="shared" ref="B57:AF57" si="22">B36+B44+B27</f>
        <v>6960.0063927630999</v>
      </c>
      <c r="C57" s="380">
        <f t="shared" si="22"/>
        <v>10165.601678946436</v>
      </c>
      <c r="D57" s="380">
        <f t="shared" si="22"/>
        <v>9781.5906785686893</v>
      </c>
      <c r="E57" s="380">
        <f t="shared" si="22"/>
        <v>9361.8830336113224</v>
      </c>
      <c r="F57" s="380">
        <f t="shared" si="22"/>
        <v>8912.2930738241412</v>
      </c>
      <c r="G57" s="380">
        <f t="shared" si="22"/>
        <v>8434.6467451375192</v>
      </c>
      <c r="H57" s="380">
        <f t="shared" si="22"/>
        <v>7925.1495832863911</v>
      </c>
      <c r="I57" s="380">
        <f t="shared" si="22"/>
        <v>7382.8977681914776</v>
      </c>
      <c r="J57" s="380">
        <f t="shared" si="22"/>
        <v>6802.180043878413</v>
      </c>
      <c r="K57" s="380">
        <f t="shared" si="22"/>
        <v>6184.320613215833</v>
      </c>
      <c r="L57" s="380">
        <f t="shared" si="22"/>
        <v>5524.8030603366815</v>
      </c>
      <c r="M57" s="380">
        <f t="shared" si="22"/>
        <v>4822.0703911234268</v>
      </c>
      <c r="N57" s="380">
        <f t="shared" si="22"/>
        <v>4069.5828406154692</v>
      </c>
      <c r="O57" s="380">
        <f t="shared" si="22"/>
        <v>3268.0100998811449</v>
      </c>
      <c r="P57" s="380">
        <f t="shared" si="22"/>
        <v>2411.8831015861051</v>
      </c>
      <c r="Q57" s="380">
        <f t="shared" si="22"/>
        <v>1498.7872803648418</v>
      </c>
      <c r="R57" s="380">
        <f t="shared" si="22"/>
        <v>521.08629268321693</v>
      </c>
      <c r="S57" s="380">
        <f t="shared" si="22"/>
        <v>3.1711510698772978</v>
      </c>
      <c r="T57" s="380">
        <f t="shared" si="22"/>
        <v>0</v>
      </c>
      <c r="U57" s="380">
        <f t="shared" si="22"/>
        <v>0</v>
      </c>
      <c r="V57" s="380">
        <f t="shared" si="22"/>
        <v>0</v>
      </c>
      <c r="W57" s="380">
        <f t="shared" si="22"/>
        <v>0</v>
      </c>
      <c r="X57" s="380">
        <f t="shared" si="22"/>
        <v>0</v>
      </c>
      <c r="Y57" s="380">
        <f t="shared" si="22"/>
        <v>0</v>
      </c>
      <c r="Z57" s="380">
        <f t="shared" si="22"/>
        <v>0</v>
      </c>
      <c r="AA57" s="380">
        <f t="shared" si="22"/>
        <v>0</v>
      </c>
      <c r="AB57" s="380">
        <f t="shared" si="22"/>
        <v>0</v>
      </c>
      <c r="AC57" s="380">
        <f t="shared" si="22"/>
        <v>0</v>
      </c>
      <c r="AD57" s="380">
        <f t="shared" si="22"/>
        <v>0</v>
      </c>
      <c r="AE57" s="380">
        <f t="shared" si="22"/>
        <v>0</v>
      </c>
      <c r="AF57" s="380">
        <f t="shared" si="22"/>
        <v>0</v>
      </c>
    </row>
    <row r="58" spans="1:39">
      <c r="A58" s="49" t="s">
        <v>58</v>
      </c>
      <c r="B58" s="49">
        <f>SUM(B56:B57)</f>
        <v>8635.8252374851891</v>
      </c>
      <c r="C58" s="49">
        <f t="shared" ref="C58:AF58" si="23">SUM(C56:C57)</f>
        <v>15322.699069348137</v>
      </c>
      <c r="D58" s="49">
        <f t="shared" si="23"/>
        <v>15603.340077710011</v>
      </c>
      <c r="E58" s="49">
        <f t="shared" si="23"/>
        <v>15568.458858352291</v>
      </c>
      <c r="F58" s="49">
        <f t="shared" si="23"/>
        <v>15519.32440796103</v>
      </c>
      <c r="G58" s="49">
        <f t="shared" si="23"/>
        <v>15482.15461747335</v>
      </c>
      <c r="H58" s="49">
        <f t="shared" si="23"/>
        <v>15439.40506538199</v>
      </c>
      <c r="I58" s="49">
        <f t="shared" si="23"/>
        <v>15401.055667153072</v>
      </c>
      <c r="J58" s="49">
        <f t="shared" si="23"/>
        <v>15344.426092319351</v>
      </c>
      <c r="K58" s="49">
        <f t="shared" si="23"/>
        <v>15303.378322630535</v>
      </c>
      <c r="L58" s="49">
        <f t="shared" si="23"/>
        <v>15255.251972752714</v>
      </c>
      <c r="M58" s="49">
        <f t="shared" si="23"/>
        <v>15212.961143314005</v>
      </c>
      <c r="N58" s="49">
        <f t="shared" si="23"/>
        <v>15147.126720625754</v>
      </c>
      <c r="O58" s="49">
        <f t="shared" si="23"/>
        <v>15101.623491896249</v>
      </c>
      <c r="P58" s="49">
        <f t="shared" si="23"/>
        <v>15047.090113885582</v>
      </c>
      <c r="Q58" s="49">
        <f t="shared" si="23"/>
        <v>15000.286231445614</v>
      </c>
      <c r="R58" s="49">
        <f t="shared" si="23"/>
        <v>14923.050382588284</v>
      </c>
      <c r="S58" s="49">
        <f t="shared" si="23"/>
        <v>184.87760954793285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0</v>
      </c>
      <c r="Y58" s="49">
        <f t="shared" si="23"/>
        <v>0</v>
      </c>
      <c r="Z58" s="49">
        <f t="shared" si="23"/>
        <v>0</v>
      </c>
      <c r="AA58" s="49">
        <f t="shared" si="23"/>
        <v>0</v>
      </c>
      <c r="AB58" s="49">
        <f t="shared" si="23"/>
        <v>0</v>
      </c>
      <c r="AC58" s="49">
        <f t="shared" si="23"/>
        <v>0</v>
      </c>
      <c r="AD58" s="49">
        <f t="shared" si="23"/>
        <v>0</v>
      </c>
      <c r="AE58" s="49">
        <f t="shared" si="23"/>
        <v>0</v>
      </c>
      <c r="AF58" s="49">
        <f t="shared" si="23"/>
        <v>0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  <c r="Q59" s="402"/>
      <c r="R59" s="402"/>
      <c r="S59" s="402"/>
      <c r="T59" s="402"/>
      <c r="U59" s="402"/>
      <c r="V59" s="402"/>
      <c r="W59" s="402"/>
      <c r="X59" s="402"/>
      <c r="Y59" s="402"/>
      <c r="Z59" s="402"/>
      <c r="AA59" s="402"/>
      <c r="AB59" s="402"/>
      <c r="AC59" s="402"/>
      <c r="AD59" s="402"/>
      <c r="AE59" s="402"/>
      <c r="AF59" s="402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3"/>
      <c r="P60" s="403"/>
      <c r="Q60" s="403"/>
      <c r="R60" s="403"/>
      <c r="S60" s="403"/>
      <c r="T60" s="403"/>
      <c r="U60" s="403"/>
      <c r="V60" s="403"/>
      <c r="W60" s="403"/>
      <c r="X60" s="403"/>
      <c r="Y60" s="403"/>
      <c r="Z60" s="403"/>
      <c r="AA60" s="403"/>
      <c r="AB60" s="403"/>
      <c r="AC60" s="403"/>
      <c r="AD60" s="403"/>
      <c r="AE60" s="403"/>
      <c r="AF60" s="403"/>
      <c r="AG60" s="50"/>
      <c r="AH60" s="50"/>
      <c r="AI60" s="50"/>
      <c r="AJ60" s="50"/>
      <c r="AK60" s="50"/>
      <c r="AL60" s="50"/>
      <c r="AM60" s="50"/>
    </row>
    <row r="61" spans="1:39">
      <c r="B61" s="603" t="s">
        <v>318</v>
      </c>
      <c r="C61" s="604"/>
      <c r="D61" s="604"/>
      <c r="E61" s="605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47" t="s">
        <v>378</v>
      </c>
      <c r="C62" s="57"/>
      <c r="D62" s="57"/>
      <c r="E62" s="448">
        <f>Assumptions!G37</f>
        <v>0.06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1">
        <f>Assumptions!G38</f>
        <v>0.01</v>
      </c>
      <c r="AA63" s="12"/>
      <c r="AB63" s="12"/>
    </row>
    <row r="64" spans="1:39">
      <c r="A64" s="48"/>
      <c r="B64" s="327" t="s">
        <v>379</v>
      </c>
      <c r="C64" s="58"/>
      <c r="D64" s="58"/>
      <c r="E64" s="393">
        <f>E63+E62</f>
        <v>6.9999999999999993E-2</v>
      </c>
      <c r="AA64" s="12"/>
      <c r="AB64" s="12"/>
    </row>
    <row r="65" spans="1:43">
      <c r="B65" s="395" t="s">
        <v>377</v>
      </c>
      <c r="C65" s="57"/>
      <c r="D65" s="57"/>
      <c r="E65" s="394">
        <f>Assumptions!G33</f>
        <v>30</v>
      </c>
      <c r="AA65" s="12"/>
      <c r="AB65" s="12"/>
    </row>
    <row r="66" spans="1:43">
      <c r="B66" s="436" t="s">
        <v>376</v>
      </c>
      <c r="C66" s="13"/>
      <c r="D66" s="13"/>
      <c r="E66" s="449">
        <f>B77</f>
        <v>10.011229742790054</v>
      </c>
      <c r="AA66" s="12"/>
      <c r="AB66" s="12"/>
    </row>
    <row r="67" spans="1:43">
      <c r="B67" s="327" t="s">
        <v>53</v>
      </c>
      <c r="C67" s="58"/>
      <c r="D67" s="58"/>
      <c r="E67" s="437">
        <f>B33</f>
        <v>149462.37125278701</v>
      </c>
      <c r="AA67" s="12"/>
      <c r="AB67" s="12"/>
    </row>
    <row r="68" spans="1:43">
      <c r="B68" s="324" t="s">
        <v>0</v>
      </c>
      <c r="C68" s="57"/>
      <c r="D68" s="57" t="s">
        <v>372</v>
      </c>
      <c r="E68" s="452">
        <f>AVERAGE(B52:AF52)</f>
        <v>1.3000000000000003</v>
      </c>
      <c r="AA68" s="12"/>
      <c r="AB68" s="12"/>
    </row>
    <row r="69" spans="1:43">
      <c r="B69" s="450"/>
      <c r="C69" s="58"/>
      <c r="D69" s="58" t="s">
        <v>373</v>
      </c>
      <c r="E69" s="453">
        <f>MIN(B52:AF52)</f>
        <v>1.2999999999999989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54">
        <f>(SUMPRODUCT(B74:AF74,B35:AF35)+SUMPRODUCT(B75:AF75,B26:AF26))/E67</f>
        <v>10.011229742790054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8"/>
      <c r="AB79" s="378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topLeftCell="A10" zoomScale="75" zoomScaleNormal="75" workbookViewId="0">
      <selection activeCell="D48" sqref="D48"/>
    </sheetView>
  </sheetViews>
  <sheetFormatPr defaultRowHeight="12.75"/>
  <cols>
    <col min="1" max="1" width="55.7109375" style="12" customWidth="1"/>
    <col min="2" max="2" width="11.855468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Homestead, Florida</v>
      </c>
    </row>
    <row r="4" spans="1:34" ht="18.75">
      <c r="A4" s="60" t="s">
        <v>93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5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241</v>
      </c>
      <c r="B12" s="31">
        <f>Assumptions!$N$39</f>
        <v>15</v>
      </c>
      <c r="C12" s="32"/>
      <c r="D12" s="273">
        <v>0.05</v>
      </c>
      <c r="E12" s="273">
        <v>9.5000000000000001E-2</v>
      </c>
      <c r="F12" s="273">
        <v>8.5500000000000007E-2</v>
      </c>
      <c r="G12" s="273">
        <v>7.6999999999999999E-2</v>
      </c>
      <c r="H12" s="273">
        <v>6.93E-2</v>
      </c>
      <c r="I12" s="273">
        <v>6.2300000000000001E-2</v>
      </c>
      <c r="J12" s="273">
        <v>5.8999999999999997E-2</v>
      </c>
      <c r="K12" s="273">
        <v>5.91E-2</v>
      </c>
      <c r="L12" s="273">
        <v>5.8999999999999997E-2</v>
      </c>
      <c r="M12" s="273">
        <v>5.91E-2</v>
      </c>
      <c r="N12" s="273">
        <v>5.8999999999999997E-2</v>
      </c>
      <c r="O12" s="273">
        <v>5.91E-2</v>
      </c>
      <c r="P12" s="273">
        <v>5.8999999999999997E-2</v>
      </c>
      <c r="Q12" s="273">
        <v>5.91E-2</v>
      </c>
      <c r="R12" s="273">
        <v>5.8999999999999997E-2</v>
      </c>
      <c r="S12" s="273">
        <v>2.9499999999999998E-2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0</v>
      </c>
      <c r="AB12" s="273">
        <v>0</v>
      </c>
      <c r="AC12" s="273">
        <v>0</v>
      </c>
      <c r="AD12" s="273">
        <v>0</v>
      </c>
      <c r="AE12" s="273">
        <v>0</v>
      </c>
      <c r="AF12" s="273">
        <v>0</v>
      </c>
      <c r="AG12" s="273">
        <v>0</v>
      </c>
      <c r="AH12" s="273">
        <v>0</v>
      </c>
    </row>
    <row r="13" spans="1:34" s="10" customFormat="1">
      <c r="A13" s="21" t="s">
        <v>242</v>
      </c>
      <c r="B13" s="31">
        <f>Assumptions!$N$40</f>
        <v>5</v>
      </c>
      <c r="C13" s="32"/>
      <c r="D13" s="273">
        <f>1/$B$13*D6</f>
        <v>0.13333333333333333</v>
      </c>
      <c r="E13" s="273">
        <f>1/$B$13</f>
        <v>0.2</v>
      </c>
      <c r="F13" s="273">
        <f>1/$B$13</f>
        <v>0.2</v>
      </c>
      <c r="G13" s="273">
        <f>1/$B$13</f>
        <v>0.2</v>
      </c>
      <c r="H13" s="273">
        <f>1/$B$13</f>
        <v>0.2</v>
      </c>
      <c r="I13" s="273">
        <f>1/B13-D13</f>
        <v>6.666666666666668E-2</v>
      </c>
      <c r="J13" s="273">
        <v>0</v>
      </c>
      <c r="K13" s="273">
        <v>0</v>
      </c>
      <c r="L13" s="273">
        <v>0</v>
      </c>
      <c r="M13" s="273">
        <v>0</v>
      </c>
      <c r="N13" s="273">
        <v>0</v>
      </c>
      <c r="O13" s="273">
        <v>0</v>
      </c>
      <c r="P13" s="273">
        <v>0</v>
      </c>
      <c r="Q13" s="273">
        <v>0</v>
      </c>
      <c r="R13" s="273">
        <v>0</v>
      </c>
      <c r="S13" s="273">
        <v>0</v>
      </c>
      <c r="T13" s="273">
        <v>0</v>
      </c>
      <c r="U13" s="273">
        <v>0</v>
      </c>
      <c r="V13" s="273">
        <v>0</v>
      </c>
      <c r="W13" s="273">
        <v>0</v>
      </c>
      <c r="X13" s="273">
        <v>0</v>
      </c>
      <c r="Y13" s="273">
        <v>0</v>
      </c>
      <c r="Z13" s="273">
        <v>0</v>
      </c>
      <c r="AA13" s="273">
        <v>0</v>
      </c>
      <c r="AB13" s="273">
        <v>0</v>
      </c>
      <c r="AC13" s="273">
        <v>0</v>
      </c>
      <c r="AD13" s="273">
        <v>0</v>
      </c>
      <c r="AE13" s="273">
        <v>0</v>
      </c>
      <c r="AF13" s="273">
        <v>0</v>
      </c>
      <c r="AG13" s="273">
        <v>0</v>
      </c>
      <c r="AH13" s="273">
        <v>0</v>
      </c>
    </row>
    <row r="14" spans="1:34" s="70" customFormat="1">
      <c r="A14" s="22" t="s">
        <v>308</v>
      </c>
      <c r="B14" s="68">
        <f>Assumptions!$N$41</f>
        <v>20</v>
      </c>
      <c r="C14" s="69"/>
      <c r="D14" s="273">
        <f>1/Assumptions!$N$41*D6</f>
        <v>3.3333333333333333E-2</v>
      </c>
      <c r="E14" s="273">
        <f>IF(AND(E6&gt;=Assumptions!$N$41,D6&lt;Assumptions!$N$41),1/Assumptions!$N$41-Depreciation!$D$14,IF(E6&lt;Assumptions!$N$41,1/Assumptions!$N$41,0))</f>
        <v>0.05</v>
      </c>
      <c r="F14" s="273">
        <f>IF(AND(F6&gt;=Assumptions!$N$41,E6&lt;Assumptions!$N$41),1/Assumptions!$N$41-Depreciation!$D$14,IF(F6&lt;Assumptions!$N$41,1/Assumptions!$N$41,0))</f>
        <v>0.05</v>
      </c>
      <c r="G14" s="273">
        <f>IF(AND(G6&gt;=Assumptions!$N$41,F6&lt;Assumptions!$N$41),1/Assumptions!$N$41-Depreciation!$D$14,IF(G6&lt;Assumptions!$N$41,1/Assumptions!$N$41,0))</f>
        <v>0.05</v>
      </c>
      <c r="H14" s="273">
        <f>IF(AND(H6&gt;=Assumptions!$N$41,G6&lt;Assumptions!$N$41),1/Assumptions!$N$41-Depreciation!$D$14,IF(H6&lt;Assumptions!$N$41,1/Assumptions!$N$41,0))</f>
        <v>0.05</v>
      </c>
      <c r="I14" s="273">
        <f>IF(AND(I6&gt;=Assumptions!$N$41,H6&lt;Assumptions!$N$41),1/Assumptions!$N$41-Depreciation!$D$14,IF(I6&lt;Assumptions!$N$41,1/Assumptions!$N$41,0))</f>
        <v>0.05</v>
      </c>
      <c r="J14" s="273">
        <f>IF(AND(J6&gt;=Assumptions!$N$41,I6&lt;Assumptions!$N$41),1/Assumptions!$N$41-Depreciation!$D$14,IF(J6&lt;Assumptions!$N$41,1/Assumptions!$N$41,0))</f>
        <v>0.05</v>
      </c>
      <c r="K14" s="273">
        <f>IF(AND(K6&gt;=Assumptions!$N$41,J6&lt;Assumptions!$N$41),1/Assumptions!$N$41-Depreciation!$D$14,IF(K6&lt;Assumptions!$N$41,1/Assumptions!$N$41,0))</f>
        <v>0.05</v>
      </c>
      <c r="L14" s="273">
        <f>IF(AND(L6&gt;=Assumptions!$N$41,K6&lt;Assumptions!$N$41),1/Assumptions!$N$41-Depreciation!$D$14,IF(L6&lt;Assumptions!$N$41,1/Assumptions!$N$41,0))</f>
        <v>0.05</v>
      </c>
      <c r="M14" s="273">
        <f>IF(AND(M6&gt;=Assumptions!$N$41,L6&lt;Assumptions!$N$41),1/Assumptions!$N$41-Depreciation!$D$14,IF(M6&lt;Assumptions!$N$41,1/Assumptions!$N$41,0))</f>
        <v>0.05</v>
      </c>
      <c r="N14" s="273">
        <f>IF(AND(N6&gt;=Assumptions!$N$41,M6&lt;Assumptions!$N$41),1/Assumptions!$N$41-Depreciation!$D$14,IF(N6&lt;Assumptions!$N$41,1/Assumptions!$N$41,0))</f>
        <v>0.05</v>
      </c>
      <c r="O14" s="273">
        <f>IF(AND(O6&gt;=Assumptions!$N$41,N6&lt;Assumptions!$N$41),1/Assumptions!$N$41-Depreciation!$D$14,IF(O6&lt;Assumptions!$N$41,1/Assumptions!$N$41,0))</f>
        <v>0.05</v>
      </c>
      <c r="P14" s="273">
        <f>IF(AND(P6&gt;=Assumptions!$N$41,O6&lt;Assumptions!$N$41),1/Assumptions!$N$41-Depreciation!$D$14,IF(P6&lt;Assumptions!$N$41,1/Assumptions!$N$41,0))</f>
        <v>0.05</v>
      </c>
      <c r="Q14" s="273">
        <f>IF(AND(Q6&gt;=Assumptions!$N$41,P6&lt;Assumptions!$N$41),1/Assumptions!$N$41-Depreciation!$D$14,IF(Q6&lt;Assumptions!$N$41,1/Assumptions!$N$41,0))</f>
        <v>0.05</v>
      </c>
      <c r="R14" s="273">
        <f>IF(AND(R6&gt;=Assumptions!$N$41,Q6&lt;Assumptions!$N$41),1/Assumptions!$N$41-Depreciation!$D$14,IF(R6&lt;Assumptions!$N$41,1/Assumptions!$N$41,0))</f>
        <v>0.05</v>
      </c>
      <c r="S14" s="273">
        <f>IF(AND(S6&gt;=Assumptions!$N$41,R6&lt;Assumptions!$N$41),1/Assumptions!$N$41-Depreciation!$D$14,IF(S6&lt;Assumptions!$N$41,1/Assumptions!$N$41,0))</f>
        <v>0.05</v>
      </c>
      <c r="T14" s="273">
        <f>IF(AND(T6&gt;=Assumptions!$N$41,S6&lt;Assumptions!$N$41),1/Assumptions!$N$41-Depreciation!$D$14,IF(T6&lt;Assumptions!$N$41,1/Assumptions!$N$41,0))</f>
        <v>0.05</v>
      </c>
      <c r="U14" s="273">
        <f>IF(AND(U6&gt;=Assumptions!$N$41,T6&lt;Assumptions!$N$41),1/Assumptions!$N$41-Depreciation!$D$14,IF(U6&lt;Assumptions!$N$41,1/Assumptions!$N$41,0))</f>
        <v>0.05</v>
      </c>
      <c r="V14" s="273">
        <f>IF(AND(V6&gt;=Assumptions!$N$41,U6&lt;Assumptions!$N$41),1/Assumptions!$N$41-Depreciation!$D$14,IF(V6&lt;Assumptions!$N$41,1/Assumptions!$N$41,0))</f>
        <v>0.05</v>
      </c>
      <c r="W14" s="273">
        <f>IF(AND(W6&gt;=Assumptions!$N$41,V6&lt;Assumptions!$N$41),1/Assumptions!$N$41-Depreciation!$D$14,IF(W6&lt;Assumptions!$N$41,1/Assumptions!$N$41,0))</f>
        <v>0.05</v>
      </c>
      <c r="X14" s="273">
        <f>IF(AND(X6&gt;=Assumptions!$N$41,W6&lt;Assumptions!$N$41),1/Assumptions!$N$41-Depreciation!$D$14,IF(X6&lt;Assumptions!$N$41,1/Assumptions!$N$41,0))</f>
        <v>1.666666666666667E-2</v>
      </c>
      <c r="Y14" s="273">
        <f>IF(AND(Y6&gt;=Assumptions!$N$41,X6&lt;Assumptions!$N$41),1/Assumptions!$N$41-Depreciation!$D$14,IF(Y6&lt;Assumptions!$N$41,1/Assumptions!$N$41,0))</f>
        <v>0</v>
      </c>
      <c r="Z14" s="273">
        <f>IF(AND(Z6&gt;=Assumptions!$N$41,Y6&lt;Assumptions!$N$41),1/Assumptions!$N$41-Depreciation!$D$14,IF(Z6&lt;Assumptions!$N$41,1/Assumptions!$N$41,0))</f>
        <v>0</v>
      </c>
      <c r="AA14" s="273">
        <f>IF(AND(AA6&gt;=Assumptions!$N$41,Z6&lt;Assumptions!$N$41),1/Assumptions!$N$41-Depreciation!$D$14,IF(AA6&lt;Assumptions!$N$41,1/Assumptions!$N$41,0))</f>
        <v>0</v>
      </c>
      <c r="AB14" s="273">
        <f>IF(AND(AB6&gt;=Assumptions!$N$41,AA6&lt;Assumptions!$N$41),1/Assumptions!$N$41-Depreciation!$D$14,IF(AB6&lt;Assumptions!$N$41,1/Assumptions!$N$41,0))</f>
        <v>0</v>
      </c>
      <c r="AC14" s="273">
        <f>IF(AND(AC6&gt;=Assumptions!$N$41,AB6&lt;Assumptions!$N$41),1/Assumptions!$N$41-Depreciation!$D$14,IF(AC6&lt;Assumptions!$N$41,1/Assumptions!$N$41,0))</f>
        <v>0</v>
      </c>
      <c r="AD14" s="273">
        <f>IF(AND(AD6&gt;=Assumptions!$N$41,AC6&lt;Assumptions!$N$41),1/Assumptions!$N$41-Depreciation!$D$14,IF(AD6&lt;Assumptions!$N$41,1/Assumptions!$N$41,0))</f>
        <v>0</v>
      </c>
      <c r="AE14" s="273">
        <f>IF(AND(AE6&gt;=Assumptions!$N$41,AD6&lt;Assumptions!$N$41),1/Assumptions!$N$41-Depreciation!$D$14,IF(AE6&lt;Assumptions!$N$41,1/Assumptions!$N$41,0))</f>
        <v>0</v>
      </c>
      <c r="AF14" s="273">
        <f>IF(AND(AF6&gt;=Assumptions!$N$41,AE6&lt;Assumptions!$N$41),1/Assumptions!$N$41-Depreciation!$D$14,IF(AF6&lt;Assumptions!$N$41,1/Assumptions!$N$41,0))</f>
        <v>0</v>
      </c>
      <c r="AG14" s="273">
        <f>IF(AND(AG6&gt;=Assumptions!$N$41,AF6&lt;Assumptions!$N$41),1/Assumptions!$N$41-Depreciation!$D$14,IF(AG6&lt;Assumptions!$N$41,1/Assumptions!$N$41,0))</f>
        <v>0</v>
      </c>
      <c r="AH14" s="27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241</v>
      </c>
      <c r="B16" s="368">
        <f>Assumptions!C34+Assumptions!C48+Assumptions!C40</f>
        <v>196610.88926826714</v>
      </c>
      <c r="C16" s="297"/>
      <c r="D16" s="18">
        <f>$B$16*D12</f>
        <v>9830.5444634133582</v>
      </c>
      <c r="E16" s="18">
        <f t="shared" ref="E16:Y16" si="0">$B$16*E12</f>
        <v>18678.034480485378</v>
      </c>
      <c r="F16" s="18">
        <f t="shared" si="0"/>
        <v>16810.231032436841</v>
      </c>
      <c r="G16" s="18">
        <f t="shared" si="0"/>
        <v>15139.03847365657</v>
      </c>
      <c r="H16" s="18">
        <f t="shared" si="0"/>
        <v>13625.134626290914</v>
      </c>
      <c r="I16" s="18">
        <f t="shared" si="0"/>
        <v>12248.858401413043</v>
      </c>
      <c r="J16" s="18">
        <f t="shared" si="0"/>
        <v>11600.042466827761</v>
      </c>
      <c r="K16" s="18">
        <f t="shared" si="0"/>
        <v>11619.703555754588</v>
      </c>
      <c r="L16" s="18">
        <f t="shared" si="0"/>
        <v>11600.042466827761</v>
      </c>
      <c r="M16" s="18">
        <f t="shared" si="0"/>
        <v>11619.703555754588</v>
      </c>
      <c r="N16" s="18">
        <f t="shared" si="0"/>
        <v>11600.042466827761</v>
      </c>
      <c r="O16" s="18">
        <f t="shared" si="0"/>
        <v>11619.703555754588</v>
      </c>
      <c r="P16" s="18">
        <f t="shared" si="0"/>
        <v>11600.042466827761</v>
      </c>
      <c r="Q16" s="18">
        <f t="shared" si="0"/>
        <v>11619.703555754588</v>
      </c>
      <c r="R16" s="18">
        <f t="shared" si="0"/>
        <v>11600.042466827761</v>
      </c>
      <c r="S16" s="18">
        <f t="shared" si="0"/>
        <v>5800.0212334138805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242</v>
      </c>
      <c r="B17" s="296">
        <f>Assumptions!C52-Assumptions!C48-Assumptions!C49</f>
        <v>13509.093950000002</v>
      </c>
      <c r="C17" s="297"/>
      <c r="D17" s="294">
        <f>$B$17*D13</f>
        <v>1801.2125266666669</v>
      </c>
      <c r="E17" s="294">
        <f t="shared" ref="E17:AH17" si="2">$B$17*E13</f>
        <v>2701.8187900000007</v>
      </c>
      <c r="F17" s="294">
        <f t="shared" si="2"/>
        <v>2701.8187900000007</v>
      </c>
      <c r="G17" s="294">
        <f t="shared" si="2"/>
        <v>2701.8187900000007</v>
      </c>
      <c r="H17" s="294">
        <f t="shared" si="2"/>
        <v>2701.8187900000007</v>
      </c>
      <c r="I17" s="294">
        <f t="shared" si="2"/>
        <v>900.60626333333369</v>
      </c>
      <c r="J17" s="294">
        <f t="shared" si="2"/>
        <v>0</v>
      </c>
      <c r="K17" s="294">
        <f t="shared" si="2"/>
        <v>0</v>
      </c>
      <c r="L17" s="294">
        <f t="shared" si="2"/>
        <v>0</v>
      </c>
      <c r="M17" s="294">
        <f t="shared" si="2"/>
        <v>0</v>
      </c>
      <c r="N17" s="294">
        <f t="shared" si="2"/>
        <v>0</v>
      </c>
      <c r="O17" s="294">
        <f t="shared" si="2"/>
        <v>0</v>
      </c>
      <c r="P17" s="294">
        <f t="shared" si="2"/>
        <v>0</v>
      </c>
      <c r="Q17" s="294">
        <f t="shared" si="2"/>
        <v>0</v>
      </c>
      <c r="R17" s="294">
        <f t="shared" si="2"/>
        <v>0</v>
      </c>
      <c r="S17" s="294">
        <f t="shared" si="2"/>
        <v>0</v>
      </c>
      <c r="T17" s="294">
        <f t="shared" si="2"/>
        <v>0</v>
      </c>
      <c r="U17" s="294">
        <f t="shared" si="2"/>
        <v>0</v>
      </c>
      <c r="V17" s="294">
        <f t="shared" si="2"/>
        <v>0</v>
      </c>
      <c r="W17" s="294">
        <f t="shared" si="2"/>
        <v>0</v>
      </c>
      <c r="X17" s="294">
        <f t="shared" si="2"/>
        <v>0</v>
      </c>
      <c r="Y17" s="294">
        <f t="shared" si="2"/>
        <v>0</v>
      </c>
      <c r="Z17" s="294">
        <f t="shared" si="2"/>
        <v>0</v>
      </c>
      <c r="AA17" s="294">
        <f t="shared" si="2"/>
        <v>0</v>
      </c>
      <c r="AB17" s="294">
        <f t="shared" si="2"/>
        <v>0</v>
      </c>
      <c r="AC17" s="294">
        <f t="shared" si="2"/>
        <v>0</v>
      </c>
      <c r="AD17" s="294">
        <f t="shared" si="2"/>
        <v>0</v>
      </c>
      <c r="AE17" s="294">
        <f t="shared" si="2"/>
        <v>0</v>
      </c>
      <c r="AF17" s="294">
        <f t="shared" si="2"/>
        <v>0</v>
      </c>
      <c r="AG17" s="294">
        <f t="shared" si="2"/>
        <v>0</v>
      </c>
      <c r="AH17" s="294">
        <f t="shared" si="2"/>
        <v>0</v>
      </c>
    </row>
    <row r="18" spans="1:36" s="10" customFormat="1" ht="15">
      <c r="A18" s="22" t="s">
        <v>308</v>
      </c>
      <c r="B18" s="369">
        <f>Assumptions!$C$58</f>
        <v>0</v>
      </c>
      <c r="C18" s="297"/>
      <c r="D18" s="370">
        <f>$B$18*D14</f>
        <v>0</v>
      </c>
      <c r="E18" s="370">
        <f t="shared" ref="E18:Y18" si="3">$B$18*E14</f>
        <v>0</v>
      </c>
      <c r="F18" s="370">
        <f t="shared" si="3"/>
        <v>0</v>
      </c>
      <c r="G18" s="370">
        <f t="shared" si="3"/>
        <v>0</v>
      </c>
      <c r="H18" s="370">
        <f t="shared" si="3"/>
        <v>0</v>
      </c>
      <c r="I18" s="370">
        <f t="shared" si="3"/>
        <v>0</v>
      </c>
      <c r="J18" s="370">
        <f t="shared" si="3"/>
        <v>0</v>
      </c>
      <c r="K18" s="370">
        <f t="shared" si="3"/>
        <v>0</v>
      </c>
      <c r="L18" s="370">
        <f t="shared" si="3"/>
        <v>0</v>
      </c>
      <c r="M18" s="370">
        <f t="shared" si="3"/>
        <v>0</v>
      </c>
      <c r="N18" s="370">
        <f t="shared" si="3"/>
        <v>0</v>
      </c>
      <c r="O18" s="370">
        <f t="shared" si="3"/>
        <v>0</v>
      </c>
      <c r="P18" s="370">
        <f t="shared" si="3"/>
        <v>0</v>
      </c>
      <c r="Q18" s="370">
        <f t="shared" si="3"/>
        <v>0</v>
      </c>
      <c r="R18" s="370">
        <f t="shared" si="3"/>
        <v>0</v>
      </c>
      <c r="S18" s="370">
        <f t="shared" si="3"/>
        <v>0</v>
      </c>
      <c r="T18" s="370">
        <f t="shared" si="3"/>
        <v>0</v>
      </c>
      <c r="U18" s="370">
        <f t="shared" si="3"/>
        <v>0</v>
      </c>
      <c r="V18" s="370">
        <f t="shared" si="3"/>
        <v>0</v>
      </c>
      <c r="W18" s="370">
        <f t="shared" si="3"/>
        <v>0</v>
      </c>
      <c r="X18" s="370">
        <f t="shared" si="3"/>
        <v>0</v>
      </c>
      <c r="Y18" s="370">
        <f t="shared" si="3"/>
        <v>0</v>
      </c>
      <c r="Z18" s="370">
        <f t="shared" ref="Z18:AH18" si="4">$B$18*Z14</f>
        <v>0</v>
      </c>
      <c r="AA18" s="370">
        <f t="shared" si="4"/>
        <v>0</v>
      </c>
      <c r="AB18" s="370">
        <f t="shared" si="4"/>
        <v>0</v>
      </c>
      <c r="AC18" s="370">
        <f t="shared" si="4"/>
        <v>0</v>
      </c>
      <c r="AD18" s="370">
        <f t="shared" si="4"/>
        <v>0</v>
      </c>
      <c r="AE18" s="370">
        <f t="shared" si="4"/>
        <v>0</v>
      </c>
      <c r="AF18" s="370">
        <f t="shared" si="4"/>
        <v>0</v>
      </c>
      <c r="AG18" s="370">
        <f t="shared" si="4"/>
        <v>0</v>
      </c>
      <c r="AH18" s="370">
        <f t="shared" si="4"/>
        <v>0</v>
      </c>
    </row>
    <row r="19" spans="1:36" s="10" customFormat="1">
      <c r="A19" s="22" t="s">
        <v>61</v>
      </c>
      <c r="B19" s="18">
        <f>SUM(B16:B18)</f>
        <v>210119.98321826715</v>
      </c>
      <c r="C19" s="297"/>
      <c r="D19" s="18">
        <f t="shared" ref="D19:Y19" si="5">SUM(D16:D18)</f>
        <v>11631.756990080024</v>
      </c>
      <c r="E19" s="18">
        <f t="shared" si="5"/>
        <v>21379.853270485379</v>
      </c>
      <c r="F19" s="18">
        <f t="shared" si="5"/>
        <v>19512.049822436842</v>
      </c>
      <c r="G19" s="18">
        <f t="shared" si="5"/>
        <v>17840.85726365657</v>
      </c>
      <c r="H19" s="18">
        <f t="shared" si="5"/>
        <v>16326.953416290915</v>
      </c>
      <c r="I19" s="18">
        <f t="shared" si="5"/>
        <v>13149.464664746376</v>
      </c>
      <c r="J19" s="18">
        <f t="shared" si="5"/>
        <v>11600.042466827761</v>
      </c>
      <c r="K19" s="18">
        <f t="shared" si="5"/>
        <v>11619.703555754588</v>
      </c>
      <c r="L19" s="18">
        <f t="shared" si="5"/>
        <v>11600.042466827761</v>
      </c>
      <c r="M19" s="18">
        <f t="shared" si="5"/>
        <v>11619.703555754588</v>
      </c>
      <c r="N19" s="18">
        <f t="shared" si="5"/>
        <v>11600.042466827761</v>
      </c>
      <c r="O19" s="18">
        <f t="shared" si="5"/>
        <v>11619.703555754588</v>
      </c>
      <c r="P19" s="18">
        <f t="shared" si="5"/>
        <v>11600.042466827761</v>
      </c>
      <c r="Q19" s="18">
        <f t="shared" si="5"/>
        <v>11619.703555754588</v>
      </c>
      <c r="R19" s="18">
        <f t="shared" si="5"/>
        <v>11600.042466827761</v>
      </c>
      <c r="S19" s="18">
        <f t="shared" si="5"/>
        <v>5800.0212334138805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298">
        <f>B19</f>
        <v>210119.98321826715</v>
      </c>
      <c r="C21" s="371"/>
      <c r="D21" s="298">
        <f>B19-D19</f>
        <v>198488.22622818712</v>
      </c>
      <c r="E21" s="298">
        <f>D21-E19</f>
        <v>177108.37295770174</v>
      </c>
      <c r="F21" s="298">
        <f t="shared" ref="F21:X21" si="7">E21-F19</f>
        <v>157596.32313526489</v>
      </c>
      <c r="G21" s="298">
        <f t="shared" si="7"/>
        <v>139755.46587160832</v>
      </c>
      <c r="H21" s="298">
        <f t="shared" si="7"/>
        <v>123428.51245531741</v>
      </c>
      <c r="I21" s="298">
        <f t="shared" si="7"/>
        <v>110279.04779057103</v>
      </c>
      <c r="J21" s="298">
        <f t="shared" si="7"/>
        <v>98679.005323743273</v>
      </c>
      <c r="K21" s="298">
        <f t="shared" si="7"/>
        <v>87059.301767988683</v>
      </c>
      <c r="L21" s="298">
        <f t="shared" si="7"/>
        <v>75459.259301160928</v>
      </c>
      <c r="M21" s="298">
        <f t="shared" si="7"/>
        <v>63839.555745406338</v>
      </c>
      <c r="N21" s="298">
        <f t="shared" si="7"/>
        <v>52239.513278578575</v>
      </c>
      <c r="O21" s="298">
        <f t="shared" si="7"/>
        <v>40619.809722823986</v>
      </c>
      <c r="P21" s="298">
        <f t="shared" si="7"/>
        <v>29019.767255996223</v>
      </c>
      <c r="Q21" s="298">
        <f t="shared" si="7"/>
        <v>17400.063700241633</v>
      </c>
      <c r="R21" s="298">
        <f t="shared" si="7"/>
        <v>5800.0212334138723</v>
      </c>
      <c r="S21" s="298">
        <f t="shared" si="7"/>
        <v>-8.1854523159563541E-12</v>
      </c>
      <c r="T21" s="298">
        <f t="shared" si="7"/>
        <v>-8.1854523159563541E-12</v>
      </c>
      <c r="U21" s="298">
        <f t="shared" si="7"/>
        <v>-8.1854523159563541E-12</v>
      </c>
      <c r="V21" s="298">
        <f t="shared" si="7"/>
        <v>-8.1854523159563541E-12</v>
      </c>
      <c r="W21" s="298">
        <f t="shared" si="7"/>
        <v>-8.1854523159563541E-12</v>
      </c>
      <c r="X21" s="298">
        <f t="shared" si="7"/>
        <v>-8.1854523159563541E-12</v>
      </c>
      <c r="Y21" s="298">
        <f>X21-Y19</f>
        <v>-8.1854523159563541E-12</v>
      </c>
      <c r="Z21" s="298">
        <f t="shared" ref="Z21:AH21" si="8">Y21-Z19</f>
        <v>-8.1854523159563541E-12</v>
      </c>
      <c r="AA21" s="298">
        <f t="shared" si="8"/>
        <v>-8.1854523159563541E-12</v>
      </c>
      <c r="AB21" s="298">
        <f t="shared" si="8"/>
        <v>-8.1854523159563541E-12</v>
      </c>
      <c r="AC21" s="298">
        <f t="shared" si="8"/>
        <v>-8.1854523159563541E-12</v>
      </c>
      <c r="AD21" s="298">
        <f t="shared" si="8"/>
        <v>-8.1854523159563541E-12</v>
      </c>
      <c r="AE21" s="298">
        <f t="shared" si="8"/>
        <v>-8.1854523159563541E-12</v>
      </c>
      <c r="AF21" s="298">
        <f t="shared" si="8"/>
        <v>-8.1854523159563541E-12</v>
      </c>
      <c r="AG21" s="298">
        <f t="shared" si="8"/>
        <v>-8.1854523159563541E-12</v>
      </c>
      <c r="AH21" s="298">
        <f t="shared" si="8"/>
        <v>-8.1854523159563541E-12</v>
      </c>
      <c r="AI21" s="295"/>
      <c r="AJ21" s="295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241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242</v>
      </c>
      <c r="B27" s="31">
        <f>Assumptions!$N$40</f>
        <v>5</v>
      </c>
      <c r="C27" s="32"/>
      <c r="D27" s="273">
        <f>D13</f>
        <v>0.13333333333333333</v>
      </c>
      <c r="E27" s="273">
        <f t="shared" ref="E27:AH27" si="11">E13</f>
        <v>0.2</v>
      </c>
      <c r="F27" s="273">
        <f t="shared" si="11"/>
        <v>0.2</v>
      </c>
      <c r="G27" s="273">
        <f t="shared" si="11"/>
        <v>0.2</v>
      </c>
      <c r="H27" s="273">
        <f t="shared" si="11"/>
        <v>0.2</v>
      </c>
      <c r="I27" s="273">
        <f t="shared" si="11"/>
        <v>6.666666666666668E-2</v>
      </c>
      <c r="J27" s="273">
        <f t="shared" si="11"/>
        <v>0</v>
      </c>
      <c r="K27" s="273">
        <f t="shared" si="11"/>
        <v>0</v>
      </c>
      <c r="L27" s="273">
        <f t="shared" si="11"/>
        <v>0</v>
      </c>
      <c r="M27" s="273">
        <f t="shared" si="11"/>
        <v>0</v>
      </c>
      <c r="N27" s="273">
        <f t="shared" si="11"/>
        <v>0</v>
      </c>
      <c r="O27" s="273">
        <f t="shared" si="11"/>
        <v>0</v>
      </c>
      <c r="P27" s="273">
        <f t="shared" si="11"/>
        <v>0</v>
      </c>
      <c r="Q27" s="273">
        <f t="shared" si="11"/>
        <v>0</v>
      </c>
      <c r="R27" s="273">
        <f t="shared" si="11"/>
        <v>0</v>
      </c>
      <c r="S27" s="273">
        <f t="shared" si="11"/>
        <v>0</v>
      </c>
      <c r="T27" s="273">
        <f t="shared" si="11"/>
        <v>0</v>
      </c>
      <c r="U27" s="273">
        <f t="shared" si="11"/>
        <v>0</v>
      </c>
      <c r="V27" s="273">
        <f t="shared" si="11"/>
        <v>0</v>
      </c>
      <c r="W27" s="273">
        <f t="shared" si="11"/>
        <v>0</v>
      </c>
      <c r="X27" s="273">
        <f t="shared" si="11"/>
        <v>0</v>
      </c>
      <c r="Y27" s="273">
        <f t="shared" si="11"/>
        <v>0</v>
      </c>
      <c r="Z27" s="273">
        <f t="shared" si="11"/>
        <v>0</v>
      </c>
      <c r="AA27" s="273">
        <f t="shared" si="11"/>
        <v>0</v>
      </c>
      <c r="AB27" s="273">
        <f t="shared" si="11"/>
        <v>0</v>
      </c>
      <c r="AC27" s="273">
        <f t="shared" si="11"/>
        <v>0</v>
      </c>
      <c r="AD27" s="273">
        <f t="shared" si="11"/>
        <v>0</v>
      </c>
      <c r="AE27" s="273">
        <f t="shared" si="11"/>
        <v>0</v>
      </c>
      <c r="AF27" s="273">
        <f t="shared" si="11"/>
        <v>0</v>
      </c>
      <c r="AG27" s="273">
        <f t="shared" si="11"/>
        <v>0</v>
      </c>
      <c r="AH27" s="273">
        <f t="shared" si="11"/>
        <v>0</v>
      </c>
    </row>
    <row r="28" spans="1:36" s="10" customFormat="1">
      <c r="A28" s="22" t="s">
        <v>308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241</v>
      </c>
      <c r="B31" s="368">
        <f>B16</f>
        <v>196610.88926826714</v>
      </c>
      <c r="C31" s="297"/>
      <c r="D31" s="18">
        <f>$B$31*D26</f>
        <v>9830.5444634133582</v>
      </c>
      <c r="E31" s="18">
        <f t="shared" ref="E31:Y31" si="14">$B$31*E26</f>
        <v>18678.034480485378</v>
      </c>
      <c r="F31" s="18">
        <f t="shared" si="14"/>
        <v>16810.231032436841</v>
      </c>
      <c r="G31" s="18">
        <f t="shared" si="14"/>
        <v>15139.03847365657</v>
      </c>
      <c r="H31" s="18">
        <f t="shared" si="14"/>
        <v>13625.134626290914</v>
      </c>
      <c r="I31" s="18">
        <f t="shared" si="14"/>
        <v>12248.858401413043</v>
      </c>
      <c r="J31" s="18">
        <f t="shared" si="14"/>
        <v>11600.042466827761</v>
      </c>
      <c r="K31" s="18">
        <f t="shared" si="14"/>
        <v>11619.703555754588</v>
      </c>
      <c r="L31" s="18">
        <f t="shared" si="14"/>
        <v>11600.042466827761</v>
      </c>
      <c r="M31" s="18">
        <f t="shared" si="14"/>
        <v>11619.703555754588</v>
      </c>
      <c r="N31" s="18">
        <f t="shared" si="14"/>
        <v>11600.042466827761</v>
      </c>
      <c r="O31" s="18">
        <f t="shared" si="14"/>
        <v>11619.703555754588</v>
      </c>
      <c r="P31" s="18">
        <f t="shared" si="14"/>
        <v>11600.042466827761</v>
      </c>
      <c r="Q31" s="18">
        <f t="shared" si="14"/>
        <v>11619.703555754588</v>
      </c>
      <c r="R31" s="18">
        <f t="shared" si="14"/>
        <v>11600.042466827761</v>
      </c>
      <c r="S31" s="18">
        <f t="shared" si="14"/>
        <v>5800.0212334138805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242</v>
      </c>
      <c r="B32" s="296">
        <f>B17</f>
        <v>13509.093950000002</v>
      </c>
      <c r="C32" s="297"/>
      <c r="D32" s="294">
        <f>D27*$B$32</f>
        <v>1801.2125266666669</v>
      </c>
      <c r="E32" s="294">
        <f t="shared" ref="E32:AH32" si="16">E27*$B$32</f>
        <v>2701.8187900000007</v>
      </c>
      <c r="F32" s="294">
        <f t="shared" si="16"/>
        <v>2701.8187900000007</v>
      </c>
      <c r="G32" s="294">
        <f t="shared" si="16"/>
        <v>2701.8187900000007</v>
      </c>
      <c r="H32" s="294">
        <f t="shared" si="16"/>
        <v>2701.8187900000007</v>
      </c>
      <c r="I32" s="294">
        <f t="shared" si="16"/>
        <v>900.60626333333369</v>
      </c>
      <c r="J32" s="294">
        <f t="shared" si="16"/>
        <v>0</v>
      </c>
      <c r="K32" s="294">
        <f t="shared" si="16"/>
        <v>0</v>
      </c>
      <c r="L32" s="294">
        <f t="shared" si="16"/>
        <v>0</v>
      </c>
      <c r="M32" s="294">
        <f t="shared" si="16"/>
        <v>0</v>
      </c>
      <c r="N32" s="294">
        <f t="shared" si="16"/>
        <v>0</v>
      </c>
      <c r="O32" s="294">
        <f t="shared" si="16"/>
        <v>0</v>
      </c>
      <c r="P32" s="294">
        <f t="shared" si="16"/>
        <v>0</v>
      </c>
      <c r="Q32" s="294">
        <f t="shared" si="16"/>
        <v>0</v>
      </c>
      <c r="R32" s="294">
        <f t="shared" si="16"/>
        <v>0</v>
      </c>
      <c r="S32" s="294">
        <f t="shared" si="16"/>
        <v>0</v>
      </c>
      <c r="T32" s="294">
        <f t="shared" si="16"/>
        <v>0</v>
      </c>
      <c r="U32" s="294">
        <f t="shared" si="16"/>
        <v>0</v>
      </c>
      <c r="V32" s="294">
        <f t="shared" si="16"/>
        <v>0</v>
      </c>
      <c r="W32" s="294">
        <f t="shared" si="16"/>
        <v>0</v>
      </c>
      <c r="X32" s="294">
        <f t="shared" si="16"/>
        <v>0</v>
      </c>
      <c r="Y32" s="294">
        <f t="shared" si="16"/>
        <v>0</v>
      </c>
      <c r="Z32" s="294">
        <f t="shared" si="16"/>
        <v>0</v>
      </c>
      <c r="AA32" s="294">
        <f t="shared" si="16"/>
        <v>0</v>
      </c>
      <c r="AB32" s="294">
        <f t="shared" si="16"/>
        <v>0</v>
      </c>
      <c r="AC32" s="294">
        <f t="shared" si="16"/>
        <v>0</v>
      </c>
      <c r="AD32" s="294">
        <f t="shared" si="16"/>
        <v>0</v>
      </c>
      <c r="AE32" s="294">
        <f t="shared" si="16"/>
        <v>0</v>
      </c>
      <c r="AF32" s="294">
        <f t="shared" si="16"/>
        <v>0</v>
      </c>
      <c r="AG32" s="294">
        <f t="shared" si="16"/>
        <v>0</v>
      </c>
      <c r="AH32" s="294">
        <f t="shared" si="16"/>
        <v>0</v>
      </c>
    </row>
    <row r="33" spans="1:38" s="10" customFormat="1" ht="15">
      <c r="A33" s="22" t="s">
        <v>308</v>
      </c>
      <c r="B33" s="369">
        <f>B18</f>
        <v>0</v>
      </c>
      <c r="C33" s="297"/>
      <c r="D33" s="370">
        <f t="shared" ref="D33:Y33" si="17">$B33*D28</f>
        <v>0</v>
      </c>
      <c r="E33" s="370">
        <f t="shared" si="17"/>
        <v>0</v>
      </c>
      <c r="F33" s="370">
        <f t="shared" si="17"/>
        <v>0</v>
      </c>
      <c r="G33" s="370">
        <f t="shared" si="17"/>
        <v>0</v>
      </c>
      <c r="H33" s="370">
        <f t="shared" si="17"/>
        <v>0</v>
      </c>
      <c r="I33" s="370">
        <f t="shared" si="17"/>
        <v>0</v>
      </c>
      <c r="J33" s="370">
        <f t="shared" si="17"/>
        <v>0</v>
      </c>
      <c r="K33" s="370">
        <f t="shared" si="17"/>
        <v>0</v>
      </c>
      <c r="L33" s="370">
        <f t="shared" si="17"/>
        <v>0</v>
      </c>
      <c r="M33" s="370">
        <f t="shared" si="17"/>
        <v>0</v>
      </c>
      <c r="N33" s="370">
        <f t="shared" si="17"/>
        <v>0</v>
      </c>
      <c r="O33" s="370">
        <f t="shared" si="17"/>
        <v>0</v>
      </c>
      <c r="P33" s="370">
        <f t="shared" si="17"/>
        <v>0</v>
      </c>
      <c r="Q33" s="370">
        <f t="shared" si="17"/>
        <v>0</v>
      </c>
      <c r="R33" s="370">
        <f t="shared" si="17"/>
        <v>0</v>
      </c>
      <c r="S33" s="370">
        <f t="shared" si="17"/>
        <v>0</v>
      </c>
      <c r="T33" s="370">
        <f t="shared" si="17"/>
        <v>0</v>
      </c>
      <c r="U33" s="370">
        <f t="shared" si="17"/>
        <v>0</v>
      </c>
      <c r="V33" s="370">
        <f t="shared" si="17"/>
        <v>0</v>
      </c>
      <c r="W33" s="370">
        <f t="shared" si="17"/>
        <v>0</v>
      </c>
      <c r="X33" s="370">
        <f t="shared" si="17"/>
        <v>0</v>
      </c>
      <c r="Y33" s="370">
        <f t="shared" si="17"/>
        <v>0</v>
      </c>
      <c r="Z33" s="370">
        <f t="shared" ref="Z33:AH33" si="18">$B33*Z28</f>
        <v>0</v>
      </c>
      <c r="AA33" s="370">
        <f t="shared" si="18"/>
        <v>0</v>
      </c>
      <c r="AB33" s="370">
        <f t="shared" si="18"/>
        <v>0</v>
      </c>
      <c r="AC33" s="370">
        <f t="shared" si="18"/>
        <v>0</v>
      </c>
      <c r="AD33" s="370">
        <f t="shared" si="18"/>
        <v>0</v>
      </c>
      <c r="AE33" s="370">
        <f t="shared" si="18"/>
        <v>0</v>
      </c>
      <c r="AF33" s="370">
        <f t="shared" si="18"/>
        <v>0</v>
      </c>
      <c r="AG33" s="370">
        <f t="shared" si="18"/>
        <v>0</v>
      </c>
      <c r="AH33" s="370">
        <f t="shared" si="18"/>
        <v>0</v>
      </c>
    </row>
    <row r="34" spans="1:38" s="10" customFormat="1">
      <c r="A34" s="16" t="s">
        <v>61</v>
      </c>
      <c r="B34" s="18">
        <f>SUM(B31:B33)</f>
        <v>210119.98321826715</v>
      </c>
      <c r="C34" s="297"/>
      <c r="D34" s="18">
        <f t="shared" ref="D34:Y34" si="19">SUM(D31:D33)</f>
        <v>11631.756990080024</v>
      </c>
      <c r="E34" s="18">
        <f t="shared" si="19"/>
        <v>21379.853270485379</v>
      </c>
      <c r="F34" s="18">
        <f t="shared" si="19"/>
        <v>19512.049822436842</v>
      </c>
      <c r="G34" s="18">
        <f t="shared" si="19"/>
        <v>17840.85726365657</v>
      </c>
      <c r="H34" s="18">
        <f t="shared" si="19"/>
        <v>16326.953416290915</v>
      </c>
      <c r="I34" s="18">
        <f t="shared" si="19"/>
        <v>13149.464664746376</v>
      </c>
      <c r="J34" s="18">
        <f t="shared" si="19"/>
        <v>11600.042466827761</v>
      </c>
      <c r="K34" s="18">
        <f t="shared" si="19"/>
        <v>11619.703555754588</v>
      </c>
      <c r="L34" s="18">
        <f t="shared" si="19"/>
        <v>11600.042466827761</v>
      </c>
      <c r="M34" s="18">
        <f t="shared" si="19"/>
        <v>11619.703555754588</v>
      </c>
      <c r="N34" s="18">
        <f t="shared" si="19"/>
        <v>11600.042466827761</v>
      </c>
      <c r="O34" s="18">
        <f t="shared" si="19"/>
        <v>11619.703555754588</v>
      </c>
      <c r="P34" s="18">
        <f t="shared" si="19"/>
        <v>11600.042466827761</v>
      </c>
      <c r="Q34" s="18">
        <f t="shared" si="19"/>
        <v>11619.703555754588</v>
      </c>
      <c r="R34" s="18">
        <f t="shared" si="19"/>
        <v>11600.042466827761</v>
      </c>
      <c r="S34" s="18">
        <f t="shared" si="19"/>
        <v>5800.0212334138805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2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298">
        <f>B34</f>
        <v>210119.98321826715</v>
      </c>
      <c r="C36" s="373"/>
      <c r="D36" s="298">
        <f>B34-D34</f>
        <v>198488.22622818712</v>
      </c>
      <c r="E36" s="298">
        <f>D36-E34</f>
        <v>177108.37295770174</v>
      </c>
      <c r="F36" s="298">
        <f t="shared" ref="F36:W36" si="21">E36-F34</f>
        <v>157596.32313526489</v>
      </c>
      <c r="G36" s="298">
        <f t="shared" si="21"/>
        <v>139755.46587160832</v>
      </c>
      <c r="H36" s="298">
        <f t="shared" si="21"/>
        <v>123428.51245531741</v>
      </c>
      <c r="I36" s="298">
        <f t="shared" si="21"/>
        <v>110279.04779057103</v>
      </c>
      <c r="J36" s="298">
        <f t="shared" si="21"/>
        <v>98679.005323743273</v>
      </c>
      <c r="K36" s="298">
        <f t="shared" si="21"/>
        <v>87059.301767988683</v>
      </c>
      <c r="L36" s="298">
        <f t="shared" si="21"/>
        <v>75459.259301160928</v>
      </c>
      <c r="M36" s="298">
        <f t="shared" si="21"/>
        <v>63839.555745406338</v>
      </c>
      <c r="N36" s="298">
        <f t="shared" si="21"/>
        <v>52239.513278578575</v>
      </c>
      <c r="O36" s="298">
        <f t="shared" si="21"/>
        <v>40619.809722823986</v>
      </c>
      <c r="P36" s="298">
        <f t="shared" si="21"/>
        <v>29019.767255996223</v>
      </c>
      <c r="Q36" s="298">
        <f t="shared" si="21"/>
        <v>17400.063700241633</v>
      </c>
      <c r="R36" s="298">
        <f t="shared" si="21"/>
        <v>5800.0212334138723</v>
      </c>
      <c r="S36" s="298">
        <f t="shared" si="21"/>
        <v>-8.1854523159563541E-12</v>
      </c>
      <c r="T36" s="298">
        <f t="shared" si="21"/>
        <v>-8.1854523159563541E-12</v>
      </c>
      <c r="U36" s="298">
        <f t="shared" si="21"/>
        <v>-8.1854523159563541E-12</v>
      </c>
      <c r="V36" s="298">
        <f t="shared" si="21"/>
        <v>-8.1854523159563541E-12</v>
      </c>
      <c r="W36" s="298">
        <f t="shared" si="21"/>
        <v>-8.1854523159563541E-12</v>
      </c>
      <c r="X36" s="298">
        <f>W36-X34</f>
        <v>-8.1854523159563541E-12</v>
      </c>
      <c r="Y36" s="298">
        <f>X36-Y34</f>
        <v>-8.1854523159563541E-12</v>
      </c>
      <c r="Z36" s="298">
        <f t="shared" ref="Z36:AH36" si="22">Y36-Z34</f>
        <v>-8.1854523159563541E-12</v>
      </c>
      <c r="AA36" s="298">
        <f t="shared" si="22"/>
        <v>-8.1854523159563541E-12</v>
      </c>
      <c r="AB36" s="298">
        <f t="shared" si="22"/>
        <v>-8.1854523159563541E-12</v>
      </c>
      <c r="AC36" s="298">
        <f t="shared" si="22"/>
        <v>-8.1854523159563541E-12</v>
      </c>
      <c r="AD36" s="298">
        <f t="shared" si="22"/>
        <v>-8.1854523159563541E-12</v>
      </c>
      <c r="AE36" s="298">
        <f t="shared" si="22"/>
        <v>-8.1854523159563541E-12</v>
      </c>
      <c r="AF36" s="298">
        <f t="shared" si="22"/>
        <v>-8.1854523159563541E-12</v>
      </c>
      <c r="AG36" s="298">
        <f t="shared" si="22"/>
        <v>-8.1854523159563541E-12</v>
      </c>
      <c r="AH36" s="298">
        <f t="shared" si="22"/>
        <v>-8.1854523159563541E-12</v>
      </c>
      <c r="AI36" s="295"/>
      <c r="AJ36" s="295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66" t="s">
        <v>65</v>
      </c>
    </row>
    <row r="41" spans="1:38" s="10" customFormat="1">
      <c r="A41" s="21" t="s">
        <v>362</v>
      </c>
      <c r="B41" s="31">
        <f>Assumptions!$N$44</f>
        <v>30</v>
      </c>
      <c r="C41" s="367">
        <f>Assumptions!P44</f>
        <v>0.1</v>
      </c>
      <c r="D41" s="273">
        <f>1/Assumptions!$N$44*D6*(1-$C$41)</f>
        <v>1.9999999999999997E-2</v>
      </c>
      <c r="E41" s="273">
        <f>IF(AND(E6&gt;=Assumptions!$N$44,D6&lt;Assumptions!$N$44),1/Assumptions!$N$44*(1-$C$41)-Depreciation!$D$41,IF(AND(D6&gt;Assumptions!$N$44,E6&lt;Assumptions!$N$44),0,1/Assumptions!$N$44*(1-$C$41)))</f>
        <v>0.03</v>
      </c>
      <c r="F41" s="273">
        <f>IF(AND(F6&gt;=Assumptions!$N$44,E6&lt;Assumptions!$N$44),1/Assumptions!$N$44*(1-$C$41)-Depreciation!$D$41,IF(AND(E6&gt;Assumptions!$N$44,F6&lt;Assumptions!$N$44),0,1/Assumptions!$N$44*(1-$C$41)))</f>
        <v>0.03</v>
      </c>
      <c r="G41" s="273">
        <f>IF(AND(G6&gt;=Assumptions!$N$44,F6&lt;Assumptions!$N$44),1/Assumptions!$N$44*(1-$C$41)-Depreciation!$D$41,IF(AND(F6&gt;Assumptions!$N$44,G6&lt;Assumptions!$N$44),0,1/Assumptions!$N$44*(1-$C$41)))</f>
        <v>0.03</v>
      </c>
      <c r="H41" s="273">
        <f>IF(AND(H6&gt;=Assumptions!$N$44,G6&lt;Assumptions!$N$44),1/Assumptions!$N$44*(1-$C$41)-Depreciation!$D$41,IF(AND(G6&gt;Assumptions!$N$44,H6&lt;Assumptions!$N$44),0,1/Assumptions!$N$44*(1-$C$41)))</f>
        <v>0.03</v>
      </c>
      <c r="I41" s="273">
        <f>IF(AND(I6&gt;=Assumptions!$N$44,H6&lt;Assumptions!$N$44),1/Assumptions!$N$44*(1-$C$41)-Depreciation!$D$41,IF(AND(H6&gt;Assumptions!$N$44,I6&lt;Assumptions!$N$44),0,1/Assumptions!$N$44*(1-$C$41)))</f>
        <v>0.03</v>
      </c>
      <c r="J41" s="273">
        <f>IF(AND(J6&gt;=Assumptions!$N$44,I6&lt;Assumptions!$N$44),1/Assumptions!$N$44*(1-$C$41)-Depreciation!$D$41,IF(AND(I6&gt;Assumptions!$N$44,J6&lt;Assumptions!$N$44),0,1/Assumptions!$N$44*(1-$C$41)))</f>
        <v>0.03</v>
      </c>
      <c r="K41" s="273">
        <f>IF(AND(K6&gt;=Assumptions!$N$44,J6&lt;Assumptions!$N$44),1/Assumptions!$N$44*(1-$C$41)-Depreciation!$D$41,IF(AND(J6&gt;Assumptions!$N$44,K6&lt;Assumptions!$N$44),0,1/Assumptions!$N$44*(1-$C$41)))</f>
        <v>0.03</v>
      </c>
      <c r="L41" s="273">
        <f>IF(AND(L6&gt;=Assumptions!$N$44,K6&lt;Assumptions!$N$44),1/Assumptions!$N$44*(1-$C$41)-Depreciation!$D$41,IF(AND(K6&gt;Assumptions!$N$44,L6&lt;Assumptions!$N$44),0,1/Assumptions!$N$44*(1-$C$41)))</f>
        <v>0.03</v>
      </c>
      <c r="M41" s="273">
        <f>IF(AND(M6&gt;=Assumptions!$N$44,L6&lt;Assumptions!$N$44),1/Assumptions!$N$44*(1-$C$41)-Depreciation!$D$41,IF(AND(L6&gt;Assumptions!$N$44,M6&lt;Assumptions!$N$44),0,1/Assumptions!$N$44*(1-$C$41)))</f>
        <v>0.03</v>
      </c>
      <c r="N41" s="273">
        <f>IF(AND(N6&gt;=Assumptions!$N$44,M6&lt;Assumptions!$N$44),1/Assumptions!$N$44*(1-$C$41)-Depreciation!$D$41,IF(AND(M6&gt;Assumptions!$N$44,N6&lt;Assumptions!$N$44),0,1/Assumptions!$N$44*(1-$C$41)))</f>
        <v>0.03</v>
      </c>
      <c r="O41" s="273">
        <f>IF(AND(O6&gt;=Assumptions!$N$44,N6&lt;Assumptions!$N$44),1/Assumptions!$N$44*(1-$C$41)-Depreciation!$D$41,IF(AND(N6&gt;Assumptions!$N$44,O6&lt;Assumptions!$N$44),0,1/Assumptions!$N$44*(1-$C$41)))</f>
        <v>0.03</v>
      </c>
      <c r="P41" s="273">
        <f>IF(AND(P6&gt;=Assumptions!$N$44,O6&lt;Assumptions!$N$44),1/Assumptions!$N$44*(1-$C$41)-Depreciation!$D$41,IF(AND(O6&gt;Assumptions!$N$44,P6&lt;Assumptions!$N$44),0,1/Assumptions!$N$44*(1-$C$41)))</f>
        <v>0.03</v>
      </c>
      <c r="Q41" s="273">
        <f>IF(AND(Q6&gt;=Assumptions!$N$44,P6&lt;Assumptions!$N$44),1/Assumptions!$N$44*(1-$C$41)-Depreciation!$D$41,IF(AND(P6&gt;Assumptions!$N$44,Q6&lt;Assumptions!$N$44),0,1/Assumptions!$N$44*(1-$C$41)))</f>
        <v>0.03</v>
      </c>
      <c r="R41" s="273">
        <f>IF(AND(R6&gt;=Assumptions!$N$44,Q6&lt;Assumptions!$N$44),1/Assumptions!$N$44*(1-$C$41)-Depreciation!$D$41,IF(AND(Q6&gt;Assumptions!$N$44,R6&lt;Assumptions!$N$44),0,1/Assumptions!$N$44*(1-$C$41)))</f>
        <v>0.03</v>
      </c>
      <c r="S41" s="273">
        <f>IF(AND(S6&gt;=Assumptions!$N$44,R6&lt;Assumptions!$N$44),1/Assumptions!$N$44*(1-$C$41)-Depreciation!$D$41,IF(AND(R6&gt;Assumptions!$N$44,S6&lt;Assumptions!$N$44),0,1/Assumptions!$N$44*(1-$C$41)))</f>
        <v>0.03</v>
      </c>
      <c r="T41" s="273">
        <f>IF(AND(T6&gt;=Assumptions!$N$44,S6&lt;Assumptions!$N$44),1/Assumptions!$N$44*(1-$C$41)-Depreciation!$D$41,IF(AND(S6&gt;Assumptions!$N$44,T6&lt;Assumptions!$N$44),0,1/Assumptions!$N$44*(1-$C$41)))</f>
        <v>0.03</v>
      </c>
      <c r="U41" s="273">
        <f>IF(AND(U6&gt;=Assumptions!$N$44,T6&lt;Assumptions!$N$44),1/Assumptions!$N$44*(1-$C$41)-Depreciation!$D$41,IF(AND(T6&gt;Assumptions!$N$44,U6&lt;Assumptions!$N$44),0,1/Assumptions!$N$44*(1-$C$41)))</f>
        <v>0.03</v>
      </c>
      <c r="V41" s="273">
        <f>IF(AND(V6&gt;=Assumptions!$N$44,U6&lt;Assumptions!$N$44),1/Assumptions!$N$44*(1-$C$41)-Depreciation!$D$41,IF(AND(U6&gt;Assumptions!$N$44,V6&lt;Assumptions!$N$44),0,1/Assumptions!$N$44*(1-$C$41)))</f>
        <v>0.03</v>
      </c>
      <c r="W41" s="273">
        <f>IF(AND(W6&gt;=Assumptions!$N$44,V6&lt;Assumptions!$N$44),1/Assumptions!$N$44*(1-$C$41)-Depreciation!$D$41,IF(AND(V6&gt;Assumptions!$N$44,W6&lt;Assumptions!$N$44),0,1/Assumptions!$N$44*(1-$C$41)))</f>
        <v>0.03</v>
      </c>
      <c r="X41" s="273">
        <f>IF(AND(X6&gt;=Assumptions!$N$44,W6&lt;Assumptions!$N$44),1/Assumptions!$N$44*(1-$C$41)-Depreciation!$D$41,IF(AND(W6&gt;Assumptions!$N$44,X6&lt;Assumptions!$N$44),0,1/Assumptions!$N$44*(1-$C$41)))</f>
        <v>0.03</v>
      </c>
      <c r="Y41" s="273">
        <f>IF(AND(Y6&gt;=Assumptions!$N$44,X6&lt;Assumptions!$N$44),1/Assumptions!$N$44*(1-$C$41)-Depreciation!$D$41,IF(AND(X6&gt;Assumptions!$N$44,Y6&lt;Assumptions!$N$44),0,1/Assumptions!$N$44*(1-$C$41)))</f>
        <v>0.03</v>
      </c>
      <c r="Z41" s="273">
        <f>IF(AND(Z6&gt;=Assumptions!$N$44,Y6&lt;Assumptions!$N$44),1/Assumptions!$N$44*(1-$C$41)-Depreciation!$D$41,IF(AND(Y6&gt;Assumptions!$N$44,Z6&lt;Assumptions!$N$44),0,1/Assumptions!$N$44*(1-$C$41)))</f>
        <v>0.03</v>
      </c>
      <c r="AA41" s="273">
        <f>IF(AND(AA6&gt;=Assumptions!$N$44,Z6&lt;Assumptions!$N$44),1/Assumptions!$N$44*(1-$C$41)-Depreciation!$D$41,IF(AND(Z6&gt;Assumptions!$N$44,AA6&lt;Assumptions!$N$44),0,1/Assumptions!$N$44*(1-$C$41)))</f>
        <v>0.03</v>
      </c>
      <c r="AB41" s="273">
        <f>IF(AND(AB6&gt;=Assumptions!$N$44,AA6&lt;Assumptions!$N$44),1/Assumptions!$N$44*(1-$C$41)-Depreciation!$D$41,IF(AND(AA6&gt;Assumptions!$N$44,AB6&lt;Assumptions!$N$44),0,1/Assumptions!$N$44*(1-$C$41)))</f>
        <v>0.03</v>
      </c>
      <c r="AC41" s="273">
        <f>IF(AND(AC6&gt;=Assumptions!$N$44,AB6&lt;Assumptions!$N$44),1/Assumptions!$N$44*(1-$C$41)-Depreciation!$D$41,IF(AND(AB6&gt;Assumptions!$N$44,AC6&lt;Assumptions!$N$44),0,1/Assumptions!$N$44*(1-$C$41)))</f>
        <v>0.03</v>
      </c>
      <c r="AD41" s="273">
        <f>IF(AND(AD6&gt;=Assumptions!$N$44,AC6&lt;Assumptions!$N$44),1/Assumptions!$N$44*(1-$C$41)-Depreciation!$D$41,IF(AND(AC6&gt;Assumptions!$N$44,AD6&lt;Assumptions!$N$44),0,1/Assumptions!$N$44*(1-$C$41)))</f>
        <v>0.03</v>
      </c>
      <c r="AE41" s="273">
        <f>IF(AND(AE6&gt;=Assumptions!$N$44,AD6&lt;Assumptions!$N$44),1/Assumptions!$N$44*(1-$C$41)-Depreciation!$D$41,IF(AND(AD6&gt;Assumptions!$N$44,AE6&lt;Assumptions!$N$44),0,1/Assumptions!$N$44*(1-$C$41)))</f>
        <v>0.03</v>
      </c>
      <c r="AF41" s="273">
        <f>IF(AND(AF6&gt;=Assumptions!$N$44,AE6&lt;Assumptions!$N$44),1/Assumptions!$N$44*(1-$C$41)-Depreciation!$D$41,IF(AND(AE6&gt;Assumptions!$N$44,AF6&lt;Assumptions!$N$44),0,1/Assumptions!$N$44*(1-$C$41)))</f>
        <v>0.03</v>
      </c>
      <c r="AG41" s="273">
        <f>IF(AND(AG6&gt;=Assumptions!$N$44,AF6&lt;Assumptions!$N$44),1/Assumptions!$N$44*(1-$C$41)-Depreciation!$D$41,IF(AND(AF6&gt;Assumptions!$N$44,AG6&lt;Assumptions!$N$44),0,1/Assumptions!$N$44*(1-$C$41)))</f>
        <v>0.03</v>
      </c>
      <c r="AH41" s="273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242</v>
      </c>
      <c r="B42" s="31">
        <f>Assumptions!$N$40</f>
        <v>5</v>
      </c>
      <c r="C42" s="32"/>
      <c r="D42" s="273">
        <f>D13</f>
        <v>0.13333333333333333</v>
      </c>
      <c r="E42" s="273">
        <f t="shared" ref="E42:AH42" si="23">E13</f>
        <v>0.2</v>
      </c>
      <c r="F42" s="273">
        <f t="shared" si="23"/>
        <v>0.2</v>
      </c>
      <c r="G42" s="273">
        <f t="shared" si="23"/>
        <v>0.2</v>
      </c>
      <c r="H42" s="273">
        <f t="shared" si="23"/>
        <v>0.2</v>
      </c>
      <c r="I42" s="273">
        <f t="shared" si="23"/>
        <v>6.666666666666668E-2</v>
      </c>
      <c r="J42" s="273">
        <f t="shared" si="23"/>
        <v>0</v>
      </c>
      <c r="K42" s="273">
        <f t="shared" si="23"/>
        <v>0</v>
      </c>
      <c r="L42" s="273">
        <f t="shared" si="23"/>
        <v>0</v>
      </c>
      <c r="M42" s="273">
        <f t="shared" si="23"/>
        <v>0</v>
      </c>
      <c r="N42" s="273">
        <f t="shared" si="23"/>
        <v>0</v>
      </c>
      <c r="O42" s="273">
        <f t="shared" si="23"/>
        <v>0</v>
      </c>
      <c r="P42" s="273">
        <f t="shared" si="23"/>
        <v>0</v>
      </c>
      <c r="Q42" s="273">
        <f t="shared" si="23"/>
        <v>0</v>
      </c>
      <c r="R42" s="273">
        <f t="shared" si="23"/>
        <v>0</v>
      </c>
      <c r="S42" s="273">
        <f t="shared" si="23"/>
        <v>0</v>
      </c>
      <c r="T42" s="273">
        <f t="shared" si="23"/>
        <v>0</v>
      </c>
      <c r="U42" s="273">
        <f t="shared" si="23"/>
        <v>0</v>
      </c>
      <c r="V42" s="273">
        <f t="shared" si="23"/>
        <v>0</v>
      </c>
      <c r="W42" s="273">
        <f t="shared" si="23"/>
        <v>0</v>
      </c>
      <c r="X42" s="273">
        <f t="shared" si="23"/>
        <v>0</v>
      </c>
      <c r="Y42" s="273">
        <f t="shared" si="23"/>
        <v>0</v>
      </c>
      <c r="Z42" s="273">
        <f t="shared" si="23"/>
        <v>0</v>
      </c>
      <c r="AA42" s="273">
        <f t="shared" si="23"/>
        <v>0</v>
      </c>
      <c r="AB42" s="273">
        <f t="shared" si="23"/>
        <v>0</v>
      </c>
      <c r="AC42" s="273">
        <f t="shared" si="23"/>
        <v>0</v>
      </c>
      <c r="AD42" s="273">
        <f t="shared" si="23"/>
        <v>0</v>
      </c>
      <c r="AE42" s="273">
        <f t="shared" si="23"/>
        <v>0</v>
      </c>
      <c r="AF42" s="273">
        <f t="shared" si="23"/>
        <v>0</v>
      </c>
      <c r="AG42" s="273">
        <f t="shared" si="23"/>
        <v>0</v>
      </c>
      <c r="AH42" s="273">
        <f t="shared" si="23"/>
        <v>0</v>
      </c>
    </row>
    <row r="43" spans="1:38" s="10" customFormat="1">
      <c r="A43" s="22" t="s">
        <v>308</v>
      </c>
      <c r="B43" s="34">
        <f>Assumptions!$N$46</f>
        <v>20</v>
      </c>
      <c r="C43" s="24"/>
      <c r="D43" s="273">
        <f>1/Assumptions!$N$46*D6</f>
        <v>3.3333333333333333E-2</v>
      </c>
      <c r="E43" s="273">
        <f>IF(AND(E6&gt;=Assumptions!$N$46, D6&lt;Assumptions!$N$46),1/Assumptions!$N$46-Depreciation!$D$43,IF(E6&lt;Assumptions!$N$46,1/Assumptions!$N$46,0))</f>
        <v>0.05</v>
      </c>
      <c r="F43" s="273">
        <f>IF(AND(F6&gt;=Assumptions!$N$46, E6&lt;Assumptions!$N$46),1/Assumptions!$N$46-Depreciation!$D$43,IF(F6&lt;Assumptions!$N$46,1/Assumptions!$N$46,0))</f>
        <v>0.05</v>
      </c>
      <c r="G43" s="273">
        <f>IF(AND(G6&gt;=Assumptions!$N$46, F6&lt;Assumptions!$N$46),1/Assumptions!$N$46-Depreciation!$D$43,IF(G6&lt;Assumptions!$N$46,1/Assumptions!$N$46,0))</f>
        <v>0.05</v>
      </c>
      <c r="H43" s="273">
        <f>IF(AND(H6&gt;=Assumptions!$N$46, G6&lt;Assumptions!$N$46),1/Assumptions!$N$46-Depreciation!$D$43,IF(H6&lt;Assumptions!$N$46,1/Assumptions!$N$46,0))</f>
        <v>0.05</v>
      </c>
      <c r="I43" s="273">
        <f>IF(AND(I6&gt;=Assumptions!$N$46, H6&lt;Assumptions!$N$46),1/Assumptions!$N$46-Depreciation!$D$43,IF(I6&lt;Assumptions!$N$46,1/Assumptions!$N$46,0))</f>
        <v>0.05</v>
      </c>
      <c r="J43" s="273">
        <f>IF(AND(J6&gt;=Assumptions!$N$46, I6&lt;Assumptions!$N$46),1/Assumptions!$N$46-Depreciation!$D$43,IF(J6&lt;Assumptions!$N$46,1/Assumptions!$N$46,0))</f>
        <v>0.05</v>
      </c>
      <c r="K43" s="273">
        <f>IF(AND(K6&gt;=Assumptions!$N$46, J6&lt;Assumptions!$N$46),1/Assumptions!$N$46-Depreciation!$D$43,IF(K6&lt;Assumptions!$N$46,1/Assumptions!$N$46,0))</f>
        <v>0.05</v>
      </c>
      <c r="L43" s="273">
        <f>IF(AND(L6&gt;=Assumptions!$N$46, K6&lt;Assumptions!$N$46),1/Assumptions!$N$46-Depreciation!$D$43,IF(L6&lt;Assumptions!$N$46,1/Assumptions!$N$46,0))</f>
        <v>0.05</v>
      </c>
      <c r="M43" s="273">
        <f>IF(AND(M6&gt;=Assumptions!$N$46, L6&lt;Assumptions!$N$46),1/Assumptions!$N$46-Depreciation!$D$43,IF(M6&lt;Assumptions!$N$46,1/Assumptions!$N$46,0))</f>
        <v>0.05</v>
      </c>
      <c r="N43" s="273">
        <f>IF(AND(N6&gt;=Assumptions!$N$46, M6&lt;Assumptions!$N$46),1/Assumptions!$N$46-Depreciation!$D$43,IF(N6&lt;Assumptions!$N$46,1/Assumptions!$N$46,0))</f>
        <v>0.05</v>
      </c>
      <c r="O43" s="273">
        <f>IF(AND(O6&gt;=Assumptions!$N$46, N6&lt;Assumptions!$N$46),1/Assumptions!$N$46-Depreciation!$D$43,IF(O6&lt;Assumptions!$N$46,1/Assumptions!$N$46,0))</f>
        <v>0.05</v>
      </c>
      <c r="P43" s="273">
        <f>IF(AND(P6&gt;=Assumptions!$N$46, O6&lt;Assumptions!$N$46),1/Assumptions!$N$46-Depreciation!$D$43,IF(P6&lt;Assumptions!$N$46,1/Assumptions!$N$46,0))</f>
        <v>0.05</v>
      </c>
      <c r="Q43" s="273">
        <f>IF(AND(Q6&gt;=Assumptions!$N$46, P6&lt;Assumptions!$N$46),1/Assumptions!$N$46-Depreciation!$D$43,IF(Q6&lt;Assumptions!$N$46,1/Assumptions!$N$46,0))</f>
        <v>0.05</v>
      </c>
      <c r="R43" s="273">
        <f>IF(AND(R6&gt;=Assumptions!$N$46, Q6&lt;Assumptions!$N$46),1/Assumptions!$N$46-Depreciation!$D$43,IF(R6&lt;Assumptions!$N$46,1/Assumptions!$N$46,0))</f>
        <v>0.05</v>
      </c>
      <c r="S43" s="273">
        <f>IF(AND(S6&gt;=Assumptions!$N$46, R6&lt;Assumptions!$N$46),1/Assumptions!$N$46-Depreciation!$D$43,IF(S6&lt;Assumptions!$N$46,1/Assumptions!$N$46,0))</f>
        <v>0.05</v>
      </c>
      <c r="T43" s="273">
        <f>IF(AND(T6&gt;=Assumptions!$N$46, S6&lt;Assumptions!$N$46),1/Assumptions!$N$46-Depreciation!$D$43,IF(T6&lt;Assumptions!$N$46,1/Assumptions!$N$46,0))</f>
        <v>0.05</v>
      </c>
      <c r="U43" s="273">
        <f>IF(AND(U6&gt;=Assumptions!$N$46, T6&lt;Assumptions!$N$46),1/Assumptions!$N$46-Depreciation!$D$43,IF(U6&lt;Assumptions!$N$46,1/Assumptions!$N$46,0))</f>
        <v>0.05</v>
      </c>
      <c r="V43" s="273">
        <f>IF(AND(V6&gt;=Assumptions!$N$46, U6&lt;Assumptions!$N$46),1/Assumptions!$N$46-Depreciation!$D$43,IF(V6&lt;Assumptions!$N$46,1/Assumptions!$N$46,0))</f>
        <v>0.05</v>
      </c>
      <c r="W43" s="273">
        <f>IF(AND(W6&gt;=Assumptions!$N$46, V6&lt;Assumptions!$N$46),1/Assumptions!$N$46-Depreciation!$D$43,IF(W6&lt;Assumptions!$N$46,1/Assumptions!$N$46,0))</f>
        <v>0.05</v>
      </c>
      <c r="X43" s="273">
        <f>IF(AND(X6&gt;=Assumptions!$N$46, W6&lt;Assumptions!$N$46),1/Assumptions!$N$46-Depreciation!$D$43,IF(X6&lt;Assumptions!$N$46,1/Assumptions!$N$46,0))</f>
        <v>1.666666666666667E-2</v>
      </c>
      <c r="Y43" s="273">
        <f>IF(AND(Y6&gt;=Assumptions!$N$46, X6&lt;Assumptions!$N$46),1/Assumptions!$N$46-Depreciation!$D$43,IF(Y6&lt;Assumptions!$N$46,1/Assumptions!$N$46,0))</f>
        <v>0</v>
      </c>
      <c r="Z43" s="273">
        <f>IF(AND(Z6&gt;=Assumptions!$N$46, Y6&lt;Assumptions!$N$46),1/Assumptions!$N$46-Depreciation!$D$43,IF(Z6&lt;Assumptions!$N$46,1/Assumptions!$N$46,0))</f>
        <v>0</v>
      </c>
      <c r="AA43" s="273">
        <f>IF(AND(AA6&gt;=Assumptions!$N$46, Z6&lt;Assumptions!$N$46),1/Assumptions!$N$46-Depreciation!$D$43,IF(AA6&lt;Assumptions!$N$46,1/Assumptions!$N$46,0))</f>
        <v>0</v>
      </c>
      <c r="AB43" s="273">
        <f>IF(AND(AB6&gt;=Assumptions!$N$46, AA6&lt;Assumptions!$N$46),1/Assumptions!$N$46-Depreciation!$D$43,IF(AB6&lt;Assumptions!$N$46,1/Assumptions!$N$46,0))</f>
        <v>0</v>
      </c>
      <c r="AC43" s="273">
        <f>IF(AND(AC6&gt;=Assumptions!$N$46, AB6&lt;Assumptions!$N$46),1/Assumptions!$N$46-Depreciation!$D$43,IF(AC6&lt;Assumptions!$N$46,1/Assumptions!$N$46,0))</f>
        <v>0</v>
      </c>
      <c r="AD43" s="273">
        <f>IF(AND(AD6&gt;=Assumptions!$N$46, AC6&lt;Assumptions!$N$46),1/Assumptions!$N$46-Depreciation!$D$43,IF(AD6&lt;Assumptions!$N$46,1/Assumptions!$N$46,0))</f>
        <v>0</v>
      </c>
      <c r="AE43" s="273">
        <f>IF(AND(AE6&gt;=Assumptions!$N$46, AD6&lt;Assumptions!$N$46),1/Assumptions!$N$46-Depreciation!$D$43,IF(AE6&lt;Assumptions!$N$46,1/Assumptions!$N$46,0))</f>
        <v>0</v>
      </c>
      <c r="AF43" s="273">
        <f>IF(AND(AF6&gt;=Assumptions!$N$46, AE6&lt;Assumptions!$N$46),1/Assumptions!$N$46-Depreciation!$D$43,IF(AF6&lt;Assumptions!$N$46,1/Assumptions!$N$46,0))</f>
        <v>0</v>
      </c>
      <c r="AG43" s="273">
        <f>IF(AND(AG6&gt;=Assumptions!$N$46, AF6&lt;Assumptions!$N$46),1/Assumptions!$N$46-Depreciation!$D$43,IF(AG6&lt;Assumptions!$N$46,1/Assumptions!$N$46,0))</f>
        <v>0</v>
      </c>
      <c r="AH43" s="27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241</v>
      </c>
      <c r="B45" s="368">
        <f>B16</f>
        <v>196610.88926826714</v>
      </c>
      <c r="C45" s="297"/>
      <c r="D45" s="18">
        <f t="shared" ref="D45:Y45" si="24">D41*$B$45</f>
        <v>3932.2177853653425</v>
      </c>
      <c r="E45" s="18">
        <f t="shared" si="24"/>
        <v>5898.3266780480144</v>
      </c>
      <c r="F45" s="18">
        <f t="shared" si="24"/>
        <v>5898.3266780480144</v>
      </c>
      <c r="G45" s="18">
        <f t="shared" si="24"/>
        <v>5898.3266780480144</v>
      </c>
      <c r="H45" s="18">
        <f t="shared" si="24"/>
        <v>5898.3266780480144</v>
      </c>
      <c r="I45" s="18">
        <f t="shared" si="24"/>
        <v>5898.3266780480144</v>
      </c>
      <c r="J45" s="18">
        <f t="shared" si="24"/>
        <v>5898.3266780480144</v>
      </c>
      <c r="K45" s="18">
        <f t="shared" si="24"/>
        <v>5898.3266780480144</v>
      </c>
      <c r="L45" s="18">
        <f t="shared" si="24"/>
        <v>5898.3266780480144</v>
      </c>
      <c r="M45" s="18">
        <f t="shared" si="24"/>
        <v>5898.3266780480144</v>
      </c>
      <c r="N45" s="18">
        <f t="shared" si="24"/>
        <v>5898.3266780480144</v>
      </c>
      <c r="O45" s="18">
        <f t="shared" si="24"/>
        <v>5898.3266780480144</v>
      </c>
      <c r="P45" s="18">
        <f t="shared" si="24"/>
        <v>5898.3266780480144</v>
      </c>
      <c r="Q45" s="18">
        <f t="shared" si="24"/>
        <v>5898.3266780480144</v>
      </c>
      <c r="R45" s="18">
        <f t="shared" si="24"/>
        <v>5898.3266780480144</v>
      </c>
      <c r="S45" s="18">
        <f t="shared" si="24"/>
        <v>5898.3266780480144</v>
      </c>
      <c r="T45" s="18">
        <f t="shared" si="24"/>
        <v>5898.3266780480144</v>
      </c>
      <c r="U45" s="18">
        <f t="shared" si="24"/>
        <v>5898.3266780480144</v>
      </c>
      <c r="V45" s="18">
        <f t="shared" si="24"/>
        <v>5898.3266780480144</v>
      </c>
      <c r="W45" s="18">
        <f t="shared" si="24"/>
        <v>5898.3266780480144</v>
      </c>
      <c r="X45" s="18">
        <f t="shared" si="24"/>
        <v>5898.3266780480144</v>
      </c>
      <c r="Y45" s="18">
        <f t="shared" si="24"/>
        <v>5898.3266780480144</v>
      </c>
      <c r="Z45" s="18">
        <f t="shared" ref="Z45:AH45" si="25">Z41*$B$45</f>
        <v>5898.3266780480144</v>
      </c>
      <c r="AA45" s="18">
        <f t="shared" si="25"/>
        <v>5898.3266780480144</v>
      </c>
      <c r="AB45" s="18">
        <f t="shared" si="25"/>
        <v>5898.3266780480144</v>
      </c>
      <c r="AC45" s="18">
        <f t="shared" si="25"/>
        <v>5898.3266780480144</v>
      </c>
      <c r="AD45" s="18">
        <f t="shared" si="25"/>
        <v>5898.3266780480144</v>
      </c>
      <c r="AE45" s="18">
        <f t="shared" si="25"/>
        <v>5898.3266780480144</v>
      </c>
      <c r="AF45" s="18">
        <f t="shared" si="25"/>
        <v>5898.3266780480144</v>
      </c>
      <c r="AG45" s="18">
        <f t="shared" si="25"/>
        <v>5898.3266780480144</v>
      </c>
      <c r="AH45" s="18">
        <f t="shared" si="25"/>
        <v>1966.1088926826719</v>
      </c>
      <c r="AI45" s="20"/>
      <c r="AJ45" s="20"/>
      <c r="AK45" s="20"/>
      <c r="AL45" s="20"/>
    </row>
    <row r="46" spans="1:38" s="10" customFormat="1">
      <c r="A46" s="21" t="s">
        <v>242</v>
      </c>
      <c r="B46" s="296">
        <f>B17</f>
        <v>13509.093950000002</v>
      </c>
      <c r="C46" s="297"/>
      <c r="D46" s="294">
        <f>D42*$B$46</f>
        <v>1801.2125266666669</v>
      </c>
      <c r="E46" s="294">
        <f t="shared" ref="E46:AH46" si="26">E42*$B$46</f>
        <v>2701.8187900000007</v>
      </c>
      <c r="F46" s="294">
        <f t="shared" si="26"/>
        <v>2701.8187900000007</v>
      </c>
      <c r="G46" s="294">
        <f t="shared" si="26"/>
        <v>2701.8187900000007</v>
      </c>
      <c r="H46" s="294">
        <f t="shared" si="26"/>
        <v>2701.8187900000007</v>
      </c>
      <c r="I46" s="294">
        <f t="shared" si="26"/>
        <v>900.60626333333369</v>
      </c>
      <c r="J46" s="294">
        <f t="shared" si="26"/>
        <v>0</v>
      </c>
      <c r="K46" s="294">
        <f t="shared" si="26"/>
        <v>0</v>
      </c>
      <c r="L46" s="294">
        <f t="shared" si="26"/>
        <v>0</v>
      </c>
      <c r="M46" s="294">
        <f t="shared" si="26"/>
        <v>0</v>
      </c>
      <c r="N46" s="294">
        <f t="shared" si="26"/>
        <v>0</v>
      </c>
      <c r="O46" s="294">
        <f t="shared" si="26"/>
        <v>0</v>
      </c>
      <c r="P46" s="294">
        <f t="shared" si="26"/>
        <v>0</v>
      </c>
      <c r="Q46" s="294">
        <f t="shared" si="26"/>
        <v>0</v>
      </c>
      <c r="R46" s="294">
        <f t="shared" si="26"/>
        <v>0</v>
      </c>
      <c r="S46" s="294">
        <f t="shared" si="26"/>
        <v>0</v>
      </c>
      <c r="T46" s="294">
        <f t="shared" si="26"/>
        <v>0</v>
      </c>
      <c r="U46" s="294">
        <f t="shared" si="26"/>
        <v>0</v>
      </c>
      <c r="V46" s="294">
        <f t="shared" si="26"/>
        <v>0</v>
      </c>
      <c r="W46" s="294">
        <f t="shared" si="26"/>
        <v>0</v>
      </c>
      <c r="X46" s="294">
        <f t="shared" si="26"/>
        <v>0</v>
      </c>
      <c r="Y46" s="294">
        <f t="shared" si="26"/>
        <v>0</v>
      </c>
      <c r="Z46" s="294">
        <f t="shared" si="26"/>
        <v>0</v>
      </c>
      <c r="AA46" s="294">
        <f t="shared" si="26"/>
        <v>0</v>
      </c>
      <c r="AB46" s="294">
        <f t="shared" si="26"/>
        <v>0</v>
      </c>
      <c r="AC46" s="294">
        <f t="shared" si="26"/>
        <v>0</v>
      </c>
      <c r="AD46" s="294">
        <f t="shared" si="26"/>
        <v>0</v>
      </c>
      <c r="AE46" s="294">
        <f t="shared" si="26"/>
        <v>0</v>
      </c>
      <c r="AF46" s="294">
        <f t="shared" si="26"/>
        <v>0</v>
      </c>
      <c r="AG46" s="294">
        <f t="shared" si="26"/>
        <v>0</v>
      </c>
      <c r="AH46" s="294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308</v>
      </c>
      <c r="B47" s="369">
        <f>B18</f>
        <v>0</v>
      </c>
      <c r="C47" s="297"/>
      <c r="D47" s="370">
        <f t="shared" ref="D47:Y47" si="27">D43*$B$47</f>
        <v>0</v>
      </c>
      <c r="E47" s="370">
        <f t="shared" si="27"/>
        <v>0</v>
      </c>
      <c r="F47" s="370">
        <f t="shared" si="27"/>
        <v>0</v>
      </c>
      <c r="G47" s="370">
        <f t="shared" si="27"/>
        <v>0</v>
      </c>
      <c r="H47" s="370">
        <f t="shared" si="27"/>
        <v>0</v>
      </c>
      <c r="I47" s="370">
        <f t="shared" si="27"/>
        <v>0</v>
      </c>
      <c r="J47" s="370">
        <f t="shared" si="27"/>
        <v>0</v>
      </c>
      <c r="K47" s="370">
        <f t="shared" si="27"/>
        <v>0</v>
      </c>
      <c r="L47" s="370">
        <f t="shared" si="27"/>
        <v>0</v>
      </c>
      <c r="M47" s="370">
        <f t="shared" si="27"/>
        <v>0</v>
      </c>
      <c r="N47" s="370">
        <f t="shared" si="27"/>
        <v>0</v>
      </c>
      <c r="O47" s="370">
        <f t="shared" si="27"/>
        <v>0</v>
      </c>
      <c r="P47" s="370">
        <f t="shared" si="27"/>
        <v>0</v>
      </c>
      <c r="Q47" s="370">
        <f t="shared" si="27"/>
        <v>0</v>
      </c>
      <c r="R47" s="370">
        <f t="shared" si="27"/>
        <v>0</v>
      </c>
      <c r="S47" s="370">
        <f t="shared" si="27"/>
        <v>0</v>
      </c>
      <c r="T47" s="370">
        <f t="shared" si="27"/>
        <v>0</v>
      </c>
      <c r="U47" s="370">
        <f t="shared" si="27"/>
        <v>0</v>
      </c>
      <c r="V47" s="370">
        <f t="shared" si="27"/>
        <v>0</v>
      </c>
      <c r="W47" s="370">
        <f t="shared" si="27"/>
        <v>0</v>
      </c>
      <c r="X47" s="370">
        <f t="shared" si="27"/>
        <v>0</v>
      </c>
      <c r="Y47" s="370">
        <f t="shared" si="27"/>
        <v>0</v>
      </c>
      <c r="Z47" s="370">
        <f t="shared" ref="Z47:AH47" si="28">Z43*$B$47</f>
        <v>0</v>
      </c>
      <c r="AA47" s="370">
        <f t="shared" si="28"/>
        <v>0</v>
      </c>
      <c r="AB47" s="370">
        <f t="shared" si="28"/>
        <v>0</v>
      </c>
      <c r="AC47" s="370">
        <f t="shared" si="28"/>
        <v>0</v>
      </c>
      <c r="AD47" s="370">
        <f t="shared" si="28"/>
        <v>0</v>
      </c>
      <c r="AE47" s="370">
        <f t="shared" si="28"/>
        <v>0</v>
      </c>
      <c r="AF47" s="370">
        <f t="shared" si="28"/>
        <v>0</v>
      </c>
      <c r="AG47" s="370">
        <f t="shared" si="28"/>
        <v>0</v>
      </c>
      <c r="AH47" s="370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210119.98321826715</v>
      </c>
      <c r="C48" s="297"/>
      <c r="D48" s="18">
        <f t="shared" ref="D48:Y48" si="29">SUM(D45:D47)</f>
        <v>5733.4303120320092</v>
      </c>
      <c r="E48" s="18">
        <f t="shared" si="29"/>
        <v>8600.1454680480147</v>
      </c>
      <c r="F48" s="18">
        <f t="shared" si="29"/>
        <v>8600.1454680480147</v>
      </c>
      <c r="G48" s="18">
        <f t="shared" si="29"/>
        <v>8600.1454680480147</v>
      </c>
      <c r="H48" s="18">
        <f t="shared" si="29"/>
        <v>8600.1454680480147</v>
      </c>
      <c r="I48" s="18">
        <f t="shared" si="29"/>
        <v>6798.9329413813484</v>
      </c>
      <c r="J48" s="18">
        <f t="shared" si="29"/>
        <v>5898.3266780480144</v>
      </c>
      <c r="K48" s="18">
        <f t="shared" si="29"/>
        <v>5898.3266780480144</v>
      </c>
      <c r="L48" s="18">
        <f t="shared" si="29"/>
        <v>5898.3266780480144</v>
      </c>
      <c r="M48" s="18">
        <f t="shared" si="29"/>
        <v>5898.3266780480144</v>
      </c>
      <c r="N48" s="18">
        <f t="shared" si="29"/>
        <v>5898.3266780480144</v>
      </c>
      <c r="O48" s="18">
        <f t="shared" si="29"/>
        <v>5898.3266780480144</v>
      </c>
      <c r="P48" s="18">
        <f t="shared" si="29"/>
        <v>5898.3266780480144</v>
      </c>
      <c r="Q48" s="18">
        <f t="shared" si="29"/>
        <v>5898.3266780480144</v>
      </c>
      <c r="R48" s="18">
        <f t="shared" si="29"/>
        <v>5898.3266780480144</v>
      </c>
      <c r="S48" s="18">
        <f t="shared" si="29"/>
        <v>5898.3266780480144</v>
      </c>
      <c r="T48" s="18">
        <f t="shared" si="29"/>
        <v>5898.3266780480144</v>
      </c>
      <c r="U48" s="18">
        <f t="shared" si="29"/>
        <v>5898.3266780480144</v>
      </c>
      <c r="V48" s="18">
        <f t="shared" si="29"/>
        <v>5898.3266780480144</v>
      </c>
      <c r="W48" s="18">
        <f t="shared" si="29"/>
        <v>5898.3266780480144</v>
      </c>
      <c r="X48" s="18">
        <f t="shared" si="29"/>
        <v>5898.3266780480144</v>
      </c>
      <c r="Y48" s="18">
        <f t="shared" si="29"/>
        <v>5898.3266780480144</v>
      </c>
      <c r="Z48" s="18">
        <f t="shared" ref="Z48:AH48" si="30">SUM(Z45:Z47)</f>
        <v>5898.3266780480144</v>
      </c>
      <c r="AA48" s="18">
        <f t="shared" si="30"/>
        <v>5898.3266780480144</v>
      </c>
      <c r="AB48" s="18">
        <f t="shared" si="30"/>
        <v>5898.3266780480144</v>
      </c>
      <c r="AC48" s="18">
        <f t="shared" si="30"/>
        <v>5898.3266780480144</v>
      </c>
      <c r="AD48" s="18">
        <f t="shared" si="30"/>
        <v>5898.3266780480144</v>
      </c>
      <c r="AE48" s="18">
        <f t="shared" si="30"/>
        <v>5898.3266780480144</v>
      </c>
      <c r="AF48" s="18">
        <f t="shared" si="30"/>
        <v>5898.3266780480144</v>
      </c>
      <c r="AG48" s="18">
        <f t="shared" si="30"/>
        <v>5898.3266780480144</v>
      </c>
      <c r="AH48" s="18">
        <f t="shared" si="30"/>
        <v>1966.1088926826719</v>
      </c>
      <c r="AI48" s="20"/>
      <c r="AJ48" s="20"/>
      <c r="AK48" s="20"/>
      <c r="AL48" s="20"/>
    </row>
    <row r="49" spans="1:38">
      <c r="A49" s="22"/>
      <c r="B49" s="18"/>
      <c r="C49" s="37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299" t="s">
        <v>66</v>
      </c>
      <c r="B50" s="374">
        <f>B48</f>
        <v>210119.98321826715</v>
      </c>
      <c r="C50" s="373"/>
      <c r="D50" s="298">
        <f>B48-D48</f>
        <v>204386.55290623516</v>
      </c>
      <c r="E50" s="298">
        <f>D50-E48</f>
        <v>195786.40743818713</v>
      </c>
      <c r="F50" s="298">
        <f t="shared" ref="F50:Y50" si="31">E50-F48</f>
        <v>187186.26197013911</v>
      </c>
      <c r="G50" s="298">
        <f t="shared" si="31"/>
        <v>178586.11650209108</v>
      </c>
      <c r="H50" s="298">
        <f t="shared" si="31"/>
        <v>169985.97103404306</v>
      </c>
      <c r="I50" s="298">
        <f t="shared" si="31"/>
        <v>163187.03809266171</v>
      </c>
      <c r="J50" s="298">
        <f t="shared" si="31"/>
        <v>157288.7114146137</v>
      </c>
      <c r="K50" s="298">
        <f t="shared" si="31"/>
        <v>151390.3847365657</v>
      </c>
      <c r="L50" s="298">
        <f t="shared" si="31"/>
        <v>145492.05805851769</v>
      </c>
      <c r="M50" s="298">
        <f t="shared" si="31"/>
        <v>139593.73138046969</v>
      </c>
      <c r="N50" s="298">
        <f t="shared" si="31"/>
        <v>133695.40470242169</v>
      </c>
      <c r="O50" s="298">
        <f t="shared" si="31"/>
        <v>127797.07802437367</v>
      </c>
      <c r="P50" s="298">
        <f t="shared" si="31"/>
        <v>121898.75134632565</v>
      </c>
      <c r="Q50" s="298">
        <f t="shared" si="31"/>
        <v>116000.42466827763</v>
      </c>
      <c r="R50" s="298">
        <f t="shared" si="31"/>
        <v>110102.09799022961</v>
      </c>
      <c r="S50" s="298">
        <f t="shared" si="31"/>
        <v>104203.77131218159</v>
      </c>
      <c r="T50" s="298">
        <f t="shared" si="31"/>
        <v>98305.444634133572</v>
      </c>
      <c r="U50" s="298">
        <f t="shared" si="31"/>
        <v>92407.117956085553</v>
      </c>
      <c r="V50" s="298">
        <f t="shared" si="31"/>
        <v>86508.791278037534</v>
      </c>
      <c r="W50" s="298">
        <f t="shared" si="31"/>
        <v>80610.464599989515</v>
      </c>
      <c r="X50" s="298">
        <f t="shared" si="31"/>
        <v>74712.137921941496</v>
      </c>
      <c r="Y50" s="298">
        <f t="shared" si="31"/>
        <v>68813.811243893477</v>
      </c>
      <c r="Z50" s="298">
        <f t="shared" ref="Z50:AH50" si="32">Y50-Z48</f>
        <v>62915.484565845465</v>
      </c>
      <c r="AA50" s="298">
        <f t="shared" si="32"/>
        <v>57017.157887797453</v>
      </c>
      <c r="AB50" s="298">
        <f t="shared" si="32"/>
        <v>51118.831209749442</v>
      </c>
      <c r="AC50" s="298">
        <f t="shared" si="32"/>
        <v>45220.50453170143</v>
      </c>
      <c r="AD50" s="298">
        <f t="shared" si="32"/>
        <v>39322.177853653418</v>
      </c>
      <c r="AE50" s="298">
        <f t="shared" si="32"/>
        <v>33423.851175605407</v>
      </c>
      <c r="AF50" s="298">
        <f t="shared" si="32"/>
        <v>27525.524497557391</v>
      </c>
      <c r="AG50" s="298">
        <f t="shared" si="32"/>
        <v>21627.197819509376</v>
      </c>
      <c r="AH50" s="298">
        <f t="shared" si="32"/>
        <v>19661.088926826706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>
      <selection activeCell="J20" sqref="J20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Homestead, Florida</v>
      </c>
    </row>
    <row r="4" spans="1:32" ht="18.75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5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202</v>
      </c>
      <c r="B10" s="19">
        <f>IS!C40</f>
        <v>723.83758593903531</v>
      </c>
      <c r="C10" s="19">
        <f>IS!D40</f>
        <v>1496.0225266082471</v>
      </c>
      <c r="D10" s="19">
        <f>IS!E40</f>
        <v>1572.7711233967766</v>
      </c>
      <c r="E10" s="19">
        <f>IS!F40</f>
        <v>1656.9802894205095</v>
      </c>
      <c r="F10" s="19">
        <f>IS!G40</f>
        <v>1749.2140278750958</v>
      </c>
      <c r="G10" s="19">
        <f>IS!H40</f>
        <v>3651.2891841135606</v>
      </c>
      <c r="H10" s="19">
        <f>IS!I40</f>
        <v>4662.0344411026072</v>
      </c>
      <c r="I10" s="19">
        <f>IS!J40</f>
        <v>4782.1434639283871</v>
      </c>
      <c r="J10" s="19">
        <f>IS!K40</f>
        <v>4912.9656239584292</v>
      </c>
      <c r="K10" s="19">
        <f>IS!L40</f>
        <v>5055.2969509091527</v>
      </c>
      <c r="L10" s="19">
        <f>IS!M40</f>
        <v>5209.9901187793839</v>
      </c>
      <c r="M10" s="19">
        <f>IS!N40</f>
        <v>5377.9584293941407</v>
      </c>
      <c r="N10" s="19">
        <f>IS!O40</f>
        <v>5560.1800751654173</v>
      </c>
      <c r="O10" s="19">
        <f>IS!P40</f>
        <v>5757.702700622438</v>
      </c>
      <c r="P10" s="19">
        <f>IS!Q40</f>
        <v>5971.6482836328414</v>
      </c>
      <c r="Q10" s="19">
        <f>IS!R40</f>
        <v>6203.2183587007867</v>
      </c>
      <c r="R10" s="19">
        <f>IS!S40</f>
        <v>6453.6996062952439</v>
      </c>
      <c r="S10" s="19">
        <f>IS!T40</f>
        <v>6724.4698338385006</v>
      </c>
      <c r="T10" s="19">
        <f>IS!U40</f>
        <v>7017.0043757793237</v>
      </c>
      <c r="U10" s="19">
        <f>IS!V40</f>
        <v>7332.8829420949205</v>
      </c>
      <c r="V10" s="19">
        <f>IS!W40</f>
        <v>7673.7969466203158</v>
      </c>
      <c r="W10" s="19">
        <f>IS!X40</f>
        <v>8041.557348801538</v>
      </c>
      <c r="X10" s="19">
        <f>IS!Y40</f>
        <v>8438.1030448212896</v>
      </c>
      <c r="Y10" s="19">
        <f>IS!Z40</f>
        <v>8865.509846561974</v>
      </c>
      <c r="Z10" s="19">
        <f>IS!AA40</f>
        <v>9326.0000895640514</v>
      </c>
      <c r="AA10" s="19">
        <f>IS!AB40</f>
        <v>9821.9529140186114</v>
      </c>
      <c r="AB10" s="19">
        <f>IS!AC40</f>
        <v>10355.915265916177</v>
      </c>
      <c r="AC10" s="19">
        <f>IS!AD40</f>
        <v>10930.613668772374</v>
      </c>
      <c r="AD10" s="19">
        <f>IS!AE40</f>
        <v>11548.966819880821</v>
      </c>
      <c r="AE10" s="19">
        <f>IS!AF40</f>
        <v>12214.099068820236</v>
      </c>
      <c r="AF10" s="19">
        <f>IS!AG40</f>
        <v>231.0312053246812</v>
      </c>
    </row>
    <row r="11" spans="1:32">
      <c r="A11" s="21" t="s">
        <v>68</v>
      </c>
      <c r="B11" s="19">
        <f>IS!C34</f>
        <v>5733.4303120320092</v>
      </c>
      <c r="C11" s="19">
        <f>IS!D34</f>
        <v>8600.1454680480147</v>
      </c>
      <c r="D11" s="19">
        <f>IS!E34</f>
        <v>8600.1454680480147</v>
      </c>
      <c r="E11" s="19">
        <f>IS!F34</f>
        <v>8600.1454680480147</v>
      </c>
      <c r="F11" s="19">
        <f>IS!G34</f>
        <v>8600.1454680480147</v>
      </c>
      <c r="G11" s="19">
        <f>IS!H34</f>
        <v>6798.9329413813484</v>
      </c>
      <c r="H11" s="19">
        <f>IS!I34</f>
        <v>5898.3266780480144</v>
      </c>
      <c r="I11" s="19">
        <f>IS!J34</f>
        <v>5898.3266780480144</v>
      </c>
      <c r="J11" s="19">
        <f>IS!K34</f>
        <v>5898.3266780480144</v>
      </c>
      <c r="K11" s="19">
        <f>IS!L34</f>
        <v>5898.3266780480144</v>
      </c>
      <c r="L11" s="19">
        <f>IS!M34</f>
        <v>5898.3266780480144</v>
      </c>
      <c r="M11" s="19">
        <f>IS!N34</f>
        <v>5898.3266780480144</v>
      </c>
      <c r="N11" s="19">
        <f>IS!O34</f>
        <v>5898.3266780480144</v>
      </c>
      <c r="O11" s="19">
        <f>IS!P34</f>
        <v>5898.3266780480144</v>
      </c>
      <c r="P11" s="19">
        <f>IS!Q34</f>
        <v>5898.3266780480144</v>
      </c>
      <c r="Q11" s="19">
        <f>IS!R34</f>
        <v>5898.3266780480144</v>
      </c>
      <c r="R11" s="19">
        <f>IS!S34</f>
        <v>5898.3266780480144</v>
      </c>
      <c r="S11" s="19">
        <f>IS!T34</f>
        <v>5898.3266780480144</v>
      </c>
      <c r="T11" s="19">
        <f>IS!U34</f>
        <v>5898.3266780480144</v>
      </c>
      <c r="U11" s="19">
        <f>IS!V34</f>
        <v>5898.3266780480144</v>
      </c>
      <c r="V11" s="19">
        <f>IS!W34</f>
        <v>5898.3266780480144</v>
      </c>
      <c r="W11" s="19">
        <f>IS!X34</f>
        <v>5898.3266780480144</v>
      </c>
      <c r="X11" s="19">
        <f>IS!Y34</f>
        <v>5898.3266780480144</v>
      </c>
      <c r="Y11" s="19">
        <f>IS!Z34</f>
        <v>5898.3266780480144</v>
      </c>
      <c r="Z11" s="19">
        <f>IS!AA34</f>
        <v>5898.3266780480144</v>
      </c>
      <c r="AA11" s="19">
        <f>IS!AB34</f>
        <v>5898.3266780480144</v>
      </c>
      <c r="AB11" s="19">
        <f>IS!AC34</f>
        <v>5898.3266780480144</v>
      </c>
      <c r="AC11" s="19">
        <f>IS!AD34</f>
        <v>5898.3266780480144</v>
      </c>
      <c r="AD11" s="19">
        <f>IS!AE34</f>
        <v>5898.3266780480144</v>
      </c>
      <c r="AE11" s="19">
        <f>IS!AF34</f>
        <v>5898.3266780480144</v>
      </c>
      <c r="AF11" s="19">
        <f>IS!AG34</f>
        <v>1966.1088926826719</v>
      </c>
    </row>
    <row r="12" spans="1:32" ht="15">
      <c r="A12" s="21" t="s">
        <v>69</v>
      </c>
      <c r="B12" s="130">
        <f>-Depreciation!D34</f>
        <v>-11631.756990080024</v>
      </c>
      <c r="C12" s="130">
        <f>-Depreciation!E34</f>
        <v>-21379.853270485379</v>
      </c>
      <c r="D12" s="130">
        <f>-Depreciation!F34</f>
        <v>-19512.049822436842</v>
      </c>
      <c r="E12" s="130">
        <f>-Depreciation!G34</f>
        <v>-17840.85726365657</v>
      </c>
      <c r="F12" s="130">
        <f>-Depreciation!H34</f>
        <v>-16326.953416290915</v>
      </c>
      <c r="G12" s="130">
        <f>-Depreciation!I34</f>
        <v>-13149.464664746376</v>
      </c>
      <c r="H12" s="130">
        <f>-Depreciation!J34</f>
        <v>-11600.042466827761</v>
      </c>
      <c r="I12" s="130">
        <f>-Depreciation!K34</f>
        <v>-11619.703555754588</v>
      </c>
      <c r="J12" s="130">
        <f>-Depreciation!L34</f>
        <v>-11600.042466827761</v>
      </c>
      <c r="K12" s="130">
        <f>-Depreciation!M34</f>
        <v>-11619.703555754588</v>
      </c>
      <c r="L12" s="130">
        <f>-Depreciation!N34</f>
        <v>-11600.042466827761</v>
      </c>
      <c r="M12" s="130">
        <f>-Depreciation!O34</f>
        <v>-11619.703555754588</v>
      </c>
      <c r="N12" s="130">
        <f>-Depreciation!P34</f>
        <v>-11600.042466827761</v>
      </c>
      <c r="O12" s="130">
        <f>-Depreciation!Q34</f>
        <v>-11619.703555754588</v>
      </c>
      <c r="P12" s="130">
        <f>-Depreciation!R34</f>
        <v>-11600.042466827761</v>
      </c>
      <c r="Q12" s="130">
        <f>-Depreciation!S34</f>
        <v>-5800.0212334138805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-5174.48909210898</v>
      </c>
      <c r="C13" s="23">
        <f t="shared" ref="C13:W13" si="0">SUM(C10:C12)</f>
        <v>-11283.685275829117</v>
      </c>
      <c r="D13" s="23">
        <f t="shared" si="0"/>
        <v>-9339.1332309920508</v>
      </c>
      <c r="E13" s="23">
        <f t="shared" si="0"/>
        <v>-7583.7315061880454</v>
      </c>
      <c r="F13" s="23">
        <f t="shared" si="0"/>
        <v>-5977.5939203678045</v>
      </c>
      <c r="G13" s="23">
        <f t="shared" si="0"/>
        <v>-2699.242539251467</v>
      </c>
      <c r="H13" s="23">
        <f t="shared" si="0"/>
        <v>-1039.6813476771404</v>
      </c>
      <c r="I13" s="23">
        <f t="shared" si="0"/>
        <v>-939.23341377818542</v>
      </c>
      <c r="J13" s="23">
        <f t="shared" si="0"/>
        <v>-788.7501648213165</v>
      </c>
      <c r="K13" s="23">
        <f t="shared" si="0"/>
        <v>-666.07992679741983</v>
      </c>
      <c r="L13" s="23">
        <f t="shared" si="0"/>
        <v>-491.72567000036179</v>
      </c>
      <c r="M13" s="23">
        <f t="shared" si="0"/>
        <v>-343.41844831243179</v>
      </c>
      <c r="N13" s="23">
        <f t="shared" si="0"/>
        <v>-141.53571361433023</v>
      </c>
      <c r="O13" s="23">
        <f t="shared" si="0"/>
        <v>36.325822915865501</v>
      </c>
      <c r="P13" s="23">
        <f t="shared" si="0"/>
        <v>269.93249485309389</v>
      </c>
      <c r="Q13" s="23">
        <f t="shared" si="0"/>
        <v>6301.5238033349206</v>
      </c>
      <c r="R13" s="23">
        <f t="shared" si="0"/>
        <v>12352.026284343257</v>
      </c>
      <c r="S13" s="23">
        <f t="shared" si="0"/>
        <v>12622.796511886514</v>
      </c>
      <c r="T13" s="23">
        <f t="shared" si="0"/>
        <v>12915.331053827338</v>
      </c>
      <c r="U13" s="23">
        <f t="shared" si="0"/>
        <v>13231.209620142934</v>
      </c>
      <c r="V13" s="23">
        <f t="shared" si="0"/>
        <v>13572.123624668329</v>
      </c>
      <c r="W13" s="23">
        <f t="shared" si="0"/>
        <v>13939.884026849551</v>
      </c>
      <c r="X13" s="23">
        <f t="shared" ref="X13:AF13" si="1">SUM(X10:X12)</f>
        <v>14336.429722869303</v>
      </c>
      <c r="Y13" s="23">
        <f t="shared" si="1"/>
        <v>14763.836524609989</v>
      </c>
      <c r="Z13" s="23">
        <f t="shared" si="1"/>
        <v>15224.326767612067</v>
      </c>
      <c r="AA13" s="23">
        <f t="shared" si="1"/>
        <v>15720.279592066625</v>
      </c>
      <c r="AB13" s="23">
        <f t="shared" si="1"/>
        <v>16254.241943964193</v>
      </c>
      <c r="AC13" s="23">
        <f t="shared" si="1"/>
        <v>16828.940346820389</v>
      </c>
      <c r="AD13" s="23">
        <f t="shared" si="1"/>
        <v>17447.293497928837</v>
      </c>
      <c r="AE13" s="23">
        <f t="shared" si="1"/>
        <v>18112.425746868252</v>
      </c>
      <c r="AF13" s="23">
        <f t="shared" si="1"/>
        <v>2197.1400980073531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-362.21423644762865</v>
      </c>
      <c r="C16" s="19">
        <f t="shared" si="2"/>
        <v>-789.85796930803826</v>
      </c>
      <c r="D16" s="19">
        <f t="shared" si="2"/>
        <v>-653.73932616944364</v>
      </c>
      <c r="E16" s="19">
        <f t="shared" si="2"/>
        <v>-530.86120543316326</v>
      </c>
      <c r="F16" s="19">
        <f t="shared" si="2"/>
        <v>-418.43157442574636</v>
      </c>
      <c r="G16" s="19">
        <f t="shared" si="2"/>
        <v>-188.94697774760272</v>
      </c>
      <c r="H16" s="19">
        <f t="shared" si="2"/>
        <v>-72.777694337399836</v>
      </c>
      <c r="I16" s="19">
        <f t="shared" si="2"/>
        <v>-65.746338964472983</v>
      </c>
      <c r="J16" s="19">
        <f t="shared" si="2"/>
        <v>-55.212511537492162</v>
      </c>
      <c r="K16" s="19">
        <f t="shared" si="2"/>
        <v>-46.625594875819395</v>
      </c>
      <c r="L16" s="19">
        <f t="shared" si="2"/>
        <v>-34.42079690002533</v>
      </c>
      <c r="M16" s="19">
        <f t="shared" si="2"/>
        <v>-24.039291381870228</v>
      </c>
      <c r="N16" s="19">
        <f t="shared" si="2"/>
        <v>-9.9074999530031178</v>
      </c>
      <c r="O16" s="19">
        <f t="shared" si="2"/>
        <v>2.5428076041105854</v>
      </c>
      <c r="P16" s="19">
        <f t="shared" si="2"/>
        <v>18.895274639716575</v>
      </c>
      <c r="Q16" s="19">
        <f t="shared" si="2"/>
        <v>441.10666623344446</v>
      </c>
      <c r="R16" s="19">
        <f t="shared" si="2"/>
        <v>864.64183990402807</v>
      </c>
      <c r="S16" s="19">
        <f t="shared" si="2"/>
        <v>883.59575583205606</v>
      </c>
      <c r="T16" s="19">
        <f t="shared" si="2"/>
        <v>904.07317376791377</v>
      </c>
      <c r="U16" s="19">
        <f t="shared" si="2"/>
        <v>926.18467341000542</v>
      </c>
      <c r="V16" s="19">
        <f t="shared" si="2"/>
        <v>950.04865372678319</v>
      </c>
      <c r="W16" s="19">
        <f t="shared" si="2"/>
        <v>975.79188187946875</v>
      </c>
      <c r="X16" s="19">
        <f t="shared" si="2"/>
        <v>1003.5500806008513</v>
      </c>
      <c r="Y16" s="19">
        <f t="shared" si="2"/>
        <v>1033.4685567226993</v>
      </c>
      <c r="Z16" s="19">
        <f t="shared" si="2"/>
        <v>1065.7028737328449</v>
      </c>
      <c r="AA16" s="19">
        <f t="shared" si="2"/>
        <v>1100.4195714446639</v>
      </c>
      <c r="AB16" s="19">
        <f t="shared" si="2"/>
        <v>1137.7969360774937</v>
      </c>
      <c r="AC16" s="19">
        <f t="shared" si="2"/>
        <v>1178.0258242774273</v>
      </c>
      <c r="AD16" s="19">
        <f t="shared" si="2"/>
        <v>1221.3105448550186</v>
      </c>
      <c r="AE16" s="19">
        <f t="shared" si="2"/>
        <v>1267.8698022807778</v>
      </c>
      <c r="AF16" s="19">
        <f t="shared" si="2"/>
        <v>153.79980686051474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362.21423644762865</v>
      </c>
      <c r="D18" s="19">
        <f t="shared" ref="D18:W18" si="3">C22</f>
        <v>1152.0722057556668</v>
      </c>
      <c r="E18" s="19">
        <f t="shared" si="3"/>
        <v>1805.8115319251106</v>
      </c>
      <c r="F18" s="19">
        <f t="shared" si="3"/>
        <v>2336.6727373582739</v>
      </c>
      <c r="G18" s="19">
        <f t="shared" si="3"/>
        <v>2755.1043117840204</v>
      </c>
      <c r="H18" s="19">
        <f t="shared" si="3"/>
        <v>2944.0512895316233</v>
      </c>
      <c r="I18" s="19">
        <f t="shared" si="3"/>
        <v>3016.828983869023</v>
      </c>
      <c r="J18" s="19">
        <f t="shared" si="3"/>
        <v>3082.5753228334961</v>
      </c>
      <c r="K18" s="19">
        <f t="shared" si="3"/>
        <v>2775.5735979233596</v>
      </c>
      <c r="L18" s="19">
        <f t="shared" si="3"/>
        <v>2394.5554599387692</v>
      </c>
      <c r="M18" s="19">
        <f t="shared" si="3"/>
        <v>2428.9762568387946</v>
      </c>
      <c r="N18" s="19">
        <f t="shared" si="3"/>
        <v>2453.0155482206646</v>
      </c>
      <c r="O18" s="19">
        <f t="shared" si="3"/>
        <v>2462.9230481736677</v>
      </c>
      <c r="P18" s="19">
        <f>O22</f>
        <v>2460.3802405695569</v>
      </c>
      <c r="Q18" s="19">
        <f t="shared" si="3"/>
        <v>2441.4849659298402</v>
      </c>
      <c r="R18" s="19">
        <f t="shared" si="3"/>
        <v>2000.3782996963957</v>
      </c>
      <c r="S18" s="19">
        <f t="shared" si="3"/>
        <v>1135.7364597923677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0</v>
      </c>
      <c r="Y18" s="19">
        <f t="shared" si="4"/>
        <v>0</v>
      </c>
      <c r="Z18" s="19">
        <f t="shared" si="4"/>
        <v>0</v>
      </c>
      <c r="AA18" s="19">
        <f t="shared" si="4"/>
        <v>0</v>
      </c>
      <c r="AB18" s="19">
        <f t="shared" si="4"/>
        <v>0</v>
      </c>
      <c r="AC18" s="19">
        <f t="shared" si="4"/>
        <v>0</v>
      </c>
      <c r="AD18" s="19">
        <f t="shared" si="4"/>
        <v>0</v>
      </c>
      <c r="AE18" s="19">
        <f t="shared" si="4"/>
        <v>0</v>
      </c>
      <c r="AF18" s="19">
        <f t="shared" si="4"/>
        <v>0</v>
      </c>
    </row>
    <row r="19" spans="1:32">
      <c r="A19" s="21" t="s">
        <v>73</v>
      </c>
      <c r="B19" s="139">
        <f>IF(B16&lt;0,-B16,0)</f>
        <v>362.21423644762865</v>
      </c>
      <c r="C19" s="139">
        <f t="shared" ref="C19:W19" si="5">IF(C16&lt;0,-C16,0)</f>
        <v>789.85796930803826</v>
      </c>
      <c r="D19" s="139">
        <f t="shared" si="5"/>
        <v>653.73932616944364</v>
      </c>
      <c r="E19" s="139">
        <f t="shared" si="5"/>
        <v>530.86120543316326</v>
      </c>
      <c r="F19" s="139">
        <f t="shared" si="5"/>
        <v>418.43157442574636</v>
      </c>
      <c r="G19" s="139">
        <f t="shared" si="5"/>
        <v>188.94697774760272</v>
      </c>
      <c r="H19" s="139">
        <f t="shared" si="5"/>
        <v>72.777694337399836</v>
      </c>
      <c r="I19" s="139">
        <f t="shared" si="5"/>
        <v>65.746338964472983</v>
      </c>
      <c r="J19" s="139">
        <f t="shared" si="5"/>
        <v>55.212511537492162</v>
      </c>
      <c r="K19" s="139">
        <f t="shared" si="5"/>
        <v>46.625594875819395</v>
      </c>
      <c r="L19" s="139">
        <f t="shared" si="5"/>
        <v>34.42079690002533</v>
      </c>
      <c r="M19" s="139">
        <f t="shared" si="5"/>
        <v>24.039291381870228</v>
      </c>
      <c r="N19" s="139">
        <f t="shared" si="5"/>
        <v>9.9074999530031178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0</v>
      </c>
      <c r="X19" s="139">
        <f t="shared" ref="X19:AF19" si="6">IF(X16&lt;0,-X16,0)</f>
        <v>0</v>
      </c>
      <c r="Y19" s="139">
        <f t="shared" si="6"/>
        <v>0</v>
      </c>
      <c r="Z19" s="139">
        <f t="shared" si="6"/>
        <v>0</v>
      </c>
      <c r="AA19" s="139">
        <f t="shared" si="6"/>
        <v>0</v>
      </c>
      <c r="AB19" s="139">
        <f t="shared" si="6"/>
        <v>0</v>
      </c>
      <c r="AC19" s="139">
        <f t="shared" si="6"/>
        <v>0</v>
      </c>
      <c r="AD19" s="139">
        <f t="shared" si="6"/>
        <v>0</v>
      </c>
      <c r="AE19" s="139">
        <f t="shared" si="6"/>
        <v>0</v>
      </c>
      <c r="AF19" s="139">
        <f t="shared" si="6"/>
        <v>0</v>
      </c>
    </row>
    <row r="20" spans="1:32">
      <c r="A20" s="13" t="s">
        <v>280</v>
      </c>
      <c r="B20" s="457">
        <v>0</v>
      </c>
      <c r="C20" s="458">
        <v>0</v>
      </c>
      <c r="D20" s="458">
        <v>0</v>
      </c>
      <c r="E20" s="458">
        <v>0</v>
      </c>
      <c r="F20" s="458">
        <v>0</v>
      </c>
      <c r="G20" s="458">
        <v>0</v>
      </c>
      <c r="H20" s="458">
        <v>0</v>
      </c>
      <c r="I20" s="459">
        <v>0</v>
      </c>
      <c r="J20" s="460">
        <f>IF(-SUM(B21:I21, B20:I20)&gt;B19,0,-B19-SUM(B21:I21,B20:I20))</f>
        <v>-362.21423644762865</v>
      </c>
      <c r="K20" s="460">
        <f t="shared" ref="K20:AF20" si="7">IF(-SUM(C21:J21, C20:J20)&gt;C19,0,-C19-SUM(C21:J21,C20:J20))</f>
        <v>-427.64373286040961</v>
      </c>
      <c r="L20" s="460">
        <f t="shared" si="7"/>
        <v>0</v>
      </c>
      <c r="M20" s="460">
        <f t="shared" si="7"/>
        <v>0</v>
      </c>
      <c r="N20" s="460">
        <f t="shared" si="7"/>
        <v>0</v>
      </c>
      <c r="O20" s="460">
        <f t="shared" si="7"/>
        <v>0</v>
      </c>
      <c r="P20" s="460">
        <f t="shared" si="7"/>
        <v>0</v>
      </c>
      <c r="Q20" s="460">
        <f t="shared" si="7"/>
        <v>0</v>
      </c>
      <c r="R20" s="460">
        <f t="shared" si="7"/>
        <v>0</v>
      </c>
      <c r="S20" s="460">
        <f t="shared" si="7"/>
        <v>0</v>
      </c>
      <c r="T20" s="460">
        <f t="shared" si="7"/>
        <v>0</v>
      </c>
      <c r="U20" s="460">
        <f t="shared" si="7"/>
        <v>0</v>
      </c>
      <c r="V20" s="460">
        <f t="shared" si="7"/>
        <v>0</v>
      </c>
      <c r="W20" s="460">
        <f t="shared" si="7"/>
        <v>0</v>
      </c>
      <c r="X20" s="460">
        <f t="shared" si="7"/>
        <v>0</v>
      </c>
      <c r="Y20" s="460">
        <f t="shared" si="7"/>
        <v>0</v>
      </c>
      <c r="Z20" s="460">
        <f t="shared" si="7"/>
        <v>0</v>
      </c>
      <c r="AA20" s="460">
        <f t="shared" si="7"/>
        <v>0</v>
      </c>
      <c r="AB20" s="460">
        <f t="shared" si="7"/>
        <v>0</v>
      </c>
      <c r="AC20" s="460">
        <f t="shared" si="7"/>
        <v>0</v>
      </c>
      <c r="AD20" s="460">
        <f t="shared" si="7"/>
        <v>0</v>
      </c>
      <c r="AE20" s="460">
        <f t="shared" si="7"/>
        <v>0</v>
      </c>
      <c r="AF20" s="460">
        <f t="shared" si="7"/>
        <v>0</v>
      </c>
    </row>
    <row r="21" spans="1:32">
      <c r="A21" s="13" t="s">
        <v>279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-2.5428076041105854</v>
      </c>
      <c r="P21" s="132">
        <f t="shared" si="8"/>
        <v>-18.895274639716575</v>
      </c>
      <c r="Q21" s="132">
        <f t="shared" si="8"/>
        <v>-441.10666623344446</v>
      </c>
      <c r="R21" s="132">
        <f t="shared" si="8"/>
        <v>-864.64183990402807</v>
      </c>
      <c r="S21" s="132">
        <f t="shared" si="8"/>
        <v>-883.59575583205606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362.21423644762865</v>
      </c>
      <c r="C22" s="132">
        <f t="shared" si="10"/>
        <v>1152.0722057556668</v>
      </c>
      <c r="D22" s="132">
        <f t="shared" si="10"/>
        <v>1805.8115319251106</v>
      </c>
      <c r="E22" s="132">
        <f t="shared" si="10"/>
        <v>2336.6727373582739</v>
      </c>
      <c r="F22" s="132">
        <f t="shared" si="10"/>
        <v>2755.1043117840204</v>
      </c>
      <c r="G22" s="132">
        <f t="shared" si="10"/>
        <v>2944.0512895316233</v>
      </c>
      <c r="H22" s="132">
        <f t="shared" si="10"/>
        <v>3016.828983869023</v>
      </c>
      <c r="I22" s="132">
        <f t="shared" si="10"/>
        <v>3082.5753228334961</v>
      </c>
      <c r="J22" s="132">
        <f t="shared" si="10"/>
        <v>2775.5735979233596</v>
      </c>
      <c r="K22" s="132">
        <f t="shared" si="10"/>
        <v>2394.5554599387692</v>
      </c>
      <c r="L22" s="132">
        <f t="shared" si="10"/>
        <v>2428.9762568387946</v>
      </c>
      <c r="M22" s="132">
        <f t="shared" si="10"/>
        <v>2453.0155482206646</v>
      </c>
      <c r="N22" s="132">
        <f t="shared" si="10"/>
        <v>2462.9230481736677</v>
      </c>
      <c r="O22" s="132">
        <f t="shared" si="10"/>
        <v>2460.3802405695569</v>
      </c>
      <c r="P22" s="132">
        <f t="shared" si="10"/>
        <v>2441.4849659298402</v>
      </c>
      <c r="Q22" s="132">
        <f t="shared" si="10"/>
        <v>2000.3782996963957</v>
      </c>
      <c r="R22" s="132">
        <f t="shared" si="10"/>
        <v>1135.7364597923677</v>
      </c>
      <c r="S22" s="132">
        <f t="shared" si="10"/>
        <v>252.14070396031161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0</v>
      </c>
      <c r="X22" s="132">
        <f t="shared" si="10"/>
        <v>0</v>
      </c>
      <c r="Y22" s="132">
        <f t="shared" si="10"/>
        <v>0</v>
      </c>
      <c r="Z22" s="132">
        <f t="shared" si="10"/>
        <v>0</v>
      </c>
      <c r="AA22" s="132">
        <f t="shared" si="10"/>
        <v>0</v>
      </c>
      <c r="AB22" s="132">
        <f t="shared" si="10"/>
        <v>0</v>
      </c>
      <c r="AC22" s="132">
        <f t="shared" si="10"/>
        <v>0</v>
      </c>
      <c r="AD22" s="132">
        <f t="shared" si="10"/>
        <v>0</v>
      </c>
      <c r="AE22" s="132">
        <f t="shared" si="10"/>
        <v>0</v>
      </c>
      <c r="AF22" s="132">
        <f t="shared" si="10"/>
        <v>0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204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0</v>
      </c>
      <c r="S24" s="136">
        <f t="shared" si="11"/>
        <v>0</v>
      </c>
      <c r="T24" s="136">
        <f t="shared" si="11"/>
        <v>904.07317376791377</v>
      </c>
      <c r="U24" s="136">
        <f t="shared" si="11"/>
        <v>926.18467341000542</v>
      </c>
      <c r="V24" s="136">
        <f t="shared" si="11"/>
        <v>950.04865372678319</v>
      </c>
      <c r="W24" s="136">
        <f t="shared" si="11"/>
        <v>975.79188187946875</v>
      </c>
      <c r="X24" s="136">
        <f t="shared" si="11"/>
        <v>1003.5500806008513</v>
      </c>
      <c r="Y24" s="136">
        <f t="shared" si="11"/>
        <v>1033.4685567226993</v>
      </c>
      <c r="Z24" s="136">
        <f t="shared" si="11"/>
        <v>1065.7028737328449</v>
      </c>
      <c r="AA24" s="136">
        <f t="shared" si="11"/>
        <v>1100.4195714446639</v>
      </c>
      <c r="AB24" s="136">
        <f t="shared" si="11"/>
        <v>1137.7969360774937</v>
      </c>
      <c r="AC24" s="136">
        <f t="shared" si="11"/>
        <v>1178.0258242774273</v>
      </c>
      <c r="AD24" s="136">
        <f t="shared" si="11"/>
        <v>1221.3105448550186</v>
      </c>
      <c r="AE24" s="136">
        <f t="shared" si="11"/>
        <v>1267.8698022807778</v>
      </c>
      <c r="AF24" s="136">
        <f t="shared" si="11"/>
        <v>153.79980686051474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-5174.48909210898</v>
      </c>
      <c r="C28" s="19">
        <f t="shared" ref="C28:AF28" si="12">C13</f>
        <v>-11283.685275829117</v>
      </c>
      <c r="D28" s="19">
        <f t="shared" si="12"/>
        <v>-9339.1332309920508</v>
      </c>
      <c r="E28" s="19">
        <f t="shared" si="12"/>
        <v>-7583.7315061880454</v>
      </c>
      <c r="F28" s="19">
        <f t="shared" si="12"/>
        <v>-5977.5939203678045</v>
      </c>
      <c r="G28" s="19">
        <f t="shared" si="12"/>
        <v>-2699.242539251467</v>
      </c>
      <c r="H28" s="19">
        <f t="shared" si="12"/>
        <v>-1039.6813476771404</v>
      </c>
      <c r="I28" s="19">
        <f t="shared" si="12"/>
        <v>-939.23341377818542</v>
      </c>
      <c r="J28" s="19">
        <f t="shared" si="12"/>
        <v>-788.7501648213165</v>
      </c>
      <c r="K28" s="19">
        <f t="shared" si="12"/>
        <v>-666.07992679741983</v>
      </c>
      <c r="L28" s="19">
        <f t="shared" si="12"/>
        <v>-491.72567000036179</v>
      </c>
      <c r="M28" s="19">
        <f t="shared" si="12"/>
        <v>-343.41844831243179</v>
      </c>
      <c r="N28" s="19">
        <f t="shared" si="12"/>
        <v>-141.53571361433023</v>
      </c>
      <c r="O28" s="19">
        <f t="shared" si="12"/>
        <v>36.325822915865501</v>
      </c>
      <c r="P28" s="19">
        <f t="shared" si="12"/>
        <v>269.93249485309389</v>
      </c>
      <c r="Q28" s="19">
        <f t="shared" si="12"/>
        <v>6301.5238033349206</v>
      </c>
      <c r="R28" s="19">
        <f t="shared" si="12"/>
        <v>12352.026284343257</v>
      </c>
      <c r="S28" s="19">
        <f t="shared" si="12"/>
        <v>12622.796511886514</v>
      </c>
      <c r="T28" s="19">
        <f t="shared" si="12"/>
        <v>12915.331053827338</v>
      </c>
      <c r="U28" s="19">
        <f t="shared" si="12"/>
        <v>13231.209620142934</v>
      </c>
      <c r="V28" s="19">
        <f t="shared" si="12"/>
        <v>13572.123624668329</v>
      </c>
      <c r="W28" s="19">
        <f t="shared" si="12"/>
        <v>13939.884026849551</v>
      </c>
      <c r="X28" s="19">
        <f t="shared" si="12"/>
        <v>14336.429722869303</v>
      </c>
      <c r="Y28" s="19">
        <f t="shared" si="12"/>
        <v>14763.836524609989</v>
      </c>
      <c r="Z28" s="19">
        <f t="shared" si="12"/>
        <v>15224.326767612067</v>
      </c>
      <c r="AA28" s="19">
        <f t="shared" si="12"/>
        <v>15720.279592066625</v>
      </c>
      <c r="AB28" s="19">
        <f t="shared" si="12"/>
        <v>16254.241943964193</v>
      </c>
      <c r="AC28" s="19">
        <f t="shared" si="12"/>
        <v>16828.940346820389</v>
      </c>
      <c r="AD28" s="19">
        <f t="shared" si="12"/>
        <v>17447.293497928837</v>
      </c>
      <c r="AE28" s="19">
        <f t="shared" si="12"/>
        <v>18112.425746868252</v>
      </c>
      <c r="AF28" s="19">
        <f t="shared" si="12"/>
        <v>2197.1400980073531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0</v>
      </c>
      <c r="S29" s="134">
        <f t="shared" si="13"/>
        <v>0</v>
      </c>
      <c r="T29" s="134">
        <f t="shared" si="13"/>
        <v>-904.07317376791377</v>
      </c>
      <c r="U29" s="134">
        <f t="shared" si="13"/>
        <v>-926.18467341000542</v>
      </c>
      <c r="V29" s="134">
        <f t="shared" si="13"/>
        <v>-950.04865372678319</v>
      </c>
      <c r="W29" s="134">
        <f t="shared" si="13"/>
        <v>-975.79188187946875</v>
      </c>
      <c r="X29" s="134">
        <f t="shared" si="13"/>
        <v>-1003.5500806008513</v>
      </c>
      <c r="Y29" s="134">
        <f t="shared" si="13"/>
        <v>-1033.4685567226993</v>
      </c>
      <c r="Z29" s="134">
        <f t="shared" si="13"/>
        <v>-1065.7028737328449</v>
      </c>
      <c r="AA29" s="134">
        <f t="shared" si="13"/>
        <v>-1100.4195714446639</v>
      </c>
      <c r="AB29" s="134">
        <f t="shared" si="13"/>
        <v>-1137.7969360774937</v>
      </c>
      <c r="AC29" s="134">
        <f t="shared" si="13"/>
        <v>-1178.0258242774273</v>
      </c>
      <c r="AD29" s="134">
        <f t="shared" si="13"/>
        <v>-1221.3105448550186</v>
      </c>
      <c r="AE29" s="134">
        <f t="shared" si="13"/>
        <v>-1267.8698022807778</v>
      </c>
      <c r="AF29" s="134">
        <f t="shared" si="13"/>
        <v>-153.79980686051474</v>
      </c>
    </row>
    <row r="30" spans="1:32">
      <c r="A30" s="129" t="s">
        <v>203</v>
      </c>
      <c r="B30" s="44">
        <f t="shared" ref="B30:AF30" si="14">SUM(B28:B29)</f>
        <v>-5174.48909210898</v>
      </c>
      <c r="C30" s="44">
        <f t="shared" si="14"/>
        <v>-11283.685275829117</v>
      </c>
      <c r="D30" s="44">
        <f t="shared" si="14"/>
        <v>-9339.1332309920508</v>
      </c>
      <c r="E30" s="44">
        <f t="shared" si="14"/>
        <v>-7583.7315061880454</v>
      </c>
      <c r="F30" s="44">
        <f t="shared" si="14"/>
        <v>-5977.5939203678045</v>
      </c>
      <c r="G30" s="44">
        <f t="shared" si="14"/>
        <v>-2699.242539251467</v>
      </c>
      <c r="H30" s="44">
        <f t="shared" si="14"/>
        <v>-1039.6813476771404</v>
      </c>
      <c r="I30" s="44">
        <f t="shared" si="14"/>
        <v>-939.23341377818542</v>
      </c>
      <c r="J30" s="44">
        <f t="shared" si="14"/>
        <v>-788.7501648213165</v>
      </c>
      <c r="K30" s="44">
        <f t="shared" si="14"/>
        <v>-666.07992679741983</v>
      </c>
      <c r="L30" s="44">
        <f t="shared" si="14"/>
        <v>-491.72567000036179</v>
      </c>
      <c r="M30" s="44">
        <f t="shared" si="14"/>
        <v>-343.41844831243179</v>
      </c>
      <c r="N30" s="44">
        <f t="shared" si="14"/>
        <v>-141.53571361433023</v>
      </c>
      <c r="O30" s="44">
        <f t="shared" si="14"/>
        <v>36.325822915865501</v>
      </c>
      <c r="P30" s="44">
        <f t="shared" si="14"/>
        <v>269.93249485309389</v>
      </c>
      <c r="Q30" s="44">
        <f t="shared" si="14"/>
        <v>6301.5238033349206</v>
      </c>
      <c r="R30" s="44">
        <f t="shared" si="14"/>
        <v>12352.026284343257</v>
      </c>
      <c r="S30" s="44">
        <f t="shared" si="14"/>
        <v>12622.796511886514</v>
      </c>
      <c r="T30" s="44">
        <f t="shared" si="14"/>
        <v>12011.257880059424</v>
      </c>
      <c r="U30" s="44">
        <f t="shared" si="14"/>
        <v>12305.024946732929</v>
      </c>
      <c r="V30" s="44">
        <f t="shared" si="14"/>
        <v>12622.074970941547</v>
      </c>
      <c r="W30" s="44">
        <f t="shared" si="14"/>
        <v>12964.092144970084</v>
      </c>
      <c r="X30" s="44">
        <f t="shared" si="14"/>
        <v>13332.879642268452</v>
      </c>
      <c r="Y30" s="44">
        <f t="shared" si="14"/>
        <v>13730.36796788729</v>
      </c>
      <c r="Z30" s="44">
        <f t="shared" si="14"/>
        <v>14158.623893879221</v>
      </c>
      <c r="AA30" s="44">
        <f t="shared" si="14"/>
        <v>14619.860020621962</v>
      </c>
      <c r="AB30" s="44">
        <f t="shared" si="14"/>
        <v>15116.445007886699</v>
      </c>
      <c r="AC30" s="44">
        <f t="shared" si="14"/>
        <v>15650.914522542962</v>
      </c>
      <c r="AD30" s="44">
        <f t="shared" si="14"/>
        <v>16225.982953073817</v>
      </c>
      <c r="AE30" s="44">
        <f t="shared" si="14"/>
        <v>16844.555944587475</v>
      </c>
      <c r="AF30" s="44">
        <f t="shared" si="14"/>
        <v>2043.3402911468384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-1811.0711822381429</v>
      </c>
      <c r="C33" s="19">
        <f t="shared" ref="C33:W33" si="15">C30*C32</f>
        <v>-3949.2898465401909</v>
      </c>
      <c r="D33" s="19">
        <f t="shared" si="15"/>
        <v>-3268.6966308472174</v>
      </c>
      <c r="E33" s="19">
        <f t="shared" si="15"/>
        <v>-2654.3060271658155</v>
      </c>
      <c r="F33" s="19">
        <f t="shared" si="15"/>
        <v>-2092.1578721287315</v>
      </c>
      <c r="G33" s="19">
        <f t="shared" si="15"/>
        <v>-944.73488873801341</v>
      </c>
      <c r="H33" s="19">
        <f t="shared" si="15"/>
        <v>-363.88847168699908</v>
      </c>
      <c r="I33" s="19">
        <f t="shared" si="15"/>
        <v>-328.73169482236489</v>
      </c>
      <c r="J33" s="19">
        <f t="shared" si="15"/>
        <v>-276.06255768746075</v>
      </c>
      <c r="K33" s="19">
        <f t="shared" si="15"/>
        <v>-233.12797437909691</v>
      </c>
      <c r="L33" s="19">
        <f t="shared" si="15"/>
        <v>-172.10398450012661</v>
      </c>
      <c r="M33" s="19">
        <f t="shared" si="15"/>
        <v>-120.19645690935111</v>
      </c>
      <c r="N33" s="19">
        <f t="shared" si="15"/>
        <v>-49.537499765015582</v>
      </c>
      <c r="O33" s="19">
        <f t="shared" si="15"/>
        <v>12.714038020552925</v>
      </c>
      <c r="P33" s="19">
        <f t="shared" si="15"/>
        <v>94.476373198582849</v>
      </c>
      <c r="Q33" s="19">
        <f t="shared" si="15"/>
        <v>2205.5333311672221</v>
      </c>
      <c r="R33" s="19">
        <f t="shared" si="15"/>
        <v>4323.2091995201399</v>
      </c>
      <c r="S33" s="19">
        <f t="shared" si="15"/>
        <v>4417.9787791602794</v>
      </c>
      <c r="T33" s="19">
        <f t="shared" si="15"/>
        <v>4203.940258020798</v>
      </c>
      <c r="U33" s="19">
        <f t="shared" si="15"/>
        <v>4306.7587313565245</v>
      </c>
      <c r="V33" s="19">
        <f t="shared" si="15"/>
        <v>4417.7262398295406</v>
      </c>
      <c r="W33" s="19">
        <f t="shared" si="15"/>
        <v>4537.4322507395291</v>
      </c>
      <c r="X33" s="19">
        <f t="shared" ref="X33:AF33" si="16">X30*X32</f>
        <v>4666.5078747939579</v>
      </c>
      <c r="Y33" s="19">
        <f t="shared" si="16"/>
        <v>4805.6287887605513</v>
      </c>
      <c r="Z33" s="19">
        <f t="shared" si="16"/>
        <v>4955.518362857727</v>
      </c>
      <c r="AA33" s="19">
        <f t="shared" si="16"/>
        <v>5116.9510072176863</v>
      </c>
      <c r="AB33" s="19">
        <f t="shared" si="16"/>
        <v>5290.7557527603449</v>
      </c>
      <c r="AC33" s="19">
        <f t="shared" si="16"/>
        <v>5477.8200828900362</v>
      </c>
      <c r="AD33" s="19">
        <f t="shared" si="16"/>
        <v>5679.094033575836</v>
      </c>
      <c r="AE33" s="19">
        <f t="shared" si="16"/>
        <v>5895.5945806056161</v>
      </c>
      <c r="AF33" s="19">
        <f t="shared" si="16"/>
        <v>715.16910190139333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1811.0711822381429</v>
      </c>
      <c r="D35" s="19">
        <f t="shared" si="17"/>
        <v>5760.361028778334</v>
      </c>
      <c r="E35" s="19">
        <f t="shared" si="17"/>
        <v>9029.0576596255523</v>
      </c>
      <c r="F35" s="19">
        <f t="shared" si="17"/>
        <v>11683.363686791368</v>
      </c>
      <c r="G35" s="19">
        <f t="shared" si="17"/>
        <v>13775.5215589201</v>
      </c>
      <c r="H35" s="19">
        <f t="shared" si="17"/>
        <v>14720.256447658114</v>
      </c>
      <c r="I35" s="19">
        <f t="shared" si="17"/>
        <v>15084.144919345114</v>
      </c>
      <c r="J35" s="19">
        <f t="shared" si="17"/>
        <v>15412.876614167479</v>
      </c>
      <c r="K35" s="19">
        <f t="shared" si="17"/>
        <v>15688.93917185494</v>
      </c>
      <c r="L35" s="19">
        <f t="shared" si="17"/>
        <v>15922.067146234036</v>
      </c>
      <c r="M35" s="19">
        <f t="shared" si="17"/>
        <v>16094.171130734163</v>
      </c>
      <c r="N35" s="19">
        <f t="shared" si="17"/>
        <v>16214.367587643514</v>
      </c>
      <c r="O35" s="19">
        <f t="shared" si="17"/>
        <v>16263.90508740853</v>
      </c>
      <c r="P35" s="19">
        <f t="shared" si="17"/>
        <v>16251.191049387977</v>
      </c>
      <c r="Q35" s="19">
        <f t="shared" si="17"/>
        <v>16156.714676189395</v>
      </c>
      <c r="R35" s="19">
        <f t="shared" si="17"/>
        <v>12247.300574003166</v>
      </c>
      <c r="S35" s="19">
        <f t="shared" si="17"/>
        <v>7924.0913744830259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Y35" s="19">
        <f t="shared" si="18"/>
        <v>0</v>
      </c>
      <c r="Z35" s="19">
        <f t="shared" si="18"/>
        <v>0</v>
      </c>
      <c r="AA35" s="19">
        <f t="shared" si="18"/>
        <v>0</v>
      </c>
      <c r="AB35" s="19">
        <f t="shared" si="18"/>
        <v>0</v>
      </c>
      <c r="AC35" s="19">
        <f t="shared" si="18"/>
        <v>0</v>
      </c>
      <c r="AD35" s="19">
        <f t="shared" si="18"/>
        <v>0</v>
      </c>
      <c r="AE35" s="19">
        <f t="shared" si="18"/>
        <v>0</v>
      </c>
      <c r="AF35" s="19">
        <f t="shared" si="18"/>
        <v>0</v>
      </c>
    </row>
    <row r="36" spans="1:32">
      <c r="A36" s="21" t="s">
        <v>73</v>
      </c>
      <c r="B36" s="139">
        <f>IF(B33&lt;0,-B33,0)</f>
        <v>1811.0711822381429</v>
      </c>
      <c r="C36" s="139">
        <f t="shared" ref="C36:AF36" si="19">IF(C33&lt;0,-C33,0)</f>
        <v>3949.2898465401909</v>
      </c>
      <c r="D36" s="139">
        <f t="shared" si="19"/>
        <v>3268.6966308472174</v>
      </c>
      <c r="E36" s="139">
        <f t="shared" si="19"/>
        <v>2654.3060271658155</v>
      </c>
      <c r="F36" s="139">
        <f t="shared" si="19"/>
        <v>2092.1578721287315</v>
      </c>
      <c r="G36" s="139">
        <f t="shared" si="19"/>
        <v>944.73488873801341</v>
      </c>
      <c r="H36" s="139">
        <f t="shared" si="19"/>
        <v>363.88847168699908</v>
      </c>
      <c r="I36" s="139">
        <f t="shared" si="19"/>
        <v>328.73169482236489</v>
      </c>
      <c r="J36" s="139">
        <f t="shared" si="19"/>
        <v>276.06255768746075</v>
      </c>
      <c r="K36" s="139">
        <f t="shared" si="19"/>
        <v>233.12797437909691</v>
      </c>
      <c r="L36" s="139">
        <f t="shared" si="19"/>
        <v>172.10398450012661</v>
      </c>
      <c r="M36" s="139">
        <f t="shared" si="19"/>
        <v>120.19645690935111</v>
      </c>
      <c r="N36" s="139">
        <f t="shared" si="19"/>
        <v>49.537499765015582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0</v>
      </c>
      <c r="X36" s="139">
        <f t="shared" si="19"/>
        <v>0</v>
      </c>
      <c r="Y36" s="139">
        <f t="shared" si="19"/>
        <v>0</v>
      </c>
      <c r="Z36" s="139">
        <f t="shared" si="19"/>
        <v>0</v>
      </c>
      <c r="AA36" s="139">
        <f t="shared" si="19"/>
        <v>0</v>
      </c>
      <c r="AB36" s="139">
        <f t="shared" si="19"/>
        <v>0</v>
      </c>
      <c r="AC36" s="139">
        <f t="shared" si="19"/>
        <v>0</v>
      </c>
      <c r="AD36" s="139">
        <f t="shared" si="19"/>
        <v>0</v>
      </c>
      <c r="AE36" s="139">
        <f t="shared" si="19"/>
        <v>0</v>
      </c>
      <c r="AF36" s="139">
        <f t="shared" si="19"/>
        <v>0</v>
      </c>
    </row>
    <row r="37" spans="1:32">
      <c r="A37" s="13" t="s">
        <v>280</v>
      </c>
      <c r="B37" s="457">
        <v>0</v>
      </c>
      <c r="C37" s="458">
        <v>0</v>
      </c>
      <c r="D37" s="458">
        <v>0</v>
      </c>
      <c r="E37" s="458">
        <v>0</v>
      </c>
      <c r="F37" s="458">
        <v>0</v>
      </c>
      <c r="G37" s="458">
        <v>0</v>
      </c>
      <c r="H37" s="458">
        <v>0</v>
      </c>
      <c r="I37" s="458">
        <v>0</v>
      </c>
      <c r="J37" s="458">
        <v>0</v>
      </c>
      <c r="K37" s="458">
        <v>0</v>
      </c>
      <c r="L37" s="458">
        <v>0</v>
      </c>
      <c r="M37" s="458">
        <v>0</v>
      </c>
      <c r="N37" s="458">
        <v>0</v>
      </c>
      <c r="O37" s="458">
        <v>0</v>
      </c>
      <c r="P37" s="459">
        <v>0</v>
      </c>
      <c r="Q37" s="460">
        <f>IF(-SUM(B38:P38, B37:P37)&gt;B36,0,-B36-SUM(B38:P38,B37:P37))</f>
        <v>-1703.8807710190072</v>
      </c>
      <c r="R37" s="460">
        <f t="shared" ref="R37:AF37" si="20">IF(-SUM(C38:Q38, C37:Q37)&gt;C36,0,-C36-SUM(C38:Q38,C37:Q37))</f>
        <v>0</v>
      </c>
      <c r="S37" s="460">
        <f t="shared" si="20"/>
        <v>0</v>
      </c>
      <c r="T37" s="460">
        <f t="shared" si="20"/>
        <v>0</v>
      </c>
      <c r="U37" s="460">
        <f t="shared" si="20"/>
        <v>0</v>
      </c>
      <c r="V37" s="460">
        <f t="shared" si="20"/>
        <v>0</v>
      </c>
      <c r="W37" s="460">
        <f t="shared" si="20"/>
        <v>0</v>
      </c>
      <c r="X37" s="460">
        <f t="shared" si="20"/>
        <v>0</v>
      </c>
      <c r="Y37" s="460">
        <f t="shared" si="20"/>
        <v>0</v>
      </c>
      <c r="Z37" s="460">
        <f t="shared" si="20"/>
        <v>0</v>
      </c>
      <c r="AA37" s="460">
        <f t="shared" si="20"/>
        <v>0</v>
      </c>
      <c r="AB37" s="460">
        <f t="shared" si="20"/>
        <v>0</v>
      </c>
      <c r="AC37" s="460">
        <f t="shared" si="20"/>
        <v>0</v>
      </c>
      <c r="AD37" s="460">
        <f t="shared" si="20"/>
        <v>0</v>
      </c>
      <c r="AE37" s="460">
        <f t="shared" si="20"/>
        <v>0</v>
      </c>
      <c r="AF37" s="460">
        <f t="shared" si="20"/>
        <v>0</v>
      </c>
    </row>
    <row r="38" spans="1:32">
      <c r="A38" s="13" t="s">
        <v>281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-12.714038020552925</v>
      </c>
      <c r="P38" s="132">
        <f t="shared" si="21"/>
        <v>-94.476373198582849</v>
      </c>
      <c r="Q38" s="132">
        <f t="shared" si="21"/>
        <v>-2205.5333311672221</v>
      </c>
      <c r="R38" s="132">
        <f t="shared" si="21"/>
        <v>-4323.2091995201399</v>
      </c>
      <c r="S38" s="132">
        <f t="shared" si="21"/>
        <v>-4417.9787791602794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1811.0711822381429</v>
      </c>
      <c r="C39" s="132">
        <f t="shared" si="23"/>
        <v>5760.361028778334</v>
      </c>
      <c r="D39" s="132">
        <f t="shared" si="23"/>
        <v>9029.0576596255523</v>
      </c>
      <c r="E39" s="132">
        <f t="shared" si="23"/>
        <v>11683.363686791368</v>
      </c>
      <c r="F39" s="132">
        <f t="shared" si="23"/>
        <v>13775.5215589201</v>
      </c>
      <c r="G39" s="132">
        <f t="shared" si="23"/>
        <v>14720.256447658114</v>
      </c>
      <c r="H39" s="132">
        <f t="shared" si="23"/>
        <v>15084.144919345114</v>
      </c>
      <c r="I39" s="132">
        <f t="shared" si="23"/>
        <v>15412.876614167479</v>
      </c>
      <c r="J39" s="132">
        <f t="shared" si="23"/>
        <v>15688.93917185494</v>
      </c>
      <c r="K39" s="132">
        <f t="shared" si="23"/>
        <v>15922.067146234036</v>
      </c>
      <c r="L39" s="132">
        <f t="shared" si="23"/>
        <v>16094.171130734163</v>
      </c>
      <c r="M39" s="132">
        <f t="shared" si="23"/>
        <v>16214.367587643514</v>
      </c>
      <c r="N39" s="132">
        <f t="shared" si="23"/>
        <v>16263.90508740853</v>
      </c>
      <c r="O39" s="132">
        <f t="shared" si="23"/>
        <v>16251.191049387977</v>
      </c>
      <c r="P39" s="132">
        <f t="shared" si="23"/>
        <v>16156.714676189395</v>
      </c>
      <c r="Q39" s="132">
        <f t="shared" si="23"/>
        <v>12247.300574003166</v>
      </c>
      <c r="R39" s="132">
        <f t="shared" si="23"/>
        <v>7924.0913744830259</v>
      </c>
      <c r="S39" s="132">
        <f t="shared" si="23"/>
        <v>3506.1125953227465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0</v>
      </c>
      <c r="X39" s="132">
        <f t="shared" si="23"/>
        <v>0</v>
      </c>
      <c r="Y39" s="132">
        <f t="shared" si="23"/>
        <v>0</v>
      </c>
      <c r="Z39" s="132">
        <f t="shared" si="23"/>
        <v>0</v>
      </c>
      <c r="AA39" s="132">
        <f t="shared" si="23"/>
        <v>0</v>
      </c>
      <c r="AB39" s="132">
        <f t="shared" si="23"/>
        <v>0</v>
      </c>
      <c r="AC39" s="132">
        <f t="shared" si="23"/>
        <v>0</v>
      </c>
      <c r="AD39" s="132">
        <f t="shared" si="23"/>
        <v>0</v>
      </c>
      <c r="AE39" s="132">
        <f t="shared" si="23"/>
        <v>0</v>
      </c>
      <c r="AF39" s="132">
        <f t="shared" si="23"/>
        <v>0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204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0</v>
      </c>
      <c r="T41" s="136">
        <f t="shared" si="24"/>
        <v>4203.940258020798</v>
      </c>
      <c r="U41" s="136">
        <f t="shared" si="24"/>
        <v>4306.7587313565245</v>
      </c>
      <c r="V41" s="136">
        <f t="shared" si="24"/>
        <v>4417.7262398295406</v>
      </c>
      <c r="W41" s="136">
        <f t="shared" si="24"/>
        <v>4537.4322507395291</v>
      </c>
      <c r="X41" s="136">
        <f t="shared" si="24"/>
        <v>4666.5078747939579</v>
      </c>
      <c r="Y41" s="136">
        <f t="shared" si="24"/>
        <v>4805.6287887605513</v>
      </c>
      <c r="Z41" s="136">
        <f t="shared" si="24"/>
        <v>4955.518362857727</v>
      </c>
      <c r="AA41" s="136">
        <f t="shared" si="24"/>
        <v>5116.9510072176863</v>
      </c>
      <c r="AB41" s="136">
        <f t="shared" si="24"/>
        <v>5290.7557527603449</v>
      </c>
      <c r="AC41" s="136">
        <f t="shared" si="24"/>
        <v>5477.8200828900362</v>
      </c>
      <c r="AD41" s="136">
        <f t="shared" si="24"/>
        <v>5679.094033575836</v>
      </c>
      <c r="AE41" s="136">
        <f t="shared" si="24"/>
        <v>5895.5945806056161</v>
      </c>
      <c r="AF41" s="136">
        <f t="shared" si="24"/>
        <v>715.16910190139333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8" sqref="C8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Homestead, Florida</v>
      </c>
    </row>
    <row r="4" spans="1:25" ht="18.75">
      <c r="A4" s="61" t="s">
        <v>182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340</v>
      </c>
      <c r="B6" s="230"/>
      <c r="C6" s="435">
        <f>Assumptions!C26</f>
        <v>17905.425999999999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189</v>
      </c>
      <c r="B7" s="230"/>
      <c r="C7" s="444">
        <f>Assumptions!H16</f>
        <v>7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187</v>
      </c>
      <c r="B8" s="230"/>
      <c r="C8" s="516">
        <f>Assumptions!H39</f>
        <v>6.9999999999999993E-2</v>
      </c>
      <c r="D8" s="239">
        <f>C8/360</f>
        <v>1.9444444444444443E-4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188</v>
      </c>
      <c r="D9" s="238" t="s">
        <v>223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176</v>
      </c>
      <c r="E12" s="226" t="s">
        <v>183</v>
      </c>
      <c r="F12" s="227"/>
      <c r="G12" s="227"/>
      <c r="H12" s="227"/>
      <c r="I12" s="227"/>
      <c r="J12" s="222"/>
    </row>
    <row r="13" spans="1:25">
      <c r="A13" s="226" t="s">
        <v>173</v>
      </c>
      <c r="B13" s="5"/>
      <c r="C13" s="5"/>
      <c r="D13" s="228" t="s">
        <v>184</v>
      </c>
      <c r="E13" s="228" t="s">
        <v>177</v>
      </c>
      <c r="F13" s="228" t="s">
        <v>178</v>
      </c>
      <c r="G13" s="233" t="s">
        <v>179</v>
      </c>
      <c r="H13" s="228" t="s">
        <v>180</v>
      </c>
      <c r="I13" s="228" t="s">
        <v>181</v>
      </c>
      <c r="J13" s="66"/>
    </row>
    <row r="14" spans="1:25">
      <c r="A14" s="223" t="s">
        <v>174</v>
      </c>
      <c r="B14" s="223" t="s">
        <v>127</v>
      </c>
      <c r="C14" s="223" t="s">
        <v>175</v>
      </c>
      <c r="D14" s="223" t="s">
        <v>186</v>
      </c>
      <c r="E14" s="223" t="s">
        <v>186</v>
      </c>
      <c r="F14" s="223" t="s">
        <v>186</v>
      </c>
      <c r="G14" s="223" t="s">
        <v>186</v>
      </c>
      <c r="H14" s="223" t="s">
        <v>186</v>
      </c>
      <c r="I14" s="223" t="s">
        <v>186</v>
      </c>
      <c r="J14" s="66"/>
    </row>
    <row r="15" spans="1:25">
      <c r="A15" s="224">
        <v>1</v>
      </c>
      <c r="B15" s="225">
        <v>36617</v>
      </c>
      <c r="C15" s="262">
        <f>HLOOKUP(Assumptions!$H$12,IDC!$H$40:$L$56,2+F42)</f>
        <v>0.17</v>
      </c>
      <c r="D15" s="235">
        <f>D59*Assumptions!H12</f>
        <v>85562.69764399025</v>
      </c>
      <c r="E15" s="236">
        <f t="shared" ref="E15:E33" si="0">C15*$C$6</f>
        <v>3043.9224200000003</v>
      </c>
      <c r="F15" s="236">
        <f t="shared" ref="F15:F33" si="1">+E15+D15</f>
        <v>88606.620063990253</v>
      </c>
      <c r="G15" s="236">
        <f>F15+H15</f>
        <v>88606.620063990253</v>
      </c>
      <c r="H15" s="236">
        <v>0</v>
      </c>
      <c r="I15" s="236">
        <v>0</v>
      </c>
      <c r="K15" s="433"/>
    </row>
    <row r="16" spans="1:25">
      <c r="A16" s="224">
        <f t="shared" ref="A16:A33" si="2">A15+1</f>
        <v>2</v>
      </c>
      <c r="B16" s="225">
        <v>36647</v>
      </c>
      <c r="C16" s="262">
        <f>HLOOKUP(Assumptions!$H$12,IDC!$H$40:$L$56,2+F43)</f>
        <v>0.12</v>
      </c>
      <c r="D16" s="235">
        <v>0</v>
      </c>
      <c r="E16" s="236">
        <f t="shared" si="0"/>
        <v>2148.65112</v>
      </c>
      <c r="F16" s="236">
        <f t="shared" si="1"/>
        <v>2148.65112</v>
      </c>
      <c r="G16" s="236">
        <f t="shared" ref="G16:G33" si="3">F16+G15+H16</f>
        <v>91272.143134363519</v>
      </c>
      <c r="H16" s="236">
        <f>IF(A16&gt;$C$7+1,0,G15*(B16-B15)*$D$8)</f>
        <v>516.87195037327638</v>
      </c>
      <c r="I16" s="236">
        <f>IF(A16&lt;=$C$7+1,H16+I15,I15)</f>
        <v>516.87195037327638</v>
      </c>
      <c r="K16" s="433"/>
    </row>
    <row r="17" spans="1:11">
      <c r="A17" s="224">
        <f t="shared" si="2"/>
        <v>3</v>
      </c>
      <c r="B17" s="225">
        <v>36678</v>
      </c>
      <c r="C17" s="262">
        <f>HLOOKUP(Assumptions!$H$12,IDC!$H$40:$L$56,2+F44)</f>
        <v>0.12</v>
      </c>
      <c r="D17" s="235">
        <v>0</v>
      </c>
      <c r="E17" s="236">
        <f t="shared" si="0"/>
        <v>2148.65112</v>
      </c>
      <c r="F17" s="236">
        <f t="shared" si="1"/>
        <v>2148.65112</v>
      </c>
      <c r="G17" s="236">
        <f t="shared" si="3"/>
        <v>93970.962450478983</v>
      </c>
      <c r="H17" s="236">
        <f t="shared" ref="H17:H33" si="4">IF(A17&gt;$C$7+1,0,G16*(B17-B16)*$D$8)</f>
        <v>550.16819611546896</v>
      </c>
      <c r="I17" s="236">
        <f t="shared" ref="I17:I33" si="5">IF(A17&lt;=$C$7+1,H17+I16,I16)</f>
        <v>1067.0401464887454</v>
      </c>
      <c r="K17" s="433"/>
    </row>
    <row r="18" spans="1:11">
      <c r="A18" s="224">
        <f t="shared" si="2"/>
        <v>4</v>
      </c>
      <c r="B18" s="225">
        <v>36708</v>
      </c>
      <c r="C18" s="262">
        <f>HLOOKUP(Assumptions!$H$12,IDC!$H$40:$L$56,2+F45)</f>
        <v>0.14000000000000001</v>
      </c>
      <c r="D18" s="235">
        <v>0</v>
      </c>
      <c r="E18" s="236">
        <f t="shared" si="0"/>
        <v>2506.7596400000002</v>
      </c>
      <c r="F18" s="236">
        <f t="shared" si="1"/>
        <v>2506.7596400000002</v>
      </c>
      <c r="G18" s="236">
        <f t="shared" si="3"/>
        <v>97025.886038106779</v>
      </c>
      <c r="H18" s="236">
        <f t="shared" si="4"/>
        <v>548.16394762779407</v>
      </c>
      <c r="I18" s="236">
        <f t="shared" si="5"/>
        <v>1615.2040941165396</v>
      </c>
      <c r="K18" s="433"/>
    </row>
    <row r="19" spans="1:11">
      <c r="A19" s="224">
        <f t="shared" si="2"/>
        <v>5</v>
      </c>
      <c r="B19" s="225">
        <v>36739</v>
      </c>
      <c r="C19" s="262">
        <f>HLOOKUP(Assumptions!$H$12,IDC!$H$40:$L$56,2+F46)</f>
        <v>0.13</v>
      </c>
      <c r="D19" s="235">
        <v>0</v>
      </c>
      <c r="E19" s="236">
        <f t="shared" si="0"/>
        <v>2327.7053799999999</v>
      </c>
      <c r="F19" s="236">
        <f t="shared" si="1"/>
        <v>2327.7053799999999</v>
      </c>
      <c r="G19" s="236">
        <f t="shared" si="3"/>
        <v>99938.441897836485</v>
      </c>
      <c r="H19" s="236">
        <f t="shared" si="4"/>
        <v>584.85047972969915</v>
      </c>
      <c r="I19" s="236">
        <f t="shared" si="5"/>
        <v>2200.0545738462388</v>
      </c>
      <c r="K19" s="433"/>
    </row>
    <row r="20" spans="1:11">
      <c r="A20" s="224">
        <f t="shared" si="2"/>
        <v>6</v>
      </c>
      <c r="B20" s="225">
        <v>36770</v>
      </c>
      <c r="C20" s="262">
        <f>HLOOKUP(Assumptions!$H$12,IDC!$H$40:$L$56,2+F47)</f>
        <v>0.12</v>
      </c>
      <c r="D20" s="235">
        <v>0</v>
      </c>
      <c r="E20" s="236">
        <f t="shared" si="0"/>
        <v>2148.65112</v>
      </c>
      <c r="F20" s="236">
        <f t="shared" si="1"/>
        <v>2148.65112</v>
      </c>
      <c r="G20" s="236">
        <f t="shared" si="3"/>
        <v>102689.49973705399</v>
      </c>
      <c r="H20" s="236">
        <f t="shared" si="4"/>
        <v>602.40671921751436</v>
      </c>
      <c r="I20" s="236">
        <f t="shared" si="5"/>
        <v>2802.4612930637531</v>
      </c>
      <c r="K20" s="433"/>
    </row>
    <row r="21" spans="1:11">
      <c r="A21" s="224">
        <f t="shared" si="2"/>
        <v>7</v>
      </c>
      <c r="B21" s="225">
        <v>36800</v>
      </c>
      <c r="C21" s="262">
        <f>HLOOKUP(Assumptions!$H$12,IDC!$H$40:$L$56,2+F48)</f>
        <v>0.1</v>
      </c>
      <c r="D21" s="235">
        <v>0</v>
      </c>
      <c r="E21" s="236">
        <f t="shared" si="0"/>
        <v>1790.5426</v>
      </c>
      <c r="F21" s="236">
        <f t="shared" si="1"/>
        <v>1790.5426</v>
      </c>
      <c r="G21" s="236">
        <f t="shared" si="3"/>
        <v>105079.06441885348</v>
      </c>
      <c r="H21" s="236">
        <f t="shared" si="4"/>
        <v>599.0220817994815</v>
      </c>
      <c r="I21" s="236">
        <f t="shared" si="5"/>
        <v>3401.4833748632345</v>
      </c>
      <c r="K21" s="433"/>
    </row>
    <row r="22" spans="1:11">
      <c r="A22" s="224">
        <f t="shared" si="2"/>
        <v>8</v>
      </c>
      <c r="B22" s="225">
        <v>36831</v>
      </c>
      <c r="C22" s="262">
        <f>HLOOKUP(Assumptions!$H$12,IDC!$H$40:$L$56,2+F49)</f>
        <v>0.1</v>
      </c>
      <c r="D22" s="235">
        <v>0</v>
      </c>
      <c r="E22" s="236">
        <f t="shared" si="0"/>
        <v>1790.5426</v>
      </c>
      <c r="F22" s="236">
        <f t="shared" si="1"/>
        <v>1790.5426</v>
      </c>
      <c r="G22" s="236">
        <f t="shared" si="3"/>
        <v>107503.00026826712</v>
      </c>
      <c r="H22" s="236">
        <f t="shared" si="4"/>
        <v>633.39324941364464</v>
      </c>
      <c r="I22" s="236">
        <f t="shared" si="5"/>
        <v>4034.8766242768793</v>
      </c>
      <c r="K22" s="433"/>
    </row>
    <row r="23" spans="1:11">
      <c r="A23" s="224">
        <f t="shared" si="2"/>
        <v>9</v>
      </c>
      <c r="B23" s="225">
        <v>36861</v>
      </c>
      <c r="C23" s="262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107503.00026826712</v>
      </c>
      <c r="H23" s="236">
        <f t="shared" si="4"/>
        <v>0</v>
      </c>
      <c r="I23" s="236">
        <f t="shared" si="5"/>
        <v>4034.8766242768793</v>
      </c>
      <c r="K23" s="433"/>
    </row>
    <row r="24" spans="1:11">
      <c r="A24" s="224">
        <f t="shared" si="2"/>
        <v>10</v>
      </c>
      <c r="B24" s="225">
        <v>36892</v>
      </c>
      <c r="C24" s="262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107503.00026826712</v>
      </c>
      <c r="H24" s="236">
        <f t="shared" si="4"/>
        <v>0</v>
      </c>
      <c r="I24" s="236">
        <f t="shared" si="5"/>
        <v>4034.8766242768793</v>
      </c>
      <c r="K24" s="433"/>
    </row>
    <row r="25" spans="1:11">
      <c r="A25" s="224">
        <f t="shared" si="2"/>
        <v>11</v>
      </c>
      <c r="B25" s="225">
        <v>36923</v>
      </c>
      <c r="C25" s="262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107503.00026826712</v>
      </c>
      <c r="H25" s="236">
        <f t="shared" si="4"/>
        <v>0</v>
      </c>
      <c r="I25" s="236">
        <f t="shared" si="5"/>
        <v>4034.8766242768793</v>
      </c>
      <c r="K25" s="433"/>
    </row>
    <row r="26" spans="1:11">
      <c r="A26" s="224">
        <f t="shared" si="2"/>
        <v>12</v>
      </c>
      <c r="B26" s="225">
        <v>36951</v>
      </c>
      <c r="C26" s="262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107503.00026826712</v>
      </c>
      <c r="H26" s="236">
        <f t="shared" si="4"/>
        <v>0</v>
      </c>
      <c r="I26" s="236">
        <f t="shared" si="5"/>
        <v>4034.8766242768793</v>
      </c>
      <c r="K26" s="433"/>
    </row>
    <row r="27" spans="1:11">
      <c r="A27" s="224">
        <f t="shared" si="2"/>
        <v>13</v>
      </c>
      <c r="B27" s="225">
        <v>36982</v>
      </c>
      <c r="C27" s="262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107503.00026826712</v>
      </c>
      <c r="H27" s="236">
        <f t="shared" si="4"/>
        <v>0</v>
      </c>
      <c r="I27" s="236">
        <f t="shared" si="5"/>
        <v>4034.8766242768793</v>
      </c>
      <c r="K27" s="433"/>
    </row>
    <row r="28" spans="1:11">
      <c r="A28" s="224">
        <f t="shared" si="2"/>
        <v>14</v>
      </c>
      <c r="B28" s="225">
        <v>37012</v>
      </c>
      <c r="C28" s="262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107503.00026826712</v>
      </c>
      <c r="H28" s="236">
        <f t="shared" si="4"/>
        <v>0</v>
      </c>
      <c r="I28" s="236">
        <f t="shared" si="5"/>
        <v>4034.8766242768793</v>
      </c>
      <c r="K28" s="433"/>
    </row>
    <row r="29" spans="1:11">
      <c r="A29" s="224">
        <f t="shared" si="2"/>
        <v>15</v>
      </c>
      <c r="B29" s="225">
        <v>37043</v>
      </c>
      <c r="C29" s="262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107503.00026826712</v>
      </c>
      <c r="H29" s="236">
        <f t="shared" si="4"/>
        <v>0</v>
      </c>
      <c r="I29" s="236">
        <f t="shared" si="5"/>
        <v>4034.8766242768793</v>
      </c>
      <c r="K29" s="433"/>
    </row>
    <row r="30" spans="1:11">
      <c r="A30" s="224">
        <f t="shared" si="2"/>
        <v>16</v>
      </c>
      <c r="B30" s="225">
        <v>37073</v>
      </c>
      <c r="C30" s="262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107503.00026826712</v>
      </c>
      <c r="H30" s="236">
        <f t="shared" si="4"/>
        <v>0</v>
      </c>
      <c r="I30" s="236">
        <f t="shared" si="5"/>
        <v>4034.8766242768793</v>
      </c>
      <c r="K30" s="433"/>
    </row>
    <row r="31" spans="1:11">
      <c r="A31" s="224">
        <f t="shared" si="2"/>
        <v>17</v>
      </c>
      <c r="B31" s="225">
        <v>37104</v>
      </c>
      <c r="C31" s="262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107503.00026826712</v>
      </c>
      <c r="H31" s="236">
        <f t="shared" si="4"/>
        <v>0</v>
      </c>
      <c r="I31" s="236">
        <f t="shared" si="5"/>
        <v>4034.8766242768793</v>
      </c>
      <c r="K31" s="433"/>
    </row>
    <row r="32" spans="1:11">
      <c r="A32" s="224">
        <f t="shared" si="2"/>
        <v>18</v>
      </c>
      <c r="B32" s="225">
        <v>37135</v>
      </c>
      <c r="C32" s="262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107503.00026826712</v>
      </c>
      <c r="H32" s="236">
        <f t="shared" si="4"/>
        <v>0</v>
      </c>
      <c r="I32" s="236">
        <f t="shared" si="5"/>
        <v>4034.8766242768793</v>
      </c>
      <c r="K32" s="433"/>
    </row>
    <row r="33" spans="1:12">
      <c r="A33" s="224">
        <f t="shared" si="2"/>
        <v>19</v>
      </c>
      <c r="B33" s="225">
        <v>37165</v>
      </c>
      <c r="C33" s="432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107503.00026826712</v>
      </c>
      <c r="H33" s="241">
        <f t="shared" si="4"/>
        <v>0</v>
      </c>
      <c r="I33" s="241">
        <f t="shared" si="5"/>
        <v>4034.8766242768793</v>
      </c>
      <c r="K33" s="433"/>
    </row>
    <row r="34" spans="1:12">
      <c r="C34" s="229">
        <f>SUM(C15:C33)</f>
        <v>1</v>
      </c>
      <c r="D34" s="237">
        <f>SUM(D15:D33)</f>
        <v>85562.69764399025</v>
      </c>
      <c r="E34" s="237">
        <f>SUM(E15:E33)</f>
        <v>17905.425999999999</v>
      </c>
      <c r="F34" s="237">
        <f>SUM(F15:F33)</f>
        <v>103468.12364399024</v>
      </c>
      <c r="G34" s="18"/>
      <c r="H34" s="237">
        <f>SUM(H15:H33)</f>
        <v>4034.8766242768793</v>
      </c>
      <c r="I34" s="237"/>
    </row>
    <row r="38" spans="1:12" ht="18.75">
      <c r="A38" s="61" t="s">
        <v>219</v>
      </c>
      <c r="B38" s="278"/>
      <c r="F38"/>
      <c r="G38"/>
      <c r="H38"/>
      <c r="I38"/>
      <c r="J38"/>
      <c r="K38"/>
      <c r="L38"/>
    </row>
    <row r="39" spans="1:12" ht="13.5" thickBot="1">
      <c r="F39" s="398" t="s">
        <v>416</v>
      </c>
    </row>
    <row r="40" spans="1:12">
      <c r="F40" s="415"/>
      <c r="G40" s="412" t="s">
        <v>326</v>
      </c>
      <c r="H40" s="412">
        <v>2</v>
      </c>
      <c r="I40" s="412">
        <v>3</v>
      </c>
      <c r="J40" s="412">
        <v>4</v>
      </c>
      <c r="K40" s="526">
        <v>5</v>
      </c>
      <c r="L40" s="413">
        <v>6</v>
      </c>
    </row>
    <row r="41" spans="1:12" ht="13.5" thickBot="1">
      <c r="A41" s="226" t="s">
        <v>327</v>
      </c>
      <c r="B41" s="226" t="s">
        <v>329</v>
      </c>
      <c r="C41" s="226" t="s">
        <v>331</v>
      </c>
      <c r="D41" s="226" t="s">
        <v>218</v>
      </c>
      <c r="F41" s="416" t="s">
        <v>174</v>
      </c>
      <c r="G41" s="414" t="s">
        <v>336</v>
      </c>
      <c r="H41" s="528">
        <v>6</v>
      </c>
      <c r="I41" s="528">
        <v>6.5</v>
      </c>
      <c r="J41" s="528">
        <v>7</v>
      </c>
      <c r="K41" s="529">
        <v>7.5</v>
      </c>
      <c r="L41" s="530">
        <v>8</v>
      </c>
    </row>
    <row r="42" spans="1:12" ht="13.5" thickBot="1">
      <c r="A42" s="226" t="s">
        <v>328</v>
      </c>
      <c r="B42" s="226" t="s">
        <v>330</v>
      </c>
      <c r="C42" s="226" t="s">
        <v>332</v>
      </c>
      <c r="D42" s="226" t="s">
        <v>333</v>
      </c>
      <c r="F42" s="417">
        <v>1</v>
      </c>
      <c r="G42" s="404"/>
      <c r="H42" s="513">
        <v>0.17</v>
      </c>
      <c r="I42" s="513">
        <v>0.17</v>
      </c>
      <c r="J42" s="405">
        <v>0.17</v>
      </c>
      <c r="K42" s="405">
        <v>0.17</v>
      </c>
      <c r="L42" s="406">
        <v>0.17</v>
      </c>
    </row>
    <row r="43" spans="1:12">
      <c r="A43" s="421" t="s">
        <v>217</v>
      </c>
      <c r="B43" s="422">
        <v>3</v>
      </c>
      <c r="C43" s="423">
        <v>36737</v>
      </c>
      <c r="D43" s="424">
        <v>36829</v>
      </c>
      <c r="F43" s="418">
        <v>2</v>
      </c>
      <c r="G43" s="178"/>
      <c r="H43" s="514">
        <v>0.16</v>
      </c>
      <c r="I43" s="514">
        <v>0.16</v>
      </c>
      <c r="J43" s="407">
        <v>0.12</v>
      </c>
      <c r="K43" s="407">
        <v>0.12</v>
      </c>
      <c r="L43" s="408">
        <v>0.12</v>
      </c>
    </row>
    <row r="44" spans="1:12">
      <c r="A44" s="425" t="s">
        <v>216</v>
      </c>
      <c r="B44" s="419">
        <v>3</v>
      </c>
      <c r="C44" s="420">
        <v>36768</v>
      </c>
      <c r="D44" s="426">
        <v>36829</v>
      </c>
      <c r="F44" s="418">
        <v>3</v>
      </c>
      <c r="G44" s="178"/>
      <c r="H44" s="514">
        <v>0.16</v>
      </c>
      <c r="I44" s="514">
        <v>0.13</v>
      </c>
      <c r="J44" s="407">
        <v>0.12</v>
      </c>
      <c r="K44" s="407">
        <v>0.12</v>
      </c>
      <c r="L44" s="408">
        <v>0.12</v>
      </c>
    </row>
    <row r="45" spans="1:12">
      <c r="A45" s="425" t="s">
        <v>215</v>
      </c>
      <c r="B45" s="419">
        <v>2</v>
      </c>
      <c r="C45" s="420">
        <v>36799</v>
      </c>
      <c r="D45" s="426">
        <v>36829</v>
      </c>
      <c r="F45" s="418">
        <v>4</v>
      </c>
      <c r="G45" s="178"/>
      <c r="H45" s="514">
        <v>0.16</v>
      </c>
      <c r="I45" s="514">
        <v>0.16</v>
      </c>
      <c r="J45" s="407">
        <v>0.14000000000000001</v>
      </c>
      <c r="K45" s="407">
        <v>0.14000000000000001</v>
      </c>
      <c r="L45" s="408">
        <v>0.14000000000000001</v>
      </c>
    </row>
    <row r="46" spans="1:12">
      <c r="A46" s="425" t="s">
        <v>214</v>
      </c>
      <c r="B46" s="419">
        <v>3</v>
      </c>
      <c r="C46" s="420">
        <v>36829</v>
      </c>
      <c r="D46" s="426">
        <v>36829</v>
      </c>
      <c r="F46" s="418">
        <v>5</v>
      </c>
      <c r="G46" s="178"/>
      <c r="H46" s="514">
        <v>0.17</v>
      </c>
      <c r="I46" s="514">
        <v>0.16</v>
      </c>
      <c r="J46" s="407">
        <v>0.18</v>
      </c>
      <c r="K46" s="407">
        <v>0.13</v>
      </c>
      <c r="L46" s="408">
        <v>0.13</v>
      </c>
    </row>
    <row r="47" spans="1:12">
      <c r="A47" s="425" t="s">
        <v>213</v>
      </c>
      <c r="B47" s="419">
        <v>2</v>
      </c>
      <c r="C47" s="420">
        <v>36860</v>
      </c>
      <c r="D47" s="426">
        <v>36860</v>
      </c>
      <c r="F47" s="418">
        <v>6</v>
      </c>
      <c r="G47" s="178"/>
      <c r="H47" s="514">
        <v>0.18</v>
      </c>
      <c r="I47" s="514">
        <v>0.12</v>
      </c>
      <c r="J47" s="407">
        <v>0.12</v>
      </c>
      <c r="K47" s="407">
        <v>0.12</v>
      </c>
      <c r="L47" s="408">
        <v>0.12</v>
      </c>
    </row>
    <row r="48" spans="1:12">
      <c r="A48" s="427" t="s">
        <v>212</v>
      </c>
      <c r="B48" s="419">
        <v>2</v>
      </c>
      <c r="C48" s="420">
        <v>36890</v>
      </c>
      <c r="D48" s="426">
        <v>36890</v>
      </c>
      <c r="F48" s="418">
        <v>7</v>
      </c>
      <c r="G48" s="178"/>
      <c r="H48" s="514">
        <v>0</v>
      </c>
      <c r="I48" s="514">
        <v>0.1</v>
      </c>
      <c r="J48" s="407">
        <v>0.15</v>
      </c>
      <c r="K48" s="407">
        <v>0.1</v>
      </c>
      <c r="L48" s="408">
        <v>0.1</v>
      </c>
    </row>
    <row r="49" spans="1:12">
      <c r="A49" s="427" t="s">
        <v>211</v>
      </c>
      <c r="B49" s="419">
        <v>3</v>
      </c>
      <c r="C49" s="420">
        <v>36555</v>
      </c>
      <c r="D49" s="426">
        <v>36555</v>
      </c>
      <c r="F49" s="418">
        <v>8</v>
      </c>
      <c r="G49" s="178"/>
      <c r="H49" s="514">
        <v>0</v>
      </c>
      <c r="I49" s="514">
        <v>0</v>
      </c>
      <c r="J49" s="407">
        <v>0</v>
      </c>
      <c r="K49" s="407">
        <v>0.1</v>
      </c>
      <c r="L49" s="408">
        <v>0.1</v>
      </c>
    </row>
    <row r="50" spans="1:12">
      <c r="A50" s="427" t="s">
        <v>210</v>
      </c>
      <c r="B50" s="419">
        <v>2</v>
      </c>
      <c r="C50" s="420">
        <v>36950</v>
      </c>
      <c r="D50" s="426">
        <v>36950</v>
      </c>
      <c r="F50" s="418">
        <v>9</v>
      </c>
      <c r="G50" s="178"/>
      <c r="H50" s="514">
        <v>0</v>
      </c>
      <c r="I50" s="514">
        <v>0</v>
      </c>
      <c r="J50" s="407">
        <v>0</v>
      </c>
      <c r="K50" s="407">
        <v>0</v>
      </c>
      <c r="L50" s="408">
        <v>0</v>
      </c>
    </row>
    <row r="51" spans="1:12">
      <c r="A51" s="427" t="s">
        <v>209</v>
      </c>
      <c r="B51" s="419">
        <v>2</v>
      </c>
      <c r="C51" s="420">
        <v>36980</v>
      </c>
      <c r="D51" s="426">
        <v>36980</v>
      </c>
      <c r="F51" s="418">
        <v>10</v>
      </c>
      <c r="G51" s="178"/>
      <c r="H51" s="514">
        <v>0</v>
      </c>
      <c r="I51" s="514">
        <v>0</v>
      </c>
      <c r="J51" s="407">
        <v>0</v>
      </c>
      <c r="K51" s="407">
        <v>0</v>
      </c>
      <c r="L51" s="408">
        <v>0</v>
      </c>
    </row>
    <row r="52" spans="1:12" ht="13.5" thickBot="1">
      <c r="A52" s="428" t="s">
        <v>208</v>
      </c>
      <c r="B52" s="429">
        <v>2</v>
      </c>
      <c r="C52" s="430">
        <v>37011</v>
      </c>
      <c r="D52" s="431">
        <v>37011</v>
      </c>
      <c r="F52" s="418">
        <v>11</v>
      </c>
      <c r="G52" s="178"/>
      <c r="H52" s="514">
        <v>0</v>
      </c>
      <c r="I52" s="514">
        <v>0</v>
      </c>
      <c r="J52" s="407">
        <v>0</v>
      </c>
      <c r="K52" s="407">
        <v>0</v>
      </c>
      <c r="L52" s="408">
        <v>0</v>
      </c>
    </row>
    <row r="53" spans="1:12">
      <c r="F53" s="418">
        <v>12</v>
      </c>
      <c r="G53" s="178"/>
      <c r="H53" s="514">
        <v>0</v>
      </c>
      <c r="I53" s="514">
        <v>0</v>
      </c>
      <c r="J53" s="407">
        <v>0</v>
      </c>
      <c r="K53" s="407">
        <v>0</v>
      </c>
      <c r="L53" s="408">
        <v>0</v>
      </c>
    </row>
    <row r="54" spans="1:12" ht="13.5" thickBot="1">
      <c r="F54" s="418">
        <v>13</v>
      </c>
      <c r="G54" s="178"/>
      <c r="H54" s="514">
        <v>0</v>
      </c>
      <c r="I54" s="514">
        <v>0</v>
      </c>
      <c r="J54" s="407">
        <v>0</v>
      </c>
      <c r="K54" s="407">
        <v>0</v>
      </c>
      <c r="L54" s="408">
        <v>0</v>
      </c>
    </row>
    <row r="55" spans="1:12">
      <c r="A55" s="282" t="s">
        <v>334</v>
      </c>
      <c r="B55" s="38"/>
      <c r="C55" s="38"/>
      <c r="D55" s="279"/>
      <c r="F55" s="418">
        <v>14</v>
      </c>
      <c r="G55" s="178"/>
      <c r="H55" s="407">
        <v>0</v>
      </c>
      <c r="I55" s="407">
        <v>0</v>
      </c>
      <c r="J55" s="407">
        <v>0</v>
      </c>
      <c r="K55" s="407">
        <v>0</v>
      </c>
      <c r="L55" s="408">
        <v>0</v>
      </c>
    </row>
    <row r="56" spans="1:12" ht="13.5" thickBot="1">
      <c r="A56" s="41" t="s">
        <v>221</v>
      </c>
      <c r="B56" s="13"/>
      <c r="C56" s="13"/>
      <c r="D56" s="280">
        <v>13950</v>
      </c>
      <c r="F56" s="461">
        <v>15</v>
      </c>
      <c r="G56" s="409"/>
      <c r="H56" s="410">
        <v>0</v>
      </c>
      <c r="I56" s="410">
        <v>0</v>
      </c>
      <c r="J56" s="410">
        <v>0</v>
      </c>
      <c r="K56" s="410">
        <v>0</v>
      </c>
      <c r="L56" s="411">
        <v>0</v>
      </c>
    </row>
    <row r="57" spans="1:12" ht="13.5" thickBot="1">
      <c r="A57" s="41" t="s">
        <v>222</v>
      </c>
      <c r="B57" s="13"/>
      <c r="C57" s="13"/>
      <c r="D57" s="280">
        <v>289.6162739983738</v>
      </c>
      <c r="F57" s="434" t="s">
        <v>337</v>
      </c>
      <c r="G57" s="409"/>
      <c r="H57" s="410">
        <f>SUM(H42:H56)</f>
        <v>1</v>
      </c>
      <c r="I57" s="410">
        <f>SUM(I42:I56)</f>
        <v>1</v>
      </c>
      <c r="J57" s="410">
        <f>SUM(J42:J56)</f>
        <v>1</v>
      </c>
      <c r="K57" s="527">
        <f>SUM(K42:K56)</f>
        <v>1</v>
      </c>
      <c r="L57" s="411">
        <f>SUM(L42:L56)</f>
        <v>1</v>
      </c>
    </row>
    <row r="58" spans="1:12" ht="13.5" thickBot="1">
      <c r="A58" s="171" t="s">
        <v>220</v>
      </c>
      <c r="B58" s="42"/>
      <c r="C58" s="42"/>
      <c r="D58" s="281">
        <v>20.833333333333314</v>
      </c>
      <c r="E58" s="66"/>
    </row>
    <row r="59" spans="1:12" ht="13.5" thickBot="1">
      <c r="A59" s="283" t="s">
        <v>335</v>
      </c>
      <c r="B59" s="284"/>
      <c r="C59" s="284"/>
      <c r="D59" s="285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Homestead, Florida</v>
      </c>
    </row>
    <row r="4" spans="1:4" ht="18.75">
      <c r="A4" s="169" t="s">
        <v>118</v>
      </c>
    </row>
    <row r="6" spans="1:4" ht="13.5" thickBot="1"/>
    <row r="7" spans="1:4" ht="13.5" thickBot="1">
      <c r="A7" s="511"/>
      <c r="B7" s="467" t="s">
        <v>399</v>
      </c>
      <c r="C7" s="468" t="s">
        <v>0</v>
      </c>
      <c r="D7" s="469"/>
    </row>
    <row r="8" spans="1:4">
      <c r="A8" s="470"/>
      <c r="B8" s="288" t="s">
        <v>120</v>
      </c>
      <c r="C8" s="288" t="s">
        <v>2</v>
      </c>
      <c r="D8" s="471" t="s">
        <v>406</v>
      </c>
    </row>
    <row r="9" spans="1:4" ht="13.5" thickBot="1">
      <c r="A9" s="472" t="s">
        <v>117</v>
      </c>
      <c r="B9" s="473">
        <f>'Returns Analysis'!C39</f>
        <v>9.2022821307182298E-2</v>
      </c>
      <c r="C9" s="474">
        <f>Debt!E69</f>
        <v>1.2999999999999989</v>
      </c>
      <c r="D9" s="475">
        <f>Debt!E68</f>
        <v>1.3000000000000003</v>
      </c>
    </row>
    <row r="10" spans="1:4">
      <c r="A10" s="63"/>
      <c r="C10" s="476"/>
      <c r="D10" s="476"/>
    </row>
    <row r="11" spans="1:4" ht="13.5" thickBot="1"/>
    <row r="12" spans="1:4">
      <c r="A12" s="477" t="s">
        <v>365</v>
      </c>
      <c r="B12" s="478">
        <f>B9</f>
        <v>9.2022821307182298E-2</v>
      </c>
      <c r="C12" s="479">
        <f>C9</f>
        <v>1.2999999999999989</v>
      </c>
      <c r="D12" s="480">
        <f>D9</f>
        <v>1.3000000000000003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47" zoomScale="75" zoomScaleNormal="75" workbookViewId="0">
      <selection activeCell="H54" sqref="H54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9.42578125" style="12" customWidth="1"/>
    <col min="6" max="6" width="35" style="12" customWidth="1"/>
    <col min="7" max="7" width="18" style="12" customWidth="1"/>
    <col min="8" max="8" width="18.28515625" style="12" customWidth="1"/>
    <col min="9" max="9" width="17.85546875" style="12" customWidth="1"/>
    <col min="10" max="10" width="22.2851562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2" t="s">
        <v>82</v>
      </c>
      <c r="I1" s="80"/>
      <c r="AL1" s="80"/>
    </row>
    <row r="2" spans="1:38" ht="13.5" customHeight="1" thickBot="1">
      <c r="A2" s="242"/>
      <c r="I2" s="80"/>
      <c r="AL2" s="80"/>
    </row>
    <row r="3" spans="1:38" ht="19.5" customHeight="1">
      <c r="A3" s="601" t="s">
        <v>426</v>
      </c>
      <c r="I3" s="80"/>
      <c r="AL3" s="80"/>
    </row>
    <row r="4" spans="1:38" s="5" customFormat="1" ht="19.5" customHeight="1" thickBot="1">
      <c r="A4" s="602" t="s">
        <v>576</v>
      </c>
      <c r="I4" s="176"/>
      <c r="AL4" s="176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3"/>
      <c r="E8" s="13"/>
      <c r="F8" s="93" t="s">
        <v>90</v>
      </c>
      <c r="G8" s="113"/>
      <c r="H8" s="114"/>
      <c r="I8" s="198"/>
      <c r="J8" s="39"/>
      <c r="L8" s="94" t="s">
        <v>194</v>
      </c>
      <c r="M8" s="119"/>
      <c r="N8" s="38"/>
      <c r="O8" s="38"/>
      <c r="P8" s="39"/>
      <c r="U8" s="330" t="s">
        <v>227</v>
      </c>
      <c r="V8" s="331" t="s">
        <v>232</v>
      </c>
      <c r="W8" s="331" t="s">
        <v>236</v>
      </c>
      <c r="X8" s="331" t="s">
        <v>119</v>
      </c>
      <c r="Y8" s="331" t="s">
        <v>251</v>
      </c>
      <c r="Z8" s="331" t="s">
        <v>252</v>
      </c>
      <c r="AA8" s="331" t="s">
        <v>253</v>
      </c>
      <c r="AB8" s="353" t="s">
        <v>311</v>
      </c>
    </row>
    <row r="9" spans="1:38" ht="15.75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299</v>
      </c>
      <c r="M9" s="13"/>
      <c r="N9" s="13"/>
      <c r="O9" s="13"/>
      <c r="P9" s="40"/>
      <c r="U9" s="320" t="s">
        <v>231</v>
      </c>
      <c r="V9" s="321" t="s">
        <v>233</v>
      </c>
      <c r="W9" s="321" t="s">
        <v>305</v>
      </c>
      <c r="X9" s="321" t="s">
        <v>247</v>
      </c>
      <c r="Y9" s="321" t="s">
        <v>256</v>
      </c>
      <c r="Z9" s="321" t="s">
        <v>254</v>
      </c>
      <c r="AA9" s="321" t="s">
        <v>254</v>
      </c>
      <c r="AB9" s="354" t="s">
        <v>314</v>
      </c>
    </row>
    <row r="10" spans="1:38" ht="15.75">
      <c r="A10" s="95" t="s">
        <v>6</v>
      </c>
      <c r="B10" s="96" t="s">
        <v>7</v>
      </c>
      <c r="C10" s="193" t="s">
        <v>8</v>
      </c>
      <c r="D10" s="339" t="s">
        <v>190</v>
      </c>
      <c r="E10" s="13"/>
      <c r="F10" s="116" t="s">
        <v>103</v>
      </c>
      <c r="G10" s="13"/>
      <c r="H10" s="277" t="s">
        <v>112</v>
      </c>
      <c r="I10" s="531" t="s">
        <v>432</v>
      </c>
      <c r="J10" s="554" t="s">
        <v>536</v>
      </c>
      <c r="L10" s="41"/>
      <c r="M10" s="13"/>
      <c r="N10" s="13"/>
      <c r="O10" s="13"/>
      <c r="P10" s="40"/>
      <c r="U10" s="286" t="s">
        <v>228</v>
      </c>
      <c r="V10" s="203" t="s">
        <v>234</v>
      </c>
      <c r="W10" s="203" t="s">
        <v>306</v>
      </c>
      <c r="X10" s="203" t="s">
        <v>246</v>
      </c>
      <c r="Y10" s="203" t="s">
        <v>320</v>
      </c>
      <c r="Z10" s="203" t="s">
        <v>255</v>
      </c>
      <c r="AA10" s="203" t="s">
        <v>255</v>
      </c>
      <c r="AB10" s="355" t="s">
        <v>312</v>
      </c>
    </row>
    <row r="11" spans="1:38" ht="15.75">
      <c r="A11" s="98" t="s">
        <v>9</v>
      </c>
      <c r="B11" s="263">
        <f>C11/$C$14</f>
        <v>0.3</v>
      </c>
      <c r="C11" s="548">
        <f>C60-C12</f>
        <v>64055.301965480146</v>
      </c>
      <c r="D11" s="340">
        <f>C11/$H$68</f>
        <v>184.06695967091997</v>
      </c>
      <c r="E11" s="13"/>
      <c r="F11" s="116" t="s">
        <v>206</v>
      </c>
      <c r="G11" s="13"/>
      <c r="H11" s="277">
        <v>14260.449607331708</v>
      </c>
      <c r="I11" s="535">
        <f>16800+8000</f>
        <v>24800</v>
      </c>
      <c r="J11" s="40"/>
      <c r="L11" s="118" t="s">
        <v>125</v>
      </c>
      <c r="M11" s="13"/>
      <c r="N11" s="255">
        <v>0.02</v>
      </c>
      <c r="O11" s="218"/>
      <c r="P11" s="40"/>
      <c r="U11" s="286" t="s">
        <v>37</v>
      </c>
      <c r="V11" s="203" t="s">
        <v>231</v>
      </c>
      <c r="W11" s="203"/>
      <c r="X11" s="203" t="s">
        <v>307</v>
      </c>
      <c r="Y11" s="203"/>
      <c r="Z11" s="203"/>
      <c r="AA11" s="203"/>
      <c r="AB11" s="355" t="s">
        <v>313</v>
      </c>
    </row>
    <row r="12" spans="1:38" ht="15.75">
      <c r="A12" s="98" t="s">
        <v>85</v>
      </c>
      <c r="B12" s="577">
        <v>0.7</v>
      </c>
      <c r="C12" s="548">
        <f>B12*C60</f>
        <v>149462.37125278701</v>
      </c>
      <c r="D12" s="340">
        <f>C12/$H$68</f>
        <v>429.48957256547993</v>
      </c>
      <c r="E12" s="13"/>
      <c r="F12" s="116" t="s">
        <v>11</v>
      </c>
      <c r="G12" s="175"/>
      <c r="H12" s="245">
        <v>6</v>
      </c>
      <c r="I12" s="245">
        <v>1</v>
      </c>
      <c r="J12" s="555"/>
      <c r="L12" s="101"/>
      <c r="M12" s="13"/>
      <c r="N12" s="13"/>
      <c r="O12" s="218"/>
      <c r="P12" s="40"/>
      <c r="U12" s="332"/>
      <c r="V12" s="203" t="s">
        <v>37</v>
      </c>
      <c r="W12" s="13"/>
      <c r="X12" s="203" t="s">
        <v>250</v>
      </c>
      <c r="Y12" s="13"/>
      <c r="Z12" s="13"/>
      <c r="AA12" s="13"/>
      <c r="AB12" s="326"/>
    </row>
    <row r="13" spans="1:38" ht="15.75">
      <c r="A13" s="99"/>
      <c r="B13" s="243"/>
      <c r="C13" s="194"/>
      <c r="D13" s="340"/>
      <c r="E13" s="13"/>
      <c r="F13" s="116" t="s">
        <v>259</v>
      </c>
      <c r="G13" s="175"/>
      <c r="H13" s="246">
        <v>45.5</v>
      </c>
      <c r="I13" s="246">
        <v>75</v>
      </c>
      <c r="J13" s="555"/>
      <c r="L13" s="118" t="s">
        <v>87</v>
      </c>
      <c r="M13" s="13"/>
      <c r="N13" s="97"/>
      <c r="O13" s="218"/>
      <c r="P13" s="40"/>
      <c r="U13" s="320">
        <v>1</v>
      </c>
      <c r="V13" s="321">
        <v>1</v>
      </c>
      <c r="W13" s="321">
        <v>1</v>
      </c>
      <c r="X13" s="321">
        <v>1</v>
      </c>
      <c r="Y13" s="321">
        <v>2</v>
      </c>
      <c r="Z13" s="321">
        <v>1</v>
      </c>
      <c r="AA13" s="321">
        <f>IF(C30&gt;0,1,2)</f>
        <v>1</v>
      </c>
      <c r="AB13" s="354">
        <v>1</v>
      </c>
    </row>
    <row r="14" spans="1:38" ht="15.75">
      <c r="A14" s="100" t="s">
        <v>10</v>
      </c>
      <c r="B14" s="148">
        <f>C14/$C$14</f>
        <v>1</v>
      </c>
      <c r="C14" s="195">
        <f>SUM(C11:C12)</f>
        <v>213517.67321826715</v>
      </c>
      <c r="D14" s="443">
        <f>C14/$H$68</f>
        <v>613.5565322363999</v>
      </c>
      <c r="E14" s="13"/>
      <c r="F14" s="116" t="s">
        <v>367</v>
      </c>
      <c r="G14" s="175"/>
      <c r="H14" s="245">
        <v>10500</v>
      </c>
      <c r="I14" s="245">
        <v>7500</v>
      </c>
      <c r="J14" s="555">
        <v>8275</v>
      </c>
      <c r="L14" s="41"/>
      <c r="M14" s="13"/>
      <c r="N14" s="266" t="s">
        <v>192</v>
      </c>
      <c r="O14" s="202" t="s">
        <v>169</v>
      </c>
      <c r="P14" s="199" t="s">
        <v>414</v>
      </c>
      <c r="U14" s="287" t="str">
        <f>CHOOSE(U13,U9,U10,U11)</f>
        <v>Index</v>
      </c>
      <c r="V14" s="288" t="str">
        <f>CHOOSE(V13,V9,V10,V11,V12)</f>
        <v>Base</v>
      </c>
      <c r="W14" s="288" t="str">
        <f>CHOOSE(W13,W9,W10,W11,W12)</f>
        <v>Pass-through</v>
      </c>
      <c r="X14" s="288" t="str">
        <f>CHOOSE(X13,X9,X10,X11,X12)</f>
        <v>EBITDA Exit Multiple</v>
      </c>
      <c r="Y14" s="288">
        <f>IF(Y13=1,1,2)</f>
        <v>2</v>
      </c>
      <c r="Z14" s="288">
        <f>IF(C33&gt;0,10,20)</f>
        <v>10</v>
      </c>
      <c r="AA14" s="288" t="str">
        <f>CHOOSE(AA13,AA9,AA10,AA11,AA12)</f>
        <v>Yes</v>
      </c>
      <c r="AB14" s="322" t="str">
        <f>CHOOSE(AB13,AB9,AB10,AB11,AB12)</f>
        <v>Bank LT Debt</v>
      </c>
    </row>
    <row r="15" spans="1:38" ht="15.75">
      <c r="A15" s="41"/>
      <c r="B15" s="13"/>
      <c r="C15" s="13"/>
      <c r="D15" s="342"/>
      <c r="E15" s="13"/>
      <c r="F15" s="116" t="s">
        <v>368</v>
      </c>
      <c r="G15" s="175"/>
      <c r="H15" s="245">
        <v>10500</v>
      </c>
      <c r="I15" s="245">
        <v>7500</v>
      </c>
      <c r="J15" s="555">
        <v>8275</v>
      </c>
      <c r="L15" s="101" t="s">
        <v>532</v>
      </c>
      <c r="M15" s="13"/>
      <c r="N15" s="520">
        <v>0</v>
      </c>
      <c r="O15" s="219"/>
      <c r="P15" s="551">
        <v>0.38800000000000001</v>
      </c>
    </row>
    <row r="16" spans="1:38" ht="15.75">
      <c r="A16" s="41"/>
      <c r="B16" s="13"/>
      <c r="C16" s="13"/>
      <c r="D16" s="342"/>
      <c r="E16" s="13"/>
      <c r="F16" s="116" t="s">
        <v>185</v>
      </c>
      <c r="G16" s="13"/>
      <c r="H16" s="522">
        <v>7</v>
      </c>
      <c r="I16" s="13"/>
      <c r="J16" s="40"/>
      <c r="L16" s="104" t="s">
        <v>535</v>
      </c>
      <c r="M16" s="13"/>
      <c r="N16" s="521">
        <v>0</v>
      </c>
      <c r="O16" s="291"/>
      <c r="P16" s="552">
        <v>0.32800000000000001</v>
      </c>
      <c r="U16" s="324"/>
      <c r="V16" s="57" t="s">
        <v>260</v>
      </c>
      <c r="W16" s="325" t="s">
        <v>261</v>
      </c>
    </row>
    <row r="17" spans="1:23" ht="15.75">
      <c r="A17" s="95" t="s">
        <v>102</v>
      </c>
      <c r="B17" s="96"/>
      <c r="C17" s="196"/>
      <c r="D17" s="340"/>
      <c r="E17" s="13"/>
      <c r="F17" s="116" t="s">
        <v>105</v>
      </c>
      <c r="G17" s="175"/>
      <c r="H17" s="248">
        <v>37012</v>
      </c>
      <c r="I17" s="248">
        <v>37377</v>
      </c>
      <c r="J17" s="557">
        <v>37377</v>
      </c>
      <c r="L17" s="116" t="s">
        <v>237</v>
      </c>
      <c r="M17" s="6"/>
      <c r="N17" s="269">
        <f>SUM(N15:N16)</f>
        <v>0</v>
      </c>
      <c r="O17" s="220"/>
      <c r="P17" s="553">
        <f>SUM(P15:P16)</f>
        <v>0.71599999999999997</v>
      </c>
      <c r="U17" s="55" t="s">
        <v>256</v>
      </c>
      <c r="V17" s="13">
        <v>11</v>
      </c>
      <c r="W17" s="326">
        <v>21</v>
      </c>
    </row>
    <row r="18" spans="1:23" ht="15.75">
      <c r="A18" s="184"/>
      <c r="B18" s="166"/>
      <c r="C18" s="13"/>
      <c r="D18" s="342"/>
      <c r="E18" s="13"/>
      <c r="F18" s="101" t="s">
        <v>128</v>
      </c>
      <c r="G18" s="97"/>
      <c r="H18" s="575">
        <v>8</v>
      </c>
      <c r="I18" s="110"/>
      <c r="J18" s="40"/>
      <c r="L18" s="41"/>
      <c r="M18" s="13"/>
      <c r="N18" s="13"/>
      <c r="O18" s="13"/>
      <c r="P18" s="187" t="s">
        <v>418</v>
      </c>
      <c r="U18" s="327" t="s">
        <v>257</v>
      </c>
      <c r="V18" s="58">
        <v>12</v>
      </c>
      <c r="W18" s="289">
        <v>22</v>
      </c>
    </row>
    <row r="19" spans="1:23" ht="15.75">
      <c r="A19" s="98" t="s">
        <v>408</v>
      </c>
      <c r="B19" s="13"/>
      <c r="C19" s="13"/>
      <c r="D19" s="342"/>
      <c r="E19" s="13"/>
      <c r="F19" s="116" t="s">
        <v>104</v>
      </c>
      <c r="G19" s="13"/>
      <c r="H19" s="245">
        <v>30</v>
      </c>
      <c r="I19" s="110"/>
      <c r="J19" s="40"/>
      <c r="L19" s="101" t="s">
        <v>533</v>
      </c>
      <c r="M19" s="13"/>
      <c r="N19" s="247">
        <v>1093.636</v>
      </c>
      <c r="O19" s="265">
        <f t="shared" ref="O19:O25" si="0">N19/$H$68</f>
        <v>3.142632183908046</v>
      </c>
      <c r="P19" s="40"/>
    </row>
    <row r="20" spans="1:23" ht="15.75">
      <c r="A20" s="101" t="s">
        <v>409</v>
      </c>
      <c r="B20" s="167">
        <f t="shared" ref="B20:B33" si="1">C20/$C$60</f>
        <v>0.51687851399154505</v>
      </c>
      <c r="C20" s="545">
        <f>(H11*H12)+(I11*I12)</f>
        <v>110362.69764399025</v>
      </c>
      <c r="D20" s="340">
        <f t="shared" ref="D20:D26" si="2">C20/$H$68</f>
        <v>317.13418863215588</v>
      </c>
      <c r="E20" s="13"/>
      <c r="F20" s="116" t="s">
        <v>293</v>
      </c>
      <c r="G20" s="13"/>
      <c r="H20" s="329" t="s">
        <v>431</v>
      </c>
      <c r="I20" s="110"/>
      <c r="J20" s="40"/>
      <c r="L20" s="101" t="s">
        <v>537</v>
      </c>
      <c r="M20" s="13"/>
      <c r="N20" s="247">
        <v>250</v>
      </c>
      <c r="O20" s="265">
        <f t="shared" si="0"/>
        <v>0.7183908045977011</v>
      </c>
      <c r="P20" s="40"/>
    </row>
    <row r="21" spans="1:23" ht="15.75">
      <c r="A21" s="101" t="s">
        <v>248</v>
      </c>
      <c r="B21" s="167">
        <f t="shared" si="1"/>
        <v>0</v>
      </c>
      <c r="C21" s="545">
        <v>0</v>
      </c>
      <c r="D21" s="340">
        <f t="shared" si="2"/>
        <v>0</v>
      </c>
      <c r="E21" s="13"/>
      <c r="F21" s="41"/>
      <c r="G21" s="13"/>
      <c r="H21" s="13"/>
      <c r="I21" s="13"/>
      <c r="J21" s="40"/>
      <c r="L21" s="101" t="s">
        <v>36</v>
      </c>
      <c r="M21" s="13"/>
      <c r="N21" s="247">
        <v>0</v>
      </c>
      <c r="O21" s="265">
        <f t="shared" si="0"/>
        <v>0</v>
      </c>
      <c r="P21" s="40"/>
    </row>
    <row r="22" spans="1:23" ht="15.75">
      <c r="A22" s="101" t="s">
        <v>433</v>
      </c>
      <c r="B22" s="167">
        <f t="shared" si="1"/>
        <v>2.8100718360051331E-3</v>
      </c>
      <c r="C22" s="544">
        <f>'Cost Details'!D29</f>
        <v>600</v>
      </c>
      <c r="D22" s="340">
        <f t="shared" si="2"/>
        <v>1.7241379310344827</v>
      </c>
      <c r="E22" s="13"/>
      <c r="F22" s="115" t="s">
        <v>419</v>
      </c>
      <c r="G22" s="13"/>
      <c r="H22" s="319"/>
      <c r="I22" s="13"/>
      <c r="J22" s="40"/>
      <c r="L22" s="101" t="s">
        <v>341</v>
      </c>
      <c r="M22" s="13"/>
      <c r="N22" s="247">
        <v>0</v>
      </c>
      <c r="O22" s="265">
        <f t="shared" si="0"/>
        <v>0</v>
      </c>
      <c r="P22" s="40"/>
    </row>
    <row r="23" spans="1:23" ht="15.75">
      <c r="A23" s="101" t="s">
        <v>524</v>
      </c>
      <c r="B23" s="167">
        <f t="shared" si="1"/>
        <v>1.0313090091371458E-2</v>
      </c>
      <c r="C23" s="556">
        <f>'Cost Details'!D12</f>
        <v>2202.027</v>
      </c>
      <c r="D23" s="340">
        <f t="shared" si="2"/>
        <v>6.3276637931034481</v>
      </c>
      <c r="E23" s="13"/>
      <c r="F23" s="318" t="s">
        <v>247</v>
      </c>
      <c r="G23" s="175"/>
      <c r="H23" s="317">
        <v>5</v>
      </c>
      <c r="I23" s="351"/>
      <c r="J23" s="40"/>
      <c r="L23" s="101" t="s">
        <v>535</v>
      </c>
      <c r="M23" s="13"/>
      <c r="N23" s="247">
        <v>838</v>
      </c>
      <c r="O23" s="265">
        <f t="shared" si="0"/>
        <v>2.4080459770114944</v>
      </c>
      <c r="P23" s="40"/>
    </row>
    <row r="24" spans="1:23" ht="15.75">
      <c r="A24" s="101" t="s">
        <v>525</v>
      </c>
      <c r="B24" s="167">
        <f t="shared" si="1"/>
        <v>1.3575695895846857E-2</v>
      </c>
      <c r="C24" s="556">
        <f>'Cost Details'!D21</f>
        <v>2898.6509999999998</v>
      </c>
      <c r="D24" s="340">
        <f t="shared" si="2"/>
        <v>8.3294568965517239</v>
      </c>
      <c r="E24" s="13"/>
      <c r="F24" s="318" t="s">
        <v>366</v>
      </c>
      <c r="G24" s="13"/>
      <c r="H24" s="350">
        <v>0.1</v>
      </c>
      <c r="I24" s="110"/>
      <c r="J24" s="40"/>
      <c r="L24" s="101" t="s">
        <v>534</v>
      </c>
      <c r="M24" s="13"/>
      <c r="N24" s="247">
        <v>281.108</v>
      </c>
      <c r="O24" s="265">
        <f t="shared" si="0"/>
        <v>0.80778160919540232</v>
      </c>
      <c r="P24" s="40"/>
    </row>
    <row r="25" spans="1:23" ht="16.5" thickBot="1">
      <c r="A25" s="101" t="s">
        <v>527</v>
      </c>
      <c r="B25" s="167">
        <f t="shared" si="1"/>
        <v>0.12220674573072124</v>
      </c>
      <c r="C25" s="544">
        <f>'Cost Details'!D67</f>
        <v>26093.300000000003</v>
      </c>
      <c r="D25" s="340">
        <f t="shared" si="2"/>
        <v>74.980747126436796</v>
      </c>
      <c r="E25" s="13"/>
      <c r="F25" s="244" t="s">
        <v>190</v>
      </c>
      <c r="G25" s="42"/>
      <c r="H25" s="349">
        <v>200</v>
      </c>
      <c r="I25" s="42"/>
      <c r="J25" s="81"/>
      <c r="L25" s="104" t="s">
        <v>421</v>
      </c>
      <c r="M25" s="215"/>
      <c r="N25" s="290">
        <f>400+22.479</f>
        <v>422.47899999999998</v>
      </c>
      <c r="O25" s="292">
        <f t="shared" si="0"/>
        <v>1.2140201149425287</v>
      </c>
      <c r="P25" s="40"/>
    </row>
    <row r="26" spans="1:23" ht="16.5" thickBot="1">
      <c r="A26" s="101" t="s">
        <v>528</v>
      </c>
      <c r="B26" s="167">
        <f t="shared" si="1"/>
        <v>8.3859222190456745E-2</v>
      </c>
      <c r="C26" s="544">
        <f>'Cost Details'!D86</f>
        <v>17905.425999999999</v>
      </c>
      <c r="D26" s="340">
        <f t="shared" si="2"/>
        <v>51.452373563218387</v>
      </c>
      <c r="E26" s="13"/>
      <c r="L26" s="116" t="s">
        <v>238</v>
      </c>
      <c r="M26" s="6"/>
      <c r="N26" s="269">
        <f>SUM(N19:N25)</f>
        <v>2885.223</v>
      </c>
      <c r="O26" s="293">
        <f>SUM(O19:O25)</f>
        <v>8.290870689655172</v>
      </c>
      <c r="P26" s="356"/>
    </row>
    <row r="27" spans="1:23" ht="15.75">
      <c r="A27" s="101" t="s">
        <v>107</v>
      </c>
      <c r="B27" s="167">
        <f t="shared" si="1"/>
        <v>2.3417265300042775E-2</v>
      </c>
      <c r="C27" s="544">
        <f>'Cost Details'!D30</f>
        <v>5000</v>
      </c>
      <c r="D27" s="340">
        <f t="shared" ref="D27:D33" si="3">C27/$H$68</f>
        <v>14.367816091954023</v>
      </c>
      <c r="E27" s="13"/>
      <c r="F27" s="94" t="s">
        <v>111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108</v>
      </c>
      <c r="B28" s="167">
        <f t="shared" si="1"/>
        <v>7.8682011408143723E-3</v>
      </c>
      <c r="C28" s="544">
        <f>'Cost Details'!D31</f>
        <v>1680</v>
      </c>
      <c r="D28" s="340">
        <f t="shared" si="3"/>
        <v>4.8275862068965516</v>
      </c>
      <c r="E28" s="13"/>
      <c r="F28" s="347" t="s">
        <v>109</v>
      </c>
      <c r="G28" s="348"/>
      <c r="H28" s="348" t="s">
        <v>310</v>
      </c>
      <c r="I28" s="178"/>
      <c r="J28" s="323"/>
      <c r="L28" s="118" t="s">
        <v>88</v>
      </c>
      <c r="M28" s="13"/>
      <c r="N28" s="160"/>
      <c r="O28" s="220"/>
      <c r="P28" s="40"/>
      <c r="R28" s="3"/>
    </row>
    <row r="29" spans="1:23" ht="15.75">
      <c r="A29" s="101" t="s">
        <v>526</v>
      </c>
      <c r="B29" s="167">
        <f t="shared" si="1"/>
        <v>8.0417980119366489E-3</v>
      </c>
      <c r="C29" s="544">
        <f>'Cost Details'!D24</f>
        <v>1717.066</v>
      </c>
      <c r="D29" s="340">
        <f t="shared" si="3"/>
        <v>4.9340977011494251</v>
      </c>
      <c r="E29" s="13"/>
      <c r="F29" s="318" t="s">
        <v>83</v>
      </c>
      <c r="G29" s="248">
        <v>36770</v>
      </c>
      <c r="H29" s="346"/>
      <c r="I29" s="178"/>
      <c r="J29" s="323"/>
      <c r="L29" s="101" t="s">
        <v>227</v>
      </c>
      <c r="M29" s="13"/>
      <c r="N29" s="269">
        <f>IS!C16</f>
        <v>0</v>
      </c>
      <c r="O29" s="220">
        <f>N29/$H$68</f>
        <v>0</v>
      </c>
      <c r="P29" s="40"/>
      <c r="R29" s="334"/>
    </row>
    <row r="30" spans="1:23" ht="15.75">
      <c r="A30" s="101" t="s">
        <v>530</v>
      </c>
      <c r="B30" s="167">
        <f t="shared" si="1"/>
        <v>5.2400346216599718E-2</v>
      </c>
      <c r="C30" s="544">
        <f>'Cost Details'!D108</f>
        <v>11188.4</v>
      </c>
      <c r="D30" s="340">
        <f t="shared" si="3"/>
        <v>32.150574712643675</v>
      </c>
      <c r="E30" s="13"/>
      <c r="F30" s="318" t="s">
        <v>121</v>
      </c>
      <c r="G30" s="248">
        <v>36571</v>
      </c>
      <c r="H30" s="346"/>
      <c r="I30" s="178"/>
      <c r="J30" s="323"/>
      <c r="L30" s="101" t="s">
        <v>205</v>
      </c>
      <c r="M30" s="13"/>
      <c r="N30" s="247">
        <f>(C34*0.7)*0.025</f>
        <v>3330.0150562698291</v>
      </c>
      <c r="O30" s="220">
        <f>N30/$H$68</f>
        <v>9.5690087823845662</v>
      </c>
      <c r="P30" s="519">
        <v>0</v>
      </c>
      <c r="R30" s="3"/>
    </row>
    <row r="31" spans="1:23" ht="15.75">
      <c r="A31" s="101" t="s">
        <v>529</v>
      </c>
      <c r="B31" s="167">
        <f t="shared" si="1"/>
        <v>7.1719917930849206E-3</v>
      </c>
      <c r="C31" s="544">
        <f>'Cost Details'!D94</f>
        <v>1531.347</v>
      </c>
      <c r="D31" s="340">
        <f t="shared" si="3"/>
        <v>4.4004224137931036</v>
      </c>
      <c r="E31" s="13"/>
      <c r="F31" s="41"/>
      <c r="G31" s="13"/>
      <c r="H31" s="6"/>
      <c r="I31" s="178"/>
      <c r="J31" s="323"/>
      <c r="L31" s="101" t="s">
        <v>195</v>
      </c>
      <c r="M31" s="13"/>
      <c r="N31" s="269">
        <f>IS!C24/IS!C6</f>
        <v>0</v>
      </c>
      <c r="O31" s="220">
        <f>N31/$H$68</f>
        <v>0</v>
      </c>
      <c r="P31" s="40"/>
      <c r="R31" s="3"/>
    </row>
    <row r="32" spans="1:23" ht="15.75">
      <c r="A32" s="101" t="s">
        <v>171</v>
      </c>
      <c r="B32" s="167">
        <f t="shared" si="1"/>
        <v>0</v>
      </c>
      <c r="C32" s="544">
        <v>0</v>
      </c>
      <c r="D32" s="340">
        <f t="shared" si="3"/>
        <v>0</v>
      </c>
      <c r="E32" s="13"/>
      <c r="F32" s="105" t="s">
        <v>14</v>
      </c>
      <c r="G32" s="106">
        <f>Debt!B19</f>
        <v>84092.230613083506</v>
      </c>
      <c r="H32" s="106"/>
      <c r="I32" s="178"/>
      <c r="J32" s="323"/>
      <c r="L32" s="101" t="s">
        <v>199</v>
      </c>
      <c r="M32" s="13"/>
      <c r="N32" s="269">
        <f>IS!C25/IS!C6</f>
        <v>0</v>
      </c>
      <c r="O32" s="220">
        <f>N32/$H$68</f>
        <v>0</v>
      </c>
      <c r="P32" s="40"/>
      <c r="Q32" s="66"/>
      <c r="R32" s="3"/>
    </row>
    <row r="33" spans="1:18" ht="16.5" thickBot="1">
      <c r="A33" s="101" t="s">
        <v>485</v>
      </c>
      <c r="B33" s="182">
        <f t="shared" si="1"/>
        <v>4.2655298096517517E-2</v>
      </c>
      <c r="C33" s="546">
        <f>'Cost Details'!D69</f>
        <v>9107.66</v>
      </c>
      <c r="D33" s="341">
        <f t="shared" si="3"/>
        <v>26.171436781609195</v>
      </c>
      <c r="E33" s="13"/>
      <c r="F33" s="105" t="s">
        <v>15</v>
      </c>
      <c r="G33" s="249">
        <v>30</v>
      </c>
      <c r="H33" s="106"/>
      <c r="I33" s="178"/>
      <c r="J33" s="323"/>
      <c r="L33" s="103" t="s">
        <v>415</v>
      </c>
      <c r="M33" s="42"/>
      <c r="N33" s="272">
        <f>IS!C26/IS!C6</f>
        <v>0</v>
      </c>
      <c r="O33" s="221">
        <f>N33/$H$68</f>
        <v>0</v>
      </c>
      <c r="P33" s="81"/>
      <c r="R33" s="3"/>
    </row>
    <row r="34" spans="1:18" ht="16.5" thickBot="1">
      <c r="A34" s="101" t="s">
        <v>106</v>
      </c>
      <c r="B34" s="167">
        <f>SUM(B20:B33)</f>
        <v>0.89119824029494221</v>
      </c>
      <c r="C34" s="545">
        <f>SUM(C20:C33)</f>
        <v>190286.57464399026</v>
      </c>
      <c r="D34" s="340">
        <f>SUM(D20:D33)</f>
        <v>546.80050185054654</v>
      </c>
      <c r="E34" s="13"/>
      <c r="F34" s="105" t="s">
        <v>16</v>
      </c>
      <c r="G34" s="346">
        <v>44287</v>
      </c>
      <c r="H34" s="346"/>
      <c r="I34" s="178"/>
      <c r="J34" s="323"/>
      <c r="N34" s="197"/>
      <c r="R34" s="3"/>
    </row>
    <row r="35" spans="1:18" ht="15.75">
      <c r="A35" s="41"/>
      <c r="B35" s="13"/>
      <c r="C35" s="13"/>
      <c r="D35" s="40"/>
      <c r="E35" s="13"/>
      <c r="F35" s="105" t="s">
        <v>17</v>
      </c>
      <c r="G35" s="121">
        <f>Debt!E66</f>
        <v>10.011229742790054</v>
      </c>
      <c r="H35" s="375" t="str">
        <f>IF(H32,Debt!#REF!," ")</f>
        <v xml:space="preserve"> </v>
      </c>
      <c r="I35" s="178"/>
      <c r="J35" s="323"/>
      <c r="L35" s="93" t="s">
        <v>22</v>
      </c>
      <c r="M35" s="114"/>
      <c r="N35" s="256"/>
      <c r="O35" s="119"/>
      <c r="P35" s="39"/>
      <c r="R35" s="5"/>
    </row>
    <row r="36" spans="1:18" ht="15.75">
      <c r="A36" s="41"/>
      <c r="B36" s="13"/>
      <c r="C36" s="13"/>
      <c r="D36" s="40"/>
      <c r="E36" s="13"/>
      <c r="F36" s="105"/>
      <c r="G36" s="13"/>
      <c r="H36" s="13"/>
      <c r="I36" s="178"/>
      <c r="J36" s="323"/>
      <c r="L36" s="41"/>
      <c r="M36" s="168"/>
      <c r="N36" s="13"/>
      <c r="O36" s="13"/>
      <c r="P36" s="40"/>
      <c r="R36" s="5"/>
    </row>
    <row r="37" spans="1:18" ht="15.75">
      <c r="A37" s="98" t="s">
        <v>369</v>
      </c>
      <c r="B37" s="13"/>
      <c r="C37" s="547"/>
      <c r="D37" s="343"/>
      <c r="E37" s="13"/>
      <c r="F37" s="101" t="s">
        <v>18</v>
      </c>
      <c r="G37" s="250">
        <v>0.06</v>
      </c>
      <c r="H37" s="250">
        <v>0.06</v>
      </c>
      <c r="I37" s="178"/>
      <c r="J37" s="323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101" t="s">
        <v>519</v>
      </c>
      <c r="B38" s="167">
        <f t="shared" ref="B38:B51" si="4">C38/$C$60</f>
        <v>1.7408755649937421E-2</v>
      </c>
      <c r="C38" s="544">
        <f>'Cost Details'!D113</f>
        <v>3717.0770000000002</v>
      </c>
      <c r="D38" s="340">
        <f t="shared" ref="D38:D52" si="5">C38/$H$68</f>
        <v>10.681255747126437</v>
      </c>
      <c r="E38" s="13"/>
      <c r="F38" s="101" t="s">
        <v>19</v>
      </c>
      <c r="G38" s="251">
        <v>0.01</v>
      </c>
      <c r="H38" s="251">
        <v>0.01</v>
      </c>
      <c r="I38" s="178"/>
      <c r="J38" s="323"/>
      <c r="L38" s="115" t="s">
        <v>26</v>
      </c>
      <c r="M38" s="13"/>
      <c r="N38" s="257"/>
      <c r="O38" s="257"/>
      <c r="P38" s="102"/>
      <c r="R38" s="13"/>
    </row>
    <row r="39" spans="1:18" ht="15.75">
      <c r="A39" s="98" t="s">
        <v>424</v>
      </c>
      <c r="B39" s="167">
        <f t="shared" si="4"/>
        <v>0</v>
      </c>
      <c r="C39" s="544">
        <v>0</v>
      </c>
      <c r="D39" s="340">
        <f t="shared" si="5"/>
        <v>0</v>
      </c>
      <c r="E39" s="13"/>
      <c r="F39" s="105" t="s">
        <v>315</v>
      </c>
      <c r="G39" s="107">
        <f>Debt!E64</f>
        <v>6.9999999999999993E-2</v>
      </c>
      <c r="H39" s="107">
        <f>SUM(H37:H38)</f>
        <v>6.9999999999999993E-2</v>
      </c>
      <c r="I39" s="178"/>
      <c r="J39" s="323"/>
      <c r="L39" s="116" t="s">
        <v>27</v>
      </c>
      <c r="M39" s="13"/>
      <c r="N39" s="267">
        <v>15</v>
      </c>
      <c r="O39" s="258" t="s">
        <v>28</v>
      </c>
      <c r="P39" s="188">
        <v>0</v>
      </c>
      <c r="R39" s="3"/>
    </row>
    <row r="40" spans="1:18" ht="15.75">
      <c r="A40" s="98" t="s">
        <v>166</v>
      </c>
      <c r="B40" s="167">
        <f t="shared" si="4"/>
        <v>1.0722475406799867E-2</v>
      </c>
      <c r="C40" s="550">
        <v>2289.4380000000001</v>
      </c>
      <c r="D40" s="340">
        <f t="shared" si="5"/>
        <v>6.5788448275862068</v>
      </c>
      <c r="E40" s="13"/>
      <c r="F40" s="101"/>
      <c r="G40" s="97"/>
      <c r="H40" s="97"/>
      <c r="I40" s="97"/>
      <c r="J40" s="186"/>
      <c r="L40" s="116" t="s">
        <v>243</v>
      </c>
      <c r="M40" s="13"/>
      <c r="N40" s="267">
        <v>5</v>
      </c>
      <c r="O40" s="258" t="s">
        <v>30</v>
      </c>
      <c r="P40" s="188">
        <v>0</v>
      </c>
      <c r="R40" s="3"/>
    </row>
    <row r="41" spans="1:18" ht="15.75">
      <c r="A41" s="98" t="s">
        <v>160</v>
      </c>
      <c r="B41" s="167">
        <f t="shared" si="4"/>
        <v>0</v>
      </c>
      <c r="C41" s="544">
        <v>0</v>
      </c>
      <c r="D41" s="340">
        <f t="shared" si="5"/>
        <v>0</v>
      </c>
      <c r="E41" s="13"/>
      <c r="F41" s="101" t="s">
        <v>122</v>
      </c>
      <c r="G41" s="249">
        <v>0</v>
      </c>
      <c r="H41" s="249">
        <v>0</v>
      </c>
      <c r="I41" s="97" t="s">
        <v>123</v>
      </c>
      <c r="J41" s="187"/>
      <c r="L41" s="116" t="s">
        <v>29</v>
      </c>
      <c r="M41" s="13"/>
      <c r="N41" s="267">
        <v>20</v>
      </c>
      <c r="O41" s="258" t="s">
        <v>30</v>
      </c>
      <c r="P41" s="188">
        <v>0</v>
      </c>
      <c r="R41" s="334"/>
    </row>
    <row r="42" spans="1:18" ht="15.75">
      <c r="A42" s="101" t="s">
        <v>422</v>
      </c>
      <c r="B42" s="167">
        <f t="shared" si="4"/>
        <v>0</v>
      </c>
      <c r="C42" s="544">
        <v>0</v>
      </c>
      <c r="D42" s="340">
        <f t="shared" si="5"/>
        <v>0</v>
      </c>
      <c r="E42" s="13"/>
      <c r="F42" s="101" t="s">
        <v>20</v>
      </c>
      <c r="G42" s="252">
        <v>0.02</v>
      </c>
      <c r="H42" s="97"/>
      <c r="I42" s="97"/>
      <c r="J42" s="187"/>
      <c r="L42" s="116"/>
      <c r="M42" s="13"/>
      <c r="N42" s="259"/>
      <c r="O42" s="259"/>
      <c r="P42" s="260"/>
      <c r="R42" s="222"/>
    </row>
    <row r="43" spans="1:18" ht="15.75">
      <c r="A43" s="98" t="s">
        <v>161</v>
      </c>
      <c r="B43" s="167">
        <f t="shared" si="4"/>
        <v>0</v>
      </c>
      <c r="C43" s="544">
        <v>0</v>
      </c>
      <c r="D43" s="340">
        <f t="shared" si="5"/>
        <v>0</v>
      </c>
      <c r="E43" s="13"/>
      <c r="F43" s="101" t="s">
        <v>21</v>
      </c>
      <c r="G43" s="252">
        <v>0</v>
      </c>
      <c r="H43" s="13"/>
      <c r="I43" s="13"/>
      <c r="J43" s="40"/>
      <c r="L43" s="115" t="s">
        <v>31</v>
      </c>
      <c r="M43" s="13"/>
      <c r="N43" s="259"/>
      <c r="O43" s="259"/>
      <c r="P43" s="189"/>
    </row>
    <row r="44" spans="1:18" ht="15.75">
      <c r="A44" s="98" t="s">
        <v>170</v>
      </c>
      <c r="B44" s="167">
        <f t="shared" si="4"/>
        <v>0</v>
      </c>
      <c r="C44" s="544">
        <v>0</v>
      </c>
      <c r="D44" s="340">
        <f t="shared" si="5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67">
        <v>30</v>
      </c>
      <c r="O44" s="258" t="s">
        <v>30</v>
      </c>
      <c r="P44" s="189">
        <v>0.1</v>
      </c>
    </row>
    <row r="45" spans="1:18" ht="15.75">
      <c r="A45" s="98" t="s">
        <v>162</v>
      </c>
      <c r="B45" s="167">
        <f t="shared" si="4"/>
        <v>0</v>
      </c>
      <c r="C45" s="544">
        <v>0</v>
      </c>
      <c r="D45" s="340">
        <f t="shared" si="5"/>
        <v>0</v>
      </c>
      <c r="E45" s="13"/>
      <c r="F45" s="347" t="s">
        <v>110</v>
      </c>
      <c r="G45" s="13"/>
      <c r="H45" s="13"/>
      <c r="I45" s="13"/>
      <c r="J45" s="40"/>
      <c r="L45" s="116" t="s">
        <v>243</v>
      </c>
      <c r="M45" s="13"/>
      <c r="N45" s="267">
        <v>5</v>
      </c>
      <c r="O45" s="258" t="s">
        <v>30</v>
      </c>
      <c r="P45" s="188">
        <v>0</v>
      </c>
    </row>
    <row r="46" spans="1:18" ht="16.5" thickBot="1">
      <c r="A46" s="98" t="s">
        <v>163</v>
      </c>
      <c r="B46" s="167">
        <f t="shared" si="4"/>
        <v>0</v>
      </c>
      <c r="C46" s="544">
        <v>0</v>
      </c>
      <c r="D46" s="340">
        <f t="shared" si="5"/>
        <v>0</v>
      </c>
      <c r="E46" s="13"/>
      <c r="F46" s="318" t="s">
        <v>84</v>
      </c>
      <c r="G46" s="248">
        <v>36617</v>
      </c>
      <c r="H46" s="13"/>
      <c r="I46" s="13"/>
      <c r="J46" s="40"/>
      <c r="L46" s="117" t="s">
        <v>29</v>
      </c>
      <c r="M46" s="42"/>
      <c r="N46" s="268">
        <v>20</v>
      </c>
      <c r="O46" s="261" t="s">
        <v>30</v>
      </c>
      <c r="P46" s="190">
        <v>0</v>
      </c>
    </row>
    <row r="47" spans="1:18" ht="16.5" thickBot="1">
      <c r="A47" s="98" t="s">
        <v>167</v>
      </c>
      <c r="B47" s="167">
        <f t="shared" si="4"/>
        <v>0</v>
      </c>
      <c r="C47" s="544">
        <v>0</v>
      </c>
      <c r="D47" s="340">
        <f t="shared" si="5"/>
        <v>0</v>
      </c>
      <c r="E47" s="13"/>
      <c r="F47" s="101" t="s">
        <v>12</v>
      </c>
      <c r="G47" s="253">
        <v>0</v>
      </c>
      <c r="H47" s="144">
        <f>G47*C11</f>
        <v>0</v>
      </c>
      <c r="I47" s="13"/>
      <c r="J47" s="40"/>
    </row>
    <row r="48" spans="1:18" ht="16.5" thickBot="1">
      <c r="A48" s="101" t="s">
        <v>207</v>
      </c>
      <c r="B48" s="167">
        <f t="shared" si="4"/>
        <v>1.8897155272726538E-2</v>
      </c>
      <c r="C48" s="545">
        <f>IDC!H34</f>
        <v>4034.8766242768793</v>
      </c>
      <c r="D48" s="340">
        <f t="shared" si="5"/>
        <v>11.594473058266894</v>
      </c>
      <c r="E48" s="64"/>
      <c r="F48" s="103" t="s">
        <v>13</v>
      </c>
      <c r="G48" s="264">
        <f>1-G47</f>
        <v>1</v>
      </c>
      <c r="H48" s="145">
        <f>G48*C11</f>
        <v>64055.301965480146</v>
      </c>
      <c r="I48" s="42"/>
      <c r="J48" s="81"/>
      <c r="L48" s="93" t="s">
        <v>370</v>
      </c>
      <c r="M48" s="114"/>
      <c r="N48" s="274"/>
      <c r="O48" s="275"/>
      <c r="P48" s="357"/>
    </row>
    <row r="49" spans="1:16" ht="16.5" thickBot="1">
      <c r="A49" s="101" t="s">
        <v>531</v>
      </c>
      <c r="B49" s="167">
        <f t="shared" si="4"/>
        <v>2.6635397034260332E-2</v>
      </c>
      <c r="C49" s="544">
        <f>'Cost Details'!D118</f>
        <v>5687.1279999999997</v>
      </c>
      <c r="D49" s="340">
        <f t="shared" si="5"/>
        <v>16.342321839080459</v>
      </c>
      <c r="E49" s="43"/>
      <c r="L49" s="180"/>
      <c r="M49" s="175"/>
      <c r="N49" s="156"/>
      <c r="O49" s="6"/>
      <c r="P49" s="356"/>
    </row>
    <row r="50" spans="1:16" ht="15.75">
      <c r="A50" s="101" t="s">
        <v>264</v>
      </c>
      <c r="B50" s="167">
        <f t="shared" si="4"/>
        <v>1.7381043424008698E-2</v>
      </c>
      <c r="C50" s="545">
        <f>SUM(C25:C33)*N55</f>
        <v>3711.1599500000007</v>
      </c>
      <c r="D50" s="340">
        <f t="shared" si="5"/>
        <v>10.66425272988506</v>
      </c>
      <c r="E50" s="13"/>
      <c r="F50" s="93" t="s">
        <v>191</v>
      </c>
      <c r="G50" s="113"/>
      <c r="H50" s="119"/>
      <c r="I50" s="200"/>
      <c r="J50" s="39"/>
      <c r="L50" s="116" t="s">
        <v>126</v>
      </c>
      <c r="M50" s="6"/>
      <c r="N50" s="257">
        <v>0.35</v>
      </c>
      <c r="O50" s="6"/>
      <c r="P50" s="356"/>
    </row>
    <row r="51" spans="1:16" ht="15.75">
      <c r="A51" s="95" t="s">
        <v>172</v>
      </c>
      <c r="B51" s="182">
        <f t="shared" si="4"/>
        <v>1.7756932917324574E-2</v>
      </c>
      <c r="C51" s="546">
        <f>'Cost Details'!D117</f>
        <v>3791.4189999999999</v>
      </c>
      <c r="D51" s="341">
        <f t="shared" si="5"/>
        <v>10.894882183908045</v>
      </c>
      <c r="E51" s="84"/>
      <c r="F51" s="41"/>
      <c r="G51" s="13"/>
      <c r="H51" s="13"/>
      <c r="I51" s="110"/>
      <c r="J51" s="40"/>
      <c r="L51" s="116" t="s">
        <v>278</v>
      </c>
      <c r="M51" s="6"/>
      <c r="N51" s="255">
        <v>7.0000000000000007E-2</v>
      </c>
      <c r="O51" s="358" t="s">
        <v>225</v>
      </c>
      <c r="P51" s="356"/>
    </row>
    <row r="52" spans="1:16" ht="15.75">
      <c r="A52" s="101" t="s">
        <v>106</v>
      </c>
      <c r="B52" s="167">
        <f>SUM(B38:B51)</f>
        <v>0.10880175970505743</v>
      </c>
      <c r="C52" s="545">
        <f>SUM(C38:C51)</f>
        <v>23231.098574276883</v>
      </c>
      <c r="D52" s="340">
        <f t="shared" si="5"/>
        <v>66.756030385853109</v>
      </c>
      <c r="E52" s="84"/>
      <c r="F52" s="104" t="s">
        <v>294</v>
      </c>
      <c r="G52" s="13"/>
      <c r="H52" s="13"/>
      <c r="I52" s="13"/>
      <c r="J52" s="40"/>
      <c r="L52" s="116" t="s">
        <v>245</v>
      </c>
      <c r="M52" s="6"/>
      <c r="N52" s="255">
        <v>0</v>
      </c>
      <c r="O52" s="358" t="s">
        <v>225</v>
      </c>
      <c r="P52" s="356"/>
    </row>
    <row r="53" spans="1:16" ht="15.75">
      <c r="A53" s="41"/>
      <c r="B53" s="13"/>
      <c r="C53" s="547"/>
      <c r="D53" s="40"/>
      <c r="E53" s="13"/>
      <c r="F53" s="101" t="s">
        <v>296</v>
      </c>
      <c r="G53" s="13"/>
      <c r="H53" s="247">
        <v>30</v>
      </c>
      <c r="I53" s="110"/>
      <c r="J53" s="40"/>
      <c r="L53" s="116" t="s">
        <v>200</v>
      </c>
      <c r="M53" s="6"/>
      <c r="N53" s="255">
        <v>0</v>
      </c>
      <c r="O53" s="358" t="s">
        <v>225</v>
      </c>
      <c r="P53" s="356"/>
    </row>
    <row r="54" spans="1:16" ht="15.75">
      <c r="A54" s="98" t="s">
        <v>100</v>
      </c>
      <c r="B54" s="13"/>
      <c r="C54" s="545"/>
      <c r="D54" s="342"/>
      <c r="E54" s="13"/>
      <c r="F54" s="101" t="s">
        <v>405</v>
      </c>
      <c r="G54" s="13"/>
      <c r="H54" s="576">
        <v>6.3986392889354686</v>
      </c>
      <c r="I54" s="13"/>
      <c r="J54" s="40"/>
      <c r="L54" s="116" t="s">
        <v>230</v>
      </c>
      <c r="M54" s="13"/>
      <c r="N54" s="255">
        <v>1.4999999999999999E-2</v>
      </c>
      <c r="O54" s="358" t="s">
        <v>225</v>
      </c>
      <c r="P54" s="40"/>
    </row>
    <row r="55" spans="1:16" ht="16.5" thickBot="1">
      <c r="A55" s="98" t="s">
        <v>164</v>
      </c>
      <c r="B55" s="167">
        <f>C55/$C$60</f>
        <v>0</v>
      </c>
      <c r="C55" s="544">
        <v>0</v>
      </c>
      <c r="D55" s="340">
        <f>C55/$H$68</f>
        <v>0</v>
      </c>
      <c r="E55" s="13"/>
      <c r="F55" s="41"/>
      <c r="G55" s="13"/>
      <c r="H55" s="13"/>
      <c r="I55" s="13"/>
      <c r="J55" s="40"/>
      <c r="L55" s="117" t="s">
        <v>265</v>
      </c>
      <c r="M55" s="42"/>
      <c r="N55" s="270">
        <v>0.05</v>
      </c>
      <c r="O55" s="359" t="s">
        <v>225</v>
      </c>
      <c r="P55" s="81"/>
    </row>
    <row r="56" spans="1:16" ht="15.75">
      <c r="A56" s="98" t="s">
        <v>165</v>
      </c>
      <c r="B56" s="167">
        <f>C56/$C$60</f>
        <v>0</v>
      </c>
      <c r="C56" s="544">
        <v>0</v>
      </c>
      <c r="D56" s="340">
        <f>C56/$H$68</f>
        <v>0</v>
      </c>
      <c r="E56" s="13"/>
      <c r="F56" s="104" t="s">
        <v>297</v>
      </c>
      <c r="G56" s="13"/>
      <c r="H56" s="13"/>
      <c r="I56" s="13"/>
      <c r="J56" s="40"/>
    </row>
    <row r="57" spans="1:16" ht="15.75">
      <c r="A57" s="104" t="s">
        <v>420</v>
      </c>
      <c r="B57" s="182">
        <f>C57/$C$60</f>
        <v>0</v>
      </c>
      <c r="C57" s="546">
        <v>0</v>
      </c>
      <c r="D57" s="340">
        <f>C57/$H$68</f>
        <v>0</v>
      </c>
      <c r="E57" s="13"/>
      <c r="F57" s="101" t="s">
        <v>296</v>
      </c>
      <c r="G57" s="13"/>
      <c r="H57" s="269">
        <f>H19-H53</f>
        <v>0</v>
      </c>
      <c r="I57" s="110"/>
      <c r="J57" s="40"/>
    </row>
    <row r="58" spans="1:16" ht="15.75">
      <c r="A58" s="101" t="s">
        <v>106</v>
      </c>
      <c r="B58" s="167">
        <f>SUM(B55:B57)</f>
        <v>0</v>
      </c>
      <c r="C58" s="548">
        <f>SUM(C55:C57)</f>
        <v>0</v>
      </c>
      <c r="D58" s="340">
        <f>C58/$H$68</f>
        <v>0</v>
      </c>
      <c r="E58" s="13"/>
      <c r="F58" s="101" t="s">
        <v>405</v>
      </c>
      <c r="G58" s="97"/>
      <c r="H58" s="153"/>
      <c r="I58" s="110"/>
      <c r="J58" s="40"/>
    </row>
    <row r="59" spans="1:16">
      <c r="A59" s="41"/>
      <c r="B59" s="13"/>
      <c r="C59" s="547"/>
      <c r="D59" s="343"/>
      <c r="E59" s="13"/>
      <c r="F59" s="41"/>
      <c r="G59" s="13"/>
      <c r="H59" s="13"/>
      <c r="I59" s="13"/>
      <c r="J59" s="40"/>
    </row>
    <row r="60" spans="1:16" ht="16.5" thickBot="1">
      <c r="A60" s="185" t="s">
        <v>101</v>
      </c>
      <c r="B60" s="181">
        <f>B58+B52+B34</f>
        <v>0.99999999999999967</v>
      </c>
      <c r="C60" s="549">
        <f>C58+C52+C34</f>
        <v>213517.67321826715</v>
      </c>
      <c r="D60" s="344">
        <f>C60/$H$68</f>
        <v>613.5565322363999</v>
      </c>
      <c r="E60" s="13"/>
      <c r="F60" s="101" t="s">
        <v>413</v>
      </c>
      <c r="G60" s="97"/>
      <c r="H60" s="153">
        <f>P17</f>
        <v>0.71599999999999997</v>
      </c>
      <c r="I60" s="110"/>
      <c r="J60" s="40"/>
    </row>
    <row r="61" spans="1:16" ht="15.75">
      <c r="E61" s="13"/>
      <c r="F61" s="101"/>
      <c r="G61" s="13"/>
      <c r="H61" s="257"/>
      <c r="I61" s="110"/>
      <c r="J61" s="40"/>
    </row>
    <row r="62" spans="1:16" ht="16.5" thickBot="1">
      <c r="E62" s="13"/>
      <c r="F62" s="103" t="s">
        <v>417</v>
      </c>
      <c r="G62" s="42"/>
      <c r="H62" s="271">
        <f>H68*H72</f>
        <v>870000</v>
      </c>
      <c r="I62" s="201"/>
      <c r="J62" s="81"/>
    </row>
    <row r="63" spans="1:16" ht="13.5" thickBot="1">
      <c r="E63" s="13"/>
    </row>
    <row r="64" spans="1:16" ht="15.75">
      <c r="A64" s="94" t="s">
        <v>32</v>
      </c>
      <c r="B64" s="119"/>
      <c r="C64" s="200"/>
      <c r="D64" s="120"/>
      <c r="E64" s="13"/>
      <c r="F64" s="93" t="s">
        <v>5</v>
      </c>
      <c r="G64" s="198"/>
      <c r="H64" s="200"/>
      <c r="I64" s="38"/>
      <c r="J64" s="39"/>
    </row>
    <row r="65" spans="1:10" ht="15.75">
      <c r="A65" s="41"/>
      <c r="B65" s="13"/>
      <c r="C65" s="13"/>
      <c r="D65" s="40"/>
      <c r="E65" s="13"/>
      <c r="F65" s="180"/>
      <c r="G65" s="151"/>
      <c r="H65" s="110"/>
      <c r="I65" s="13"/>
      <c r="J65" s="40"/>
    </row>
    <row r="66" spans="1:10" ht="15.75">
      <c r="A66" s="335" t="s">
        <v>262</v>
      </c>
      <c r="B66" s="336"/>
      <c r="C66" s="337">
        <f>D60</f>
        <v>613.5565322363999</v>
      </c>
      <c r="D66" s="40"/>
      <c r="E66" s="13"/>
      <c r="F66" s="101" t="s">
        <v>124</v>
      </c>
      <c r="G66" s="13"/>
      <c r="H66" s="217">
        <f>(H12*H13)+(I12*I13)</f>
        <v>348</v>
      </c>
      <c r="I66" s="13"/>
      <c r="J66" s="40"/>
    </row>
    <row r="67" spans="1:10" ht="15.75">
      <c r="A67" s="512"/>
      <c r="B67" s="178"/>
      <c r="C67" s="178"/>
      <c r="D67" s="40"/>
      <c r="E67" s="13"/>
      <c r="F67" s="104" t="s">
        <v>89</v>
      </c>
      <c r="G67" s="13"/>
      <c r="H67" s="333">
        <v>0</v>
      </c>
      <c r="I67" s="13"/>
      <c r="J67" s="40"/>
    </row>
    <row r="68" spans="1:10" ht="15.75">
      <c r="A68" s="101"/>
      <c r="B68" s="97"/>
      <c r="C68" s="96" t="s">
        <v>34</v>
      </c>
      <c r="D68" s="170" t="s">
        <v>33</v>
      </c>
      <c r="E68" s="13"/>
      <c r="F68" s="118" t="s">
        <v>300</v>
      </c>
      <c r="G68" s="43"/>
      <c r="H68" s="352">
        <f>SUM(H66:H67)</f>
        <v>348</v>
      </c>
      <c r="I68" s="13"/>
      <c r="J68" s="40"/>
    </row>
    <row r="69" spans="1:10" ht="15.75">
      <c r="A69" s="104" t="s">
        <v>0</v>
      </c>
      <c r="B69" s="108"/>
      <c r="C69" s="109">
        <f>Debt!E68</f>
        <v>1.3000000000000003</v>
      </c>
      <c r="D69" s="345">
        <f>Debt!E69</f>
        <v>1.2999999999999989</v>
      </c>
      <c r="E69" s="13"/>
      <c r="F69" s="41"/>
      <c r="G69" s="13"/>
      <c r="H69" s="13"/>
      <c r="I69" s="13"/>
      <c r="J69" s="40"/>
    </row>
    <row r="70" spans="1:10" ht="15.75">
      <c r="A70" s="41"/>
      <c r="B70" s="97"/>
      <c r="C70" s="13"/>
      <c r="D70" s="40"/>
      <c r="E70" s="13"/>
      <c r="F70" s="101" t="s">
        <v>342</v>
      </c>
      <c r="G70" s="13"/>
      <c r="H70" s="245">
        <v>140</v>
      </c>
      <c r="I70" s="13"/>
      <c r="J70" s="40"/>
    </row>
    <row r="71" spans="1:10" ht="15.75">
      <c r="A71" s="104" t="s">
        <v>572</v>
      </c>
      <c r="B71" s="13"/>
      <c r="C71" s="591" t="s">
        <v>1</v>
      </c>
      <c r="D71" s="592" t="s">
        <v>555</v>
      </c>
      <c r="E71" s="13"/>
      <c r="F71" s="101" t="s">
        <v>258</v>
      </c>
      <c r="G71" s="13"/>
      <c r="H71" s="245">
        <v>400</v>
      </c>
      <c r="I71" s="13"/>
      <c r="J71" s="40"/>
    </row>
    <row r="72" spans="1:10" ht="16.5" thickBot="1">
      <c r="A72" s="101" t="s">
        <v>425</v>
      </c>
      <c r="B72" s="97"/>
      <c r="C72" s="146">
        <f>'Returns Analysis'!C39</f>
        <v>9.2022821307182298E-2</v>
      </c>
      <c r="D72" s="593">
        <f>'Returns Analysis'!C40</f>
        <v>-6374.3491042554224</v>
      </c>
      <c r="E72" s="13"/>
      <c r="F72" s="103" t="s">
        <v>168</v>
      </c>
      <c r="G72" s="42"/>
      <c r="H72" s="254">
        <v>2500</v>
      </c>
      <c r="I72" s="42"/>
      <c r="J72" s="81"/>
    </row>
    <row r="73" spans="1:10" ht="15.75">
      <c r="A73" s="101" t="str">
        <f>CONCATENATE("20 Yrs After-Tax Cashflow with ",H23,"x EBITDA Exit Multiple Residual Value")</f>
        <v>20 Yrs After-Tax Cashflow with 5x EBITDA Exit Multiple Residual Value</v>
      </c>
      <c r="B73" s="13"/>
      <c r="C73" s="146">
        <f>'Returns Analysis'!C46</f>
        <v>0.12728857398033142</v>
      </c>
      <c r="D73" s="593">
        <f>'Returns Analysis'!C47</f>
        <v>10001.544523333403</v>
      </c>
    </row>
    <row r="74" spans="1:10" ht="15.75">
      <c r="A74" s="101" t="str">
        <f>CONCATENATE("20 Yrs After-Tax Cashflow with ",H24*100,"% Initial Project Cost Residual Value")</f>
        <v>20 Yrs After-Tax Cashflow with 10% Initial Project Cost Residual Value</v>
      </c>
      <c r="B74" s="13"/>
      <c r="C74" s="596">
        <f>'Returns Analysis'!C53</f>
        <v>0.11053778529167174</v>
      </c>
      <c r="D74" s="597">
        <f>'Returns Analysis'!C54</f>
        <v>-1.9793690496174217E-11</v>
      </c>
      <c r="E74" s="97"/>
    </row>
    <row r="75" spans="1:10" ht="15.75">
      <c r="A75" s="101" t="str">
        <f>CONCATENATE("20 Yrs After-Tax Cashflow with $",H25,"/kW Residual Value")</f>
        <v>20 Yrs After-Tax Cashflow with $200/kW Residual Value</v>
      </c>
      <c r="B75" s="13"/>
      <c r="C75" s="146">
        <f>'Returns Analysis'!C60</f>
        <v>0.12304224371910097</v>
      </c>
      <c r="D75" s="593">
        <f>'Returns Analysis'!C61</f>
        <v>7035.7403438205056</v>
      </c>
      <c r="E75" s="97"/>
    </row>
    <row r="76" spans="1:10">
      <c r="A76" s="41"/>
      <c r="B76" s="13"/>
      <c r="C76" s="13"/>
      <c r="D76" s="40"/>
      <c r="E76" s="13"/>
    </row>
    <row r="77" spans="1:10" ht="15.75">
      <c r="A77" s="104" t="s">
        <v>86</v>
      </c>
      <c r="B77" s="96">
        <f>IS!C7</f>
        <v>2001</v>
      </c>
      <c r="C77" s="96">
        <f>IS!D7</f>
        <v>2002</v>
      </c>
      <c r="D77" s="170">
        <f>IS!E7</f>
        <v>2003</v>
      </c>
      <c r="E77" s="13"/>
    </row>
    <row r="78" spans="1:10" ht="15.75">
      <c r="A78" s="101" t="s">
        <v>97</v>
      </c>
      <c r="B78" s="111">
        <f>IS!C32</f>
        <v>12560.314724126514</v>
      </c>
      <c r="C78" s="111">
        <f>IS!D32</f>
        <v>20447.775154324685</v>
      </c>
      <c r="D78" s="165">
        <f>IS!E32</f>
        <v>20406.011805124683</v>
      </c>
      <c r="E78" s="13"/>
    </row>
    <row r="79" spans="1:10" ht="15.75">
      <c r="A79" s="101" t="s">
        <v>98</v>
      </c>
      <c r="B79" s="111">
        <f>IS!C45</f>
        <v>437.55982070014687</v>
      </c>
      <c r="C79" s="111">
        <f>IS!D45</f>
        <v>904.34561733468536</v>
      </c>
      <c r="D79" s="165">
        <f>IS!E45</f>
        <v>950.74014409335155</v>
      </c>
      <c r="E79" s="13"/>
    </row>
    <row r="80" spans="1:10" ht="15.75">
      <c r="A80" s="101" t="s">
        <v>99</v>
      </c>
      <c r="B80" s="111">
        <f>'Returns Analysis'!C13</f>
        <v>6457.2678979710445</v>
      </c>
      <c r="C80" s="111">
        <f>'Returns Analysis'!D13</f>
        <v>10096.167994656262</v>
      </c>
      <c r="D80" s="165">
        <f>'Returns Analysis'!E13</f>
        <v>10172.916591444791</v>
      </c>
      <c r="E80" s="13"/>
    </row>
    <row r="81" spans="1:9" ht="16.5" thickBot="1">
      <c r="A81" s="103" t="s">
        <v>355</v>
      </c>
      <c r="B81" s="112">
        <f>'Returns Analysis'!C21</f>
        <v>4874.9989261615347</v>
      </c>
      <c r="C81" s="112">
        <f>'Returns Analysis'!D21</f>
        <v>8403.1401948200855</v>
      </c>
      <c r="D81" s="191">
        <f>'Returns Analysis'!E21</f>
        <v>8361.3768456200833</v>
      </c>
      <c r="E81" s="13"/>
    </row>
    <row r="82" spans="1:9">
      <c r="E82" s="13"/>
    </row>
    <row r="83" spans="1:9">
      <c r="E83" s="13"/>
    </row>
    <row r="84" spans="1:9" ht="15.75">
      <c r="E84" s="46"/>
    </row>
    <row r="86" spans="1:9" ht="15.75">
      <c r="E86" s="97"/>
    </row>
    <row r="87" spans="1:9" ht="15.75">
      <c r="E87" s="97"/>
    </row>
    <row r="88" spans="1:9" ht="15.75">
      <c r="E88" s="97"/>
    </row>
    <row r="89" spans="1:9" ht="15.75">
      <c r="E89" s="97"/>
    </row>
    <row r="90" spans="1:9">
      <c r="E90" s="13"/>
    </row>
    <row r="91" spans="1:9" ht="15.75">
      <c r="E91" s="97"/>
    </row>
    <row r="92" spans="1:9" ht="15.75">
      <c r="E92" s="97"/>
    </row>
    <row r="93" spans="1:9">
      <c r="E93" s="13"/>
    </row>
    <row r="94" spans="1:9" ht="15.75">
      <c r="E94" s="13"/>
      <c r="I94" s="158"/>
    </row>
    <row r="95" spans="1:9" ht="15.75">
      <c r="E95" s="97"/>
    </row>
    <row r="96" spans="1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0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121"/>
  <sheetViews>
    <sheetView topLeftCell="A81" zoomScale="75" workbookViewId="0">
      <selection activeCell="D113" sqref="D113"/>
    </sheetView>
  </sheetViews>
  <sheetFormatPr defaultRowHeight="12.75"/>
  <cols>
    <col min="1" max="1" width="3.42578125" customWidth="1"/>
    <col min="2" max="2" width="25.5703125" customWidth="1"/>
    <col min="3" max="3" width="1" customWidth="1"/>
    <col min="4" max="4" width="20.28515625" customWidth="1"/>
    <col min="5" max="5" width="13.7109375" customWidth="1"/>
  </cols>
  <sheetData>
    <row r="2" spans="2:4">
      <c r="D2" s="523" t="s">
        <v>523</v>
      </c>
    </row>
    <row r="4" spans="2:4">
      <c r="B4" t="s">
        <v>329</v>
      </c>
      <c r="D4">
        <v>6</v>
      </c>
    </row>
    <row r="5" spans="2:4">
      <c r="B5" t="s">
        <v>438</v>
      </c>
      <c r="D5">
        <v>345</v>
      </c>
    </row>
    <row r="7" spans="2:4">
      <c r="D7" s="537" t="s">
        <v>472</v>
      </c>
    </row>
    <row r="8" spans="2:4">
      <c r="B8" s="533" t="s">
        <v>449</v>
      </c>
    </row>
    <row r="9" spans="2:4">
      <c r="B9" t="s">
        <v>434</v>
      </c>
      <c r="D9" s="534">
        <v>840.93799999999999</v>
      </c>
    </row>
    <row r="10" spans="2:4">
      <c r="B10" t="s">
        <v>435</v>
      </c>
      <c r="D10" s="534">
        <v>1105.873</v>
      </c>
    </row>
    <row r="11" spans="2:4">
      <c r="B11" t="s">
        <v>436</v>
      </c>
      <c r="D11" s="536">
        <v>255.21600000000001</v>
      </c>
    </row>
    <row r="12" spans="2:4">
      <c r="D12" s="543">
        <f>SUM(D9:D11)</f>
        <v>2202.027</v>
      </c>
    </row>
    <row r="14" spans="2:4">
      <c r="B14" s="533" t="s">
        <v>448</v>
      </c>
    </row>
    <row r="15" spans="2:4">
      <c r="B15" t="s">
        <v>437</v>
      </c>
      <c r="D15" s="534">
        <v>741.60199999999998</v>
      </c>
    </row>
    <row r="16" spans="2:4">
      <c r="B16" t="s">
        <v>439</v>
      </c>
      <c r="D16" s="534">
        <v>296.92200000000003</v>
      </c>
    </row>
    <row r="17" spans="2:4">
      <c r="B17" t="s">
        <v>440</v>
      </c>
      <c r="D17" s="534">
        <v>293.85599999999999</v>
      </c>
    </row>
    <row r="18" spans="2:4">
      <c r="B18" t="s">
        <v>441</v>
      </c>
      <c r="D18" s="534">
        <v>926.82100000000003</v>
      </c>
    </row>
    <row r="19" spans="2:4">
      <c r="B19" t="s">
        <v>442</v>
      </c>
      <c r="D19" s="534">
        <v>630</v>
      </c>
    </row>
    <row r="20" spans="2:4">
      <c r="B20" t="s">
        <v>443</v>
      </c>
      <c r="D20" s="536">
        <v>9.4499999999999993</v>
      </c>
    </row>
    <row r="21" spans="2:4">
      <c r="D21" s="538">
        <f>SUM(D15:D20)</f>
        <v>2898.6509999999998</v>
      </c>
    </row>
    <row r="22" spans="2:4">
      <c r="D22" s="538"/>
    </row>
    <row r="23" spans="2:4">
      <c r="B23" s="533" t="s">
        <v>446</v>
      </c>
    </row>
    <row r="24" spans="2:4">
      <c r="B24" t="s">
        <v>444</v>
      </c>
      <c r="D24" s="538">
        <v>1717.066</v>
      </c>
    </row>
    <row r="26" spans="2:4">
      <c r="B26" s="533" t="s">
        <v>447</v>
      </c>
    </row>
    <row r="27" spans="2:4">
      <c r="B27" s="533" t="s">
        <v>445</v>
      </c>
    </row>
    <row r="28" spans="2:4">
      <c r="B28" t="s">
        <v>450</v>
      </c>
      <c r="D28" s="534">
        <v>86040</v>
      </c>
    </row>
    <row r="29" spans="2:4">
      <c r="B29" t="s">
        <v>433</v>
      </c>
      <c r="D29" s="534">
        <v>600</v>
      </c>
    </row>
    <row r="30" spans="2:4">
      <c r="B30" t="s">
        <v>575</v>
      </c>
      <c r="D30" s="600">
        <v>5000</v>
      </c>
    </row>
    <row r="31" spans="2:4">
      <c r="B31" t="s">
        <v>451</v>
      </c>
      <c r="D31" s="534">
        <v>1680</v>
      </c>
    </row>
    <row r="32" spans="2:4">
      <c r="B32" t="s">
        <v>452</v>
      </c>
      <c r="D32" s="534">
        <v>16800</v>
      </c>
    </row>
    <row r="33" spans="2:4" ht="15">
      <c r="B33" t="s">
        <v>453</v>
      </c>
      <c r="D33" s="540">
        <v>8000</v>
      </c>
    </row>
    <row r="34" spans="2:4">
      <c r="D34" s="539">
        <f>SUM(D28:D33)</f>
        <v>118120</v>
      </c>
    </row>
    <row r="35" spans="2:4">
      <c r="D35" s="539"/>
    </row>
    <row r="36" spans="2:4">
      <c r="B36" s="533" t="s">
        <v>454</v>
      </c>
    </row>
    <row r="37" spans="2:4">
      <c r="B37" t="s">
        <v>455</v>
      </c>
      <c r="D37" s="534">
        <v>787.5</v>
      </c>
    </row>
    <row r="38" spans="2:4">
      <c r="B38" t="s">
        <v>456</v>
      </c>
      <c r="D38" s="534">
        <v>854.29600000000005</v>
      </c>
    </row>
    <row r="39" spans="2:4">
      <c r="B39" t="s">
        <v>457</v>
      </c>
      <c r="D39" s="534">
        <v>460</v>
      </c>
    </row>
    <row r="40" spans="2:4">
      <c r="B40" t="s">
        <v>458</v>
      </c>
      <c r="D40" s="534">
        <v>24.88</v>
      </c>
    </row>
    <row r="41" spans="2:4">
      <c r="B41" t="s">
        <v>459</v>
      </c>
      <c r="D41" s="534">
        <v>2872</v>
      </c>
    </row>
    <row r="42" spans="2:4">
      <c r="B42" t="s">
        <v>460</v>
      </c>
      <c r="D42" s="534">
        <v>1160.0440000000001</v>
      </c>
    </row>
    <row r="43" spans="2:4">
      <c r="B43" t="s">
        <v>461</v>
      </c>
      <c r="D43" s="534">
        <v>140.506</v>
      </c>
    </row>
    <row r="44" spans="2:4">
      <c r="B44" t="s">
        <v>462</v>
      </c>
      <c r="D44" s="534">
        <v>139.506</v>
      </c>
    </row>
    <row r="45" spans="2:4">
      <c r="B45" t="s">
        <v>463</v>
      </c>
      <c r="D45" s="534">
        <v>222.761</v>
      </c>
    </row>
    <row r="46" spans="2:4">
      <c r="B46" t="s">
        <v>464</v>
      </c>
      <c r="D46" s="534">
        <v>1512.058</v>
      </c>
    </row>
    <row r="47" spans="2:4">
      <c r="B47" t="s">
        <v>465</v>
      </c>
      <c r="D47" s="534">
        <v>466.6</v>
      </c>
    </row>
    <row r="48" spans="2:4">
      <c r="B48" t="s">
        <v>466</v>
      </c>
      <c r="D48" s="534">
        <v>66.063999999999993</v>
      </c>
    </row>
    <row r="49" spans="2:4">
      <c r="B49" t="s">
        <v>467</v>
      </c>
      <c r="D49" s="534">
        <v>662.02499999999998</v>
      </c>
    </row>
    <row r="50" spans="2:4">
      <c r="B50" t="s">
        <v>468</v>
      </c>
      <c r="D50" s="534">
        <v>62.337000000000003</v>
      </c>
    </row>
    <row r="51" spans="2:4">
      <c r="B51" t="s">
        <v>469</v>
      </c>
      <c r="D51" s="534">
        <v>201.55600000000001</v>
      </c>
    </row>
    <row r="52" spans="2:4">
      <c r="B52" t="s">
        <v>470</v>
      </c>
      <c r="D52" s="534">
        <v>0</v>
      </c>
    </row>
    <row r="53" spans="2:4">
      <c r="B53" t="s">
        <v>471</v>
      </c>
      <c r="D53" s="534">
        <v>427.5</v>
      </c>
    </row>
    <row r="54" spans="2:4">
      <c r="B54" t="s">
        <v>473</v>
      </c>
      <c r="D54" s="534">
        <v>1509.248</v>
      </c>
    </row>
    <row r="55" spans="2:4">
      <c r="B55" t="s">
        <v>474</v>
      </c>
      <c r="D55" s="534">
        <v>2060.5</v>
      </c>
    </row>
    <row r="56" spans="2:4">
      <c r="B56" t="s">
        <v>475</v>
      </c>
      <c r="D56" s="534">
        <v>0</v>
      </c>
    </row>
    <row r="57" spans="2:4">
      <c r="B57" t="s">
        <v>476</v>
      </c>
      <c r="D57" s="534">
        <v>0</v>
      </c>
    </row>
    <row r="58" spans="2:4">
      <c r="B58" t="s">
        <v>325</v>
      </c>
      <c r="D58" s="534">
        <v>2120</v>
      </c>
    </row>
    <row r="59" spans="2:4">
      <c r="B59" t="s">
        <v>477</v>
      </c>
      <c r="D59" s="534">
        <v>168</v>
      </c>
    </row>
    <row r="60" spans="2:4">
      <c r="B60" t="s">
        <v>478</v>
      </c>
      <c r="D60" s="534">
        <v>5571</v>
      </c>
    </row>
    <row r="61" spans="2:4">
      <c r="B61" t="s">
        <v>479</v>
      </c>
      <c r="D61" s="534">
        <v>626.4</v>
      </c>
    </row>
    <row r="62" spans="2:4">
      <c r="B62" t="s">
        <v>480</v>
      </c>
      <c r="D62" s="534">
        <v>82.35</v>
      </c>
    </row>
    <row r="63" spans="2:4">
      <c r="B63" t="s">
        <v>481</v>
      </c>
      <c r="D63" s="534">
        <v>547.125</v>
      </c>
    </row>
    <row r="64" spans="2:4">
      <c r="B64" t="s">
        <v>482</v>
      </c>
      <c r="D64" s="534">
        <v>2250</v>
      </c>
    </row>
    <row r="65" spans="2:4">
      <c r="B65" t="s">
        <v>483</v>
      </c>
      <c r="D65" s="534">
        <v>532.5</v>
      </c>
    </row>
    <row r="66" spans="2:4" ht="15">
      <c r="B66" t="s">
        <v>484</v>
      </c>
      <c r="D66" s="540">
        <v>566.54399999999998</v>
      </c>
    </row>
    <row r="67" spans="2:4">
      <c r="D67" s="539">
        <f>SUM(D37:D66)</f>
        <v>26093.300000000003</v>
      </c>
    </row>
    <row r="68" spans="2:4">
      <c r="D68" s="541"/>
    </row>
    <row r="69" spans="2:4">
      <c r="B69" t="s">
        <v>485</v>
      </c>
      <c r="D69" s="538">
        <v>9107.66</v>
      </c>
    </row>
    <row r="71" spans="2:4">
      <c r="B71" s="533" t="s">
        <v>486</v>
      </c>
    </row>
    <row r="72" spans="2:4">
      <c r="B72" t="s">
        <v>487</v>
      </c>
      <c r="D72" s="534">
        <v>1113.327</v>
      </c>
    </row>
    <row r="73" spans="2:4">
      <c r="B73" t="s">
        <v>488</v>
      </c>
      <c r="D73" s="534">
        <v>939.47199999999998</v>
      </c>
    </row>
    <row r="74" spans="2:4">
      <c r="B74" t="s">
        <v>489</v>
      </c>
      <c r="D74" s="534">
        <v>1271.4760000000001</v>
      </c>
    </row>
    <row r="75" spans="2:4">
      <c r="B75" t="s">
        <v>490</v>
      </c>
      <c r="D75" s="534">
        <v>2447.1880000000001</v>
      </c>
    </row>
    <row r="76" spans="2:4">
      <c r="B76" t="s">
        <v>491</v>
      </c>
      <c r="D76" s="534">
        <v>103.705</v>
      </c>
    </row>
    <row r="77" spans="2:4">
      <c r="B77" t="s">
        <v>492</v>
      </c>
      <c r="D77" s="534">
        <v>268.83</v>
      </c>
    </row>
    <row r="78" spans="2:4">
      <c r="B78" t="s">
        <v>493</v>
      </c>
      <c r="D78" s="534">
        <v>16.344000000000001</v>
      </c>
    </row>
    <row r="79" spans="2:4">
      <c r="B79" t="s">
        <v>494</v>
      </c>
      <c r="D79" s="534">
        <v>315.09899999999999</v>
      </c>
    </row>
    <row r="80" spans="2:4">
      <c r="B80" t="s">
        <v>495</v>
      </c>
      <c r="D80" s="534">
        <v>3979.895</v>
      </c>
    </row>
    <row r="81" spans="2:4">
      <c r="B81" t="s">
        <v>496</v>
      </c>
      <c r="D81" s="534">
        <v>2414.8580000000002</v>
      </c>
    </row>
    <row r="82" spans="2:4">
      <c r="B82" t="s">
        <v>497</v>
      </c>
      <c r="D82" s="534">
        <v>620.35599999999999</v>
      </c>
    </row>
    <row r="83" spans="2:4">
      <c r="B83" t="s">
        <v>501</v>
      </c>
      <c r="D83" s="534">
        <v>986.44200000000001</v>
      </c>
    </row>
    <row r="84" spans="2:4">
      <c r="B84" t="s">
        <v>498</v>
      </c>
      <c r="D84" s="534">
        <v>65.679000000000002</v>
      </c>
    </row>
    <row r="85" spans="2:4">
      <c r="B85" t="s">
        <v>499</v>
      </c>
      <c r="D85" s="542">
        <v>3362.7550000000001</v>
      </c>
    </row>
    <row r="86" spans="2:4">
      <c r="D86" s="538">
        <f>SUM(D72:D85)</f>
        <v>17905.425999999999</v>
      </c>
    </row>
    <row r="88" spans="2:4">
      <c r="B88" s="533" t="s">
        <v>500</v>
      </c>
    </row>
    <row r="89" spans="2:4">
      <c r="B89" t="s">
        <v>502</v>
      </c>
      <c r="D89" s="534">
        <v>1107.645</v>
      </c>
    </row>
    <row r="90" spans="2:4">
      <c r="B90" t="s">
        <v>503</v>
      </c>
      <c r="D90" s="534">
        <v>17.5</v>
      </c>
    </row>
    <row r="91" spans="2:4">
      <c r="B91" t="s">
        <v>504</v>
      </c>
      <c r="D91" s="534">
        <v>191.25</v>
      </c>
    </row>
    <row r="92" spans="2:4">
      <c r="B92" t="s">
        <v>505</v>
      </c>
      <c r="D92" s="534">
        <v>49</v>
      </c>
    </row>
    <row r="93" spans="2:4" ht="15">
      <c r="B93" t="s">
        <v>506</v>
      </c>
      <c r="D93" s="540">
        <v>165.952</v>
      </c>
    </row>
    <row r="94" spans="2:4">
      <c r="D94" s="538">
        <f>SUM(D89:D93)</f>
        <v>1531.347</v>
      </c>
    </row>
    <row r="96" spans="2:4">
      <c r="B96" s="533" t="s">
        <v>507</v>
      </c>
      <c r="D96" s="538">
        <v>100</v>
      </c>
    </row>
    <row r="98" spans="2:4">
      <c r="B98" s="533" t="s">
        <v>508</v>
      </c>
    </row>
    <row r="99" spans="2:4">
      <c r="B99" t="s">
        <v>509</v>
      </c>
      <c r="D99" s="534">
        <v>0</v>
      </c>
    </row>
    <row r="100" spans="2:4">
      <c r="B100" t="s">
        <v>510</v>
      </c>
      <c r="D100" s="534">
        <v>0</v>
      </c>
    </row>
    <row r="101" spans="2:4">
      <c r="B101" t="s">
        <v>511</v>
      </c>
      <c r="D101" s="534">
        <v>0</v>
      </c>
    </row>
    <row r="102" spans="2:4">
      <c r="B102" t="s">
        <v>512</v>
      </c>
      <c r="D102" s="534">
        <v>188.4</v>
      </c>
    </row>
    <row r="103" spans="2:4">
      <c r="B103" t="s">
        <v>513</v>
      </c>
      <c r="D103" s="534">
        <v>7500</v>
      </c>
    </row>
    <row r="104" spans="2:4">
      <c r="B104" t="s">
        <v>514</v>
      </c>
      <c r="D104" s="534">
        <v>1500</v>
      </c>
    </row>
    <row r="105" spans="2:4">
      <c r="B105" t="s">
        <v>515</v>
      </c>
      <c r="D105" s="534">
        <v>1400</v>
      </c>
    </row>
    <row r="106" spans="2:4">
      <c r="B106" t="s">
        <v>516</v>
      </c>
      <c r="D106" s="534">
        <v>600</v>
      </c>
    </row>
    <row r="107" spans="2:4" ht="15">
      <c r="B107" t="s">
        <v>517</v>
      </c>
      <c r="D107" s="540">
        <v>0</v>
      </c>
    </row>
    <row r="108" spans="2:4">
      <c r="D108" s="539">
        <f>SUM(D99:D107)</f>
        <v>11188.4</v>
      </c>
    </row>
    <row r="111" spans="2:4">
      <c r="B111" s="533" t="s">
        <v>518</v>
      </c>
      <c r="D111" s="539">
        <f>D108+D96+D86+D69+D67+D34+D24+D21+D12</f>
        <v>189332.53000000003</v>
      </c>
    </row>
    <row r="112" spans="2:4">
      <c r="B112" s="533"/>
    </row>
    <row r="113" spans="2:4">
      <c r="B113" s="533" t="s">
        <v>519</v>
      </c>
      <c r="D113" s="538">
        <v>3717.0770000000002</v>
      </c>
    </row>
    <row r="115" spans="2:4">
      <c r="B115" s="533" t="s">
        <v>520</v>
      </c>
      <c r="D115" s="538">
        <f>D113+D111</f>
        <v>193049.60700000002</v>
      </c>
    </row>
    <row r="117" spans="2:4">
      <c r="B117" t="s">
        <v>172</v>
      </c>
      <c r="D117" s="534">
        <v>3791.4189999999999</v>
      </c>
    </row>
    <row r="118" spans="2:4" ht="15">
      <c r="B118" t="s">
        <v>521</v>
      </c>
      <c r="D118" s="540">
        <v>5687.1279999999997</v>
      </c>
    </row>
    <row r="119" spans="2:4">
      <c r="D119" s="539">
        <f>SUM(D117:D118)</f>
        <v>9478.5469999999987</v>
      </c>
    </row>
    <row r="121" spans="2:4">
      <c r="B121" t="s">
        <v>522</v>
      </c>
      <c r="D121" s="538">
        <f>D119+D115</f>
        <v>202528.15400000001</v>
      </c>
    </row>
  </sheetData>
  <pageMargins left="0.75" right="0.75" top="1" bottom="1" header="0.5" footer="0.5"/>
  <pageSetup scale="84" fitToHeight="2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7" sqref="D7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Homestead, Florida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69" t="s">
        <v>391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5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5" thickBot="1">
      <c r="B8" s="207"/>
      <c r="C8" s="207"/>
      <c r="D8" s="504">
        <f>YEAR(Assumptions!H17)</f>
        <v>2001</v>
      </c>
      <c r="E8" s="504">
        <f t="shared" ref="E8:X8" si="2">D8+1</f>
        <v>2002</v>
      </c>
      <c r="F8" s="504">
        <f t="shared" si="2"/>
        <v>2003</v>
      </c>
      <c r="G8" s="504">
        <f t="shared" si="2"/>
        <v>2004</v>
      </c>
      <c r="H8" s="504">
        <f t="shared" si="2"/>
        <v>2005</v>
      </c>
      <c r="I8" s="504">
        <f t="shared" si="2"/>
        <v>2006</v>
      </c>
      <c r="J8" s="504">
        <f t="shared" si="2"/>
        <v>2007</v>
      </c>
      <c r="K8" s="504">
        <f t="shared" si="2"/>
        <v>2008</v>
      </c>
      <c r="L8" s="504">
        <f t="shared" si="2"/>
        <v>2009</v>
      </c>
      <c r="M8" s="504">
        <f t="shared" si="2"/>
        <v>2010</v>
      </c>
      <c r="N8" s="504">
        <f t="shared" si="2"/>
        <v>2011</v>
      </c>
      <c r="O8" s="504">
        <f t="shared" si="2"/>
        <v>2012</v>
      </c>
      <c r="P8" s="504">
        <f t="shared" si="2"/>
        <v>2013</v>
      </c>
      <c r="Q8" s="504">
        <f t="shared" si="2"/>
        <v>2014</v>
      </c>
      <c r="R8" s="504">
        <f t="shared" si="2"/>
        <v>2015</v>
      </c>
      <c r="S8" s="504">
        <f t="shared" si="2"/>
        <v>2016</v>
      </c>
      <c r="T8" s="504">
        <f t="shared" si="2"/>
        <v>2017</v>
      </c>
      <c r="U8" s="504">
        <f t="shared" si="2"/>
        <v>2018</v>
      </c>
      <c r="V8" s="504">
        <f t="shared" si="2"/>
        <v>2019</v>
      </c>
      <c r="W8" s="504">
        <f t="shared" si="2"/>
        <v>2020</v>
      </c>
      <c r="X8" s="504">
        <f t="shared" si="2"/>
        <v>2021</v>
      </c>
      <c r="Y8" s="504">
        <f>X8+1</f>
        <v>2022</v>
      </c>
      <c r="Z8" s="504">
        <f t="shared" ref="Z8:AG8" si="3">Y8+1</f>
        <v>2023</v>
      </c>
      <c r="AA8" s="504">
        <f t="shared" si="3"/>
        <v>2024</v>
      </c>
      <c r="AB8" s="504">
        <f t="shared" si="3"/>
        <v>2025</v>
      </c>
      <c r="AC8" s="504">
        <f t="shared" si="3"/>
        <v>2026</v>
      </c>
      <c r="AD8" s="504">
        <f t="shared" si="3"/>
        <v>2027</v>
      </c>
      <c r="AE8" s="504">
        <f t="shared" si="3"/>
        <v>2028</v>
      </c>
      <c r="AF8" s="504">
        <f t="shared" si="3"/>
        <v>2029</v>
      </c>
      <c r="AG8" s="504">
        <f t="shared" si="3"/>
        <v>2030</v>
      </c>
      <c r="AH8" s="504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1" t="s">
        <v>404</v>
      </c>
      <c r="C10" s="13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351"/>
      <c r="T10" s="351"/>
      <c r="U10" s="351"/>
      <c r="V10" s="351"/>
      <c r="W10" s="351"/>
      <c r="X10" s="351"/>
      <c r="Y10" s="351"/>
      <c r="Z10" s="351"/>
      <c r="AA10" s="351"/>
      <c r="AB10" s="351"/>
      <c r="AC10" s="351"/>
      <c r="AD10" s="351"/>
      <c r="AE10" s="351"/>
      <c r="AF10" s="351"/>
      <c r="AG10" s="351"/>
      <c r="AH10" s="351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2"/>
      <c r="C11" s="13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351"/>
      <c r="T11" s="351"/>
      <c r="U11" s="351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  <c r="AG11" s="351"/>
      <c r="AH11" s="351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295</v>
      </c>
      <c r="C12" s="13"/>
      <c r="D12" s="483">
        <f>Assumptions!$H$54</f>
        <v>6.3986392889354686</v>
      </c>
      <c r="E12" s="483">
        <f>Assumptions!$H$54</f>
        <v>6.3986392889354686</v>
      </c>
      <c r="F12" s="483">
        <f>Assumptions!$H$54</f>
        <v>6.3986392889354686</v>
      </c>
      <c r="G12" s="483">
        <f>Assumptions!$H$54</f>
        <v>6.3986392889354686</v>
      </c>
      <c r="H12" s="483">
        <f>Assumptions!$H$54</f>
        <v>6.3986392889354686</v>
      </c>
      <c r="I12" s="483">
        <f>Assumptions!$H$54</f>
        <v>6.3986392889354686</v>
      </c>
      <c r="J12" s="483">
        <f>Assumptions!$H$54</f>
        <v>6.3986392889354686</v>
      </c>
      <c r="K12" s="483">
        <f>Assumptions!$H$54</f>
        <v>6.3986392889354686</v>
      </c>
      <c r="L12" s="483">
        <f>Assumptions!$H$54</f>
        <v>6.3986392889354686</v>
      </c>
      <c r="M12" s="483">
        <f>Assumptions!$H$54</f>
        <v>6.3986392889354686</v>
      </c>
      <c r="N12" s="483">
        <f>Assumptions!$H$54</f>
        <v>6.3986392889354686</v>
      </c>
      <c r="O12" s="483">
        <f>Assumptions!$H$54</f>
        <v>6.3986392889354686</v>
      </c>
      <c r="P12" s="483">
        <f>Assumptions!$H$54</f>
        <v>6.3986392889354686</v>
      </c>
      <c r="Q12" s="483">
        <f>Assumptions!$H$54</f>
        <v>6.3986392889354686</v>
      </c>
      <c r="R12" s="483">
        <f>Assumptions!$H$54</f>
        <v>6.3986392889354686</v>
      </c>
      <c r="S12" s="483">
        <f>Assumptions!$H$54</f>
        <v>6.3986392889354686</v>
      </c>
      <c r="T12" s="483">
        <f>Assumptions!$H$54</f>
        <v>6.3986392889354686</v>
      </c>
      <c r="U12" s="483">
        <f>Assumptions!$H$54</f>
        <v>6.3986392889354686</v>
      </c>
      <c r="V12" s="483">
        <f>Assumptions!$H$54</f>
        <v>6.3986392889354686</v>
      </c>
      <c r="W12" s="483">
        <f>Assumptions!$H$54</f>
        <v>6.3986392889354686</v>
      </c>
      <c r="X12" s="483">
        <f>Assumptions!$H$54</f>
        <v>6.3986392889354686</v>
      </c>
      <c r="Y12" s="483">
        <f>Assumptions!$H$54</f>
        <v>6.3986392889354686</v>
      </c>
      <c r="Z12" s="483">
        <f>Assumptions!$H$54</f>
        <v>6.3986392889354686</v>
      </c>
      <c r="AA12" s="483">
        <f>Assumptions!$H$54</f>
        <v>6.3986392889354686</v>
      </c>
      <c r="AB12" s="483">
        <f>Assumptions!$H$54</f>
        <v>6.3986392889354686</v>
      </c>
      <c r="AC12" s="483">
        <f>Assumptions!$H$54</f>
        <v>6.3986392889354686</v>
      </c>
      <c r="AD12" s="483">
        <f>Assumptions!$H$54</f>
        <v>6.3986392889354686</v>
      </c>
      <c r="AE12" s="483">
        <f>Assumptions!$H$54</f>
        <v>6.3986392889354686</v>
      </c>
      <c r="AF12" s="483">
        <f>Assumptions!$H$54</f>
        <v>6.3986392889354686</v>
      </c>
      <c r="AG12" s="483">
        <f>Assumptions!$H$54</f>
        <v>6.3986392889354686</v>
      </c>
      <c r="AH12" s="483">
        <f>Assumptions!$H$54</f>
        <v>6.3986392889354686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1"/>
      <c r="E13" s="351"/>
      <c r="F13" s="351"/>
      <c r="G13" s="351"/>
      <c r="H13" s="351"/>
      <c r="I13" s="351"/>
      <c r="J13" s="351"/>
      <c r="K13" s="351"/>
      <c r="L13" s="351"/>
      <c r="M13" s="351"/>
      <c r="N13" s="351"/>
      <c r="O13" s="351"/>
      <c r="P13" s="351"/>
      <c r="Q13" s="351"/>
      <c r="R13" s="351"/>
      <c r="S13" s="351"/>
      <c r="T13" s="351"/>
      <c r="U13" s="351"/>
      <c r="V13" s="351"/>
      <c r="W13" s="351"/>
      <c r="X13" s="351"/>
      <c r="Y13" s="351"/>
      <c r="Z13" s="351"/>
      <c r="AA13" s="351"/>
      <c r="AB13" s="351"/>
      <c r="AC13" s="351"/>
      <c r="AD13" s="351"/>
      <c r="AE13" s="351"/>
      <c r="AF13" s="351"/>
      <c r="AG13" s="351"/>
      <c r="AH13" s="351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304</v>
      </c>
      <c r="C14" s="13"/>
      <c r="D14" s="351"/>
      <c r="E14" s="351"/>
      <c r="F14" s="351"/>
      <c r="G14" s="351"/>
      <c r="H14" s="351"/>
      <c r="I14" s="351"/>
      <c r="J14" s="351"/>
      <c r="K14" s="351"/>
      <c r="L14" s="351"/>
      <c r="M14" s="351"/>
      <c r="N14" s="351"/>
      <c r="O14" s="351"/>
      <c r="P14" s="351"/>
      <c r="Q14" s="351"/>
      <c r="R14" s="351"/>
      <c r="S14" s="351"/>
      <c r="T14" s="351"/>
      <c r="U14" s="351"/>
      <c r="V14" s="351"/>
      <c r="W14" s="351"/>
      <c r="X14" s="351"/>
      <c r="Y14" s="351"/>
      <c r="Z14" s="351"/>
      <c r="AA14" s="351"/>
      <c r="AB14" s="351"/>
      <c r="AC14" s="351"/>
      <c r="AD14" s="351"/>
      <c r="AE14" s="351"/>
      <c r="AF14" s="351"/>
      <c r="AG14" s="351"/>
      <c r="AH14" s="351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233</v>
      </c>
      <c r="C15" s="12"/>
      <c r="D15" s="484">
        <v>5.4933333333333332</v>
      </c>
      <c r="E15" s="484">
        <v>5.6581333333333328</v>
      </c>
      <c r="F15" s="484">
        <v>5.6457561666666676</v>
      </c>
      <c r="G15" s="484">
        <v>5.7213364508333333</v>
      </c>
      <c r="H15" s="484">
        <v>5.6997641986416658</v>
      </c>
      <c r="I15" s="484">
        <v>5.7712527665568336</v>
      </c>
      <c r="J15" s="484">
        <v>5.8419008607681322</v>
      </c>
      <c r="K15" s="484">
        <v>5.9115937131422074</v>
      </c>
      <c r="L15" s="484">
        <v>6.088941524536474</v>
      </c>
      <c r="M15" s="484">
        <v>6.1596167386605574</v>
      </c>
      <c r="N15" s="484">
        <v>6.3444052408203753</v>
      </c>
      <c r="O15" s="484">
        <v>6.4159239908078041</v>
      </c>
      <c r="P15" s="484">
        <v>6.6084017105320383</v>
      </c>
      <c r="Q15" s="484">
        <v>6.680604618110074</v>
      </c>
      <c r="R15" s="484">
        <v>6.7511921386033125</v>
      </c>
      <c r="S15" s="484">
        <v>6.8200023661698452</v>
      </c>
      <c r="T15" s="484">
        <v>6.8868651344656273</v>
      </c>
      <c r="U15" s="484">
        <v>6.951601666729605</v>
      </c>
      <c r="V15" s="484">
        <v>7.014024212308402</v>
      </c>
      <c r="W15" s="484">
        <v>7.0739356691218687</v>
      </c>
      <c r="X15" s="484">
        <v>7.1311291915530655</v>
      </c>
      <c r="Y15" s="484">
        <v>7.1853877832279265</v>
      </c>
      <c r="Z15" s="484">
        <v>7.2396463749027831</v>
      </c>
      <c r="AA15" s="484">
        <v>7.2939049665776494</v>
      </c>
      <c r="AB15" s="484">
        <v>7.3481635582525087</v>
      </c>
      <c r="AC15" s="484">
        <v>7.402422149927367</v>
      </c>
      <c r="AD15" s="484">
        <v>7.4566807416022245</v>
      </c>
      <c r="AE15" s="484">
        <v>7.5109393332770908</v>
      </c>
      <c r="AF15" s="484">
        <v>7.5651979249519501</v>
      </c>
      <c r="AG15" s="484">
        <v>7.6194565166268085</v>
      </c>
      <c r="AH15" s="484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234</v>
      </c>
      <c r="C16" s="12"/>
      <c r="D16" s="484">
        <v>4.3775000000000004</v>
      </c>
      <c r="E16" s="484">
        <v>4.5088249999999999</v>
      </c>
      <c r="F16" s="484">
        <v>4.7351503333333334</v>
      </c>
      <c r="G16" s="484">
        <v>4.8772048433333328</v>
      </c>
      <c r="H16" s="484">
        <v>5.023520988633333</v>
      </c>
      <c r="I16" s="484">
        <v>5.1742266182923329</v>
      </c>
      <c r="J16" s="484">
        <v>5.3294534168411039</v>
      </c>
      <c r="K16" s="484">
        <v>5.2782086724483994</v>
      </c>
      <c r="L16" s="484">
        <v>5.2190927353169778</v>
      </c>
      <c r="M16" s="484">
        <v>5.0396864225404565</v>
      </c>
      <c r="N16" s="484">
        <v>4.9601713700959298</v>
      </c>
      <c r="O16" s="484">
        <v>4.8713496967244438</v>
      </c>
      <c r="P16" s="484">
        <v>4.8951123781718797</v>
      </c>
      <c r="Q16" s="484">
        <v>4.9159166057791106</v>
      </c>
      <c r="R16" s="484">
        <v>4.8037328678523572</v>
      </c>
      <c r="S16" s="484">
        <v>4.8141193172963614</v>
      </c>
      <c r="T16" s="484">
        <v>4.8208055941259396</v>
      </c>
      <c r="U16" s="484">
        <v>4.9654297619497179</v>
      </c>
      <c r="V16" s="484">
        <v>5.114392654808209</v>
      </c>
      <c r="W16" s="484">
        <v>5.117315164896671</v>
      </c>
      <c r="X16" s="484">
        <v>5.27083461984357</v>
      </c>
      <c r="Y16" s="484">
        <v>5.4289596584388775</v>
      </c>
      <c r="Z16" s="484">
        <v>5.5870846970341832</v>
      </c>
      <c r="AA16" s="484">
        <v>5.7452097356294916</v>
      </c>
      <c r="AB16" s="484">
        <v>5.9033347742247999</v>
      </c>
      <c r="AC16" s="484">
        <v>6.0614598128201083</v>
      </c>
      <c r="AD16" s="484">
        <v>6.2195848514154086</v>
      </c>
      <c r="AE16" s="484">
        <v>6.377709890010717</v>
      </c>
      <c r="AF16" s="484">
        <v>6.5358349286060253</v>
      </c>
      <c r="AG16" s="484">
        <v>6.6939599672013337</v>
      </c>
      <c r="AH16" s="484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231</v>
      </c>
      <c r="C17" s="12"/>
      <c r="D17" s="485">
        <v>0</v>
      </c>
      <c r="E17" s="485">
        <v>0</v>
      </c>
      <c r="F17" s="485">
        <v>0</v>
      </c>
      <c r="G17" s="485">
        <v>0</v>
      </c>
      <c r="H17" s="485">
        <v>0</v>
      </c>
      <c r="I17" s="485">
        <v>0</v>
      </c>
      <c r="J17" s="485">
        <v>0</v>
      </c>
      <c r="K17" s="485">
        <v>0</v>
      </c>
      <c r="L17" s="485">
        <v>0</v>
      </c>
      <c r="M17" s="485">
        <v>0</v>
      </c>
      <c r="N17" s="485">
        <v>0</v>
      </c>
      <c r="O17" s="485">
        <v>0</v>
      </c>
      <c r="P17" s="485">
        <v>0</v>
      </c>
      <c r="Q17" s="485">
        <v>0</v>
      </c>
      <c r="R17" s="485">
        <v>0</v>
      </c>
      <c r="S17" s="485">
        <v>0</v>
      </c>
      <c r="T17" s="485">
        <v>0</v>
      </c>
      <c r="U17" s="485">
        <v>0</v>
      </c>
      <c r="V17" s="485">
        <v>0</v>
      </c>
      <c r="W17" s="485">
        <v>0</v>
      </c>
      <c r="X17" s="485">
        <v>0</v>
      </c>
      <c r="Y17" s="485">
        <v>0</v>
      </c>
      <c r="Z17" s="485">
        <v>0</v>
      </c>
      <c r="AA17" s="485">
        <v>0</v>
      </c>
      <c r="AB17" s="485">
        <v>0</v>
      </c>
      <c r="AC17" s="485">
        <v>0</v>
      </c>
      <c r="AD17" s="485">
        <v>0</v>
      </c>
      <c r="AE17" s="485">
        <v>0</v>
      </c>
      <c r="AF17" s="485">
        <v>0</v>
      </c>
      <c r="AG17" s="485">
        <v>0</v>
      </c>
      <c r="AH17" s="485">
        <v>0</v>
      </c>
      <c r="AI17" s="486"/>
      <c r="AJ17" s="486"/>
      <c r="AK17" s="486"/>
      <c r="AL17" s="486"/>
      <c r="AM17" s="486"/>
      <c r="AN17" s="486"/>
      <c r="AO17" s="486"/>
      <c r="AP17" s="486"/>
      <c r="AQ17" s="486"/>
      <c r="AR17" s="486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87">
        <v>0</v>
      </c>
      <c r="E18" s="487">
        <v>0</v>
      </c>
      <c r="F18" s="487">
        <v>0</v>
      </c>
      <c r="G18" s="487">
        <v>0</v>
      </c>
      <c r="H18" s="487">
        <v>0</v>
      </c>
      <c r="I18" s="487">
        <v>0</v>
      </c>
      <c r="J18" s="487">
        <v>0</v>
      </c>
      <c r="K18" s="487">
        <v>0</v>
      </c>
      <c r="L18" s="487">
        <v>0</v>
      </c>
      <c r="M18" s="487">
        <v>0</v>
      </c>
      <c r="N18" s="487">
        <v>0</v>
      </c>
      <c r="O18" s="487">
        <v>0</v>
      </c>
      <c r="P18" s="487">
        <v>0</v>
      </c>
      <c r="Q18" s="487">
        <v>0</v>
      </c>
      <c r="R18" s="487">
        <v>0</v>
      </c>
      <c r="S18" s="487">
        <v>0</v>
      </c>
      <c r="T18" s="487">
        <v>0</v>
      </c>
      <c r="U18" s="487">
        <v>0</v>
      </c>
      <c r="V18" s="487">
        <v>0</v>
      </c>
      <c r="W18" s="487">
        <v>0</v>
      </c>
      <c r="X18" s="487">
        <v>0</v>
      </c>
      <c r="Y18" s="487">
        <v>0</v>
      </c>
      <c r="Z18" s="487">
        <v>0</v>
      </c>
      <c r="AA18" s="487">
        <v>0</v>
      </c>
      <c r="AB18" s="487">
        <v>0</v>
      </c>
      <c r="AC18" s="487">
        <v>0</v>
      </c>
      <c r="AD18" s="487">
        <v>0</v>
      </c>
      <c r="AE18" s="487">
        <v>0</v>
      </c>
      <c r="AF18" s="487">
        <v>0</v>
      </c>
      <c r="AG18" s="487">
        <v>0</v>
      </c>
      <c r="AH18" s="487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88">
        <v>1</v>
      </c>
      <c r="B19" s="13" t="s">
        <v>116</v>
      </c>
      <c r="C19" s="489"/>
      <c r="D19" s="490">
        <f t="shared" ref="D19:AH19" si="4">CHOOSE($A$19,D15,D16,D17,D18)</f>
        <v>5.4933333333333332</v>
      </c>
      <c r="E19" s="490">
        <f t="shared" si="4"/>
        <v>5.6581333333333328</v>
      </c>
      <c r="F19" s="490">
        <f t="shared" si="4"/>
        <v>5.6457561666666676</v>
      </c>
      <c r="G19" s="490">
        <f t="shared" si="4"/>
        <v>5.7213364508333333</v>
      </c>
      <c r="H19" s="490">
        <f t="shared" si="4"/>
        <v>5.6997641986416658</v>
      </c>
      <c r="I19" s="490">
        <f t="shared" si="4"/>
        <v>5.7712527665568336</v>
      </c>
      <c r="J19" s="490">
        <f t="shared" si="4"/>
        <v>5.8419008607681322</v>
      </c>
      <c r="K19" s="490">
        <f t="shared" si="4"/>
        <v>5.9115937131422074</v>
      </c>
      <c r="L19" s="490">
        <f t="shared" si="4"/>
        <v>6.088941524536474</v>
      </c>
      <c r="M19" s="490">
        <f t="shared" si="4"/>
        <v>6.1596167386605574</v>
      </c>
      <c r="N19" s="490">
        <f t="shared" si="4"/>
        <v>6.3444052408203753</v>
      </c>
      <c r="O19" s="490">
        <f t="shared" si="4"/>
        <v>6.4159239908078041</v>
      </c>
      <c r="P19" s="490">
        <f t="shared" si="4"/>
        <v>6.6084017105320383</v>
      </c>
      <c r="Q19" s="490">
        <f t="shared" si="4"/>
        <v>6.680604618110074</v>
      </c>
      <c r="R19" s="490">
        <f t="shared" si="4"/>
        <v>6.7511921386033125</v>
      </c>
      <c r="S19" s="490">
        <f t="shared" si="4"/>
        <v>6.8200023661698452</v>
      </c>
      <c r="T19" s="490">
        <f t="shared" si="4"/>
        <v>6.8868651344656273</v>
      </c>
      <c r="U19" s="490">
        <f t="shared" si="4"/>
        <v>6.951601666729605</v>
      </c>
      <c r="V19" s="490">
        <f t="shared" si="4"/>
        <v>7.014024212308402</v>
      </c>
      <c r="W19" s="490">
        <f t="shared" si="4"/>
        <v>7.0739356691218687</v>
      </c>
      <c r="X19" s="490">
        <f t="shared" si="4"/>
        <v>7.1311291915530655</v>
      </c>
      <c r="Y19" s="490">
        <f t="shared" si="4"/>
        <v>7.1853877832279265</v>
      </c>
      <c r="Z19" s="490">
        <f t="shared" si="4"/>
        <v>7.2396463749027831</v>
      </c>
      <c r="AA19" s="490">
        <f t="shared" si="4"/>
        <v>7.2939049665776494</v>
      </c>
      <c r="AB19" s="490">
        <f t="shared" si="4"/>
        <v>7.3481635582525087</v>
      </c>
      <c r="AC19" s="490">
        <f t="shared" si="4"/>
        <v>7.402422149927367</v>
      </c>
      <c r="AD19" s="490">
        <f t="shared" si="4"/>
        <v>7.4566807416022245</v>
      </c>
      <c r="AE19" s="490">
        <f t="shared" si="4"/>
        <v>7.5109393332770908</v>
      </c>
      <c r="AF19" s="490">
        <f t="shared" si="4"/>
        <v>7.5651979249519501</v>
      </c>
      <c r="AG19" s="490">
        <f t="shared" si="4"/>
        <v>7.6194565166268085</v>
      </c>
      <c r="AH19" s="490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89"/>
      <c r="D20" s="491"/>
      <c r="E20" s="491"/>
      <c r="F20" s="491"/>
      <c r="G20" s="491"/>
      <c r="H20" s="491"/>
      <c r="I20" s="491"/>
      <c r="J20" s="491"/>
      <c r="K20" s="491"/>
      <c r="L20" s="491"/>
      <c r="M20" s="491"/>
      <c r="N20" s="491"/>
      <c r="O20" s="491"/>
      <c r="P20" s="491"/>
      <c r="Q20" s="491"/>
      <c r="R20" s="491"/>
      <c r="S20" s="491"/>
      <c r="T20" s="491"/>
      <c r="U20" s="491"/>
      <c r="V20" s="491"/>
      <c r="W20" s="491"/>
      <c r="X20" s="491"/>
      <c r="Y20" s="492"/>
      <c r="Z20" s="493"/>
      <c r="AA20" s="493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298</v>
      </c>
      <c r="C21" s="489"/>
      <c r="D21" s="494">
        <f>IF(AND(C7&lt;$D$7+Assumptions!$H$53,D7&lt;$D$7+Assumptions!$H$53),D12,IF(AND(C7&lt;$D$7+Assumptions!$H$53,D7&gt;$D$7+Assumptions!$H$53),D12*(1-$D$7)+D19*$D$7,D19))</f>
        <v>6.3986392889354686</v>
      </c>
      <c r="E21" s="495">
        <f>IF(AND(D7&lt;$D$7+Assumptions!$H$53,E7&lt;$D$7+Assumptions!$H$53),E12,IF(AND(D7&lt;$D$7+Assumptions!$H$53,E7&gt;=$D$7+Assumptions!$H$53),E12*(1-$D$7)+E19*$D$7,E19))</f>
        <v>6.3986392889354686</v>
      </c>
      <c r="F21" s="495">
        <f>IF(AND(E7&lt;$D$7+Assumptions!$H$53,F7&lt;$D$7+Assumptions!$H$53),F12,IF(AND(E7&lt;$D$7+Assumptions!$H$53,F7&gt;=$D$7+Assumptions!$H$53),F12*(1-$D$7)+F19*$D$7,F19))</f>
        <v>6.3986392889354686</v>
      </c>
      <c r="G21" s="495">
        <f>IF(AND(F7&lt;$D$7+Assumptions!$H$53,G7&lt;$D$7+Assumptions!$H$53),G12,IF(AND(F7&lt;$D$7+Assumptions!$H$53,G7&gt;=$D$7+Assumptions!$H$53),G12*(1-$D$7)+G19*$D$7,G19))</f>
        <v>6.3986392889354686</v>
      </c>
      <c r="H21" s="495">
        <f>IF(AND(G7&lt;$D$7+Assumptions!$H$53,H7&lt;$D$7+Assumptions!$H$53),H12,IF(AND(G7&lt;$D$7+Assumptions!$H$53,H7&gt;=$D$7+Assumptions!$H$53),H12*(1-$D$7)+H19*$D$7,H19))</f>
        <v>6.3986392889354686</v>
      </c>
      <c r="I21" s="495">
        <f>IF(AND(H7&lt;$D$7+Assumptions!$H$53,I7&lt;$D$7+Assumptions!$H$53),I12,IF(AND(H7&lt;$D$7+Assumptions!$H$53,I7&gt;=$D$7+Assumptions!$H$53),I12*(1-$D$7)+I19*$D$7,I19))</f>
        <v>6.3986392889354686</v>
      </c>
      <c r="J21" s="495">
        <f>IF(AND(I7&lt;$D$7+Assumptions!$H$53,J7&lt;$D$7+Assumptions!$H$53),J12,IF(AND(I7&lt;$D$7+Assumptions!$H$53,J7&gt;=$D$7+Assumptions!$H$53),J12*(1-$D$7)+J19*$D$7,J19))</f>
        <v>6.3986392889354686</v>
      </c>
      <c r="K21" s="495">
        <f>IF(AND(J7&lt;$D$7+Assumptions!$H$53,K7&lt;$D$7+Assumptions!$H$53),K12,IF(AND(J7&lt;$D$7+Assumptions!$H$53,K7&gt;=$D$7+Assumptions!$H$53),K12*(1-$D$7)+K19*$D$7,K19))</f>
        <v>6.3986392889354686</v>
      </c>
      <c r="L21" s="495">
        <f>IF(AND(K7&lt;$D$7+Assumptions!$H$53,L7&lt;$D$7+Assumptions!$H$53),L12,IF(AND(K7&lt;$D$7+Assumptions!$H$53,L7&gt;=$D$7+Assumptions!$H$53),L12*(1-$D$7)+L19*$D$7,L19))</f>
        <v>6.3986392889354686</v>
      </c>
      <c r="M21" s="495">
        <f>IF(AND(L7&lt;$D$7+Assumptions!$H$53,M7&lt;$D$7+Assumptions!$H$53),M12,IF(AND(L7&lt;$D$7+Assumptions!$H$53,M7&gt;=$D$7+Assumptions!$H$53),M12*(1-$D$7)+M19*$D$7,M19))</f>
        <v>6.3986392889354686</v>
      </c>
      <c r="N21" s="495">
        <f>IF(AND(M7&lt;$D$7+Assumptions!$H$53,N7&lt;$D$7+Assumptions!$H$53),N12,IF(AND(M7&lt;$D$7+Assumptions!$H$53,N7&gt;=$D$7+Assumptions!$H$53),N12*(1-$D$7)+N19*$D$7,N19))</f>
        <v>6.3986392889354686</v>
      </c>
      <c r="O21" s="495">
        <f>IF(AND(N7&lt;$D$7+Assumptions!$H$53,O7&lt;$D$7+Assumptions!$H$53),O12,IF(AND(N7&lt;$D$7+Assumptions!$H$53,O7&gt;=$D$7+Assumptions!$H$53),O12*(1-$D$7)+O19*$D$7,O19))</f>
        <v>6.3986392889354686</v>
      </c>
      <c r="P21" s="495">
        <f>IF(AND(O7&lt;$D$7+Assumptions!$H$53,P7&lt;$D$7+Assumptions!$H$53),P12,IF(AND(O7&lt;$D$7+Assumptions!$H$53,P7&gt;=$D$7+Assumptions!$H$53),P12*(1-$D$7)+P19*$D$7,P19))</f>
        <v>6.3986392889354686</v>
      </c>
      <c r="Q21" s="495">
        <f>IF(AND(P7&lt;$D$7+Assumptions!$H$53,Q7&lt;$D$7+Assumptions!$H$53),Q12,IF(AND(P7&lt;$D$7+Assumptions!$H$53,Q7&gt;=$D$7+Assumptions!$H$53),Q12*(1-$D$7)+Q19*$D$7,Q19))</f>
        <v>6.3986392889354686</v>
      </c>
      <c r="R21" s="496">
        <f>IF(AND(Q7&lt;$D$7+Assumptions!$H$53,R7&lt;$D$7+Assumptions!$H$53),R12,IF(AND(Q7&lt;$D$7+Assumptions!$H$53,R7&gt;=$D$7+Assumptions!$H$53),R12*(1-$D$7)+R19*$D$7,R19))</f>
        <v>6.3986392889354686</v>
      </c>
      <c r="S21" s="494">
        <f>IF(AND(R7&lt;$D$7+Assumptions!$H$53,S7&lt;$D$7+Assumptions!$H$53),S12,IF(AND(R7&lt;$D$7+Assumptions!$H$53,S7&gt;=$D$7+Assumptions!$H$53),S12*(1-$D$7)+S19*$D$7,S19))</f>
        <v>6.3986392889354686</v>
      </c>
      <c r="T21" s="495">
        <f>IF(AND(S7&lt;$D$7+Assumptions!$H$53,T7&lt;$D$7+Assumptions!$H$53),T12,IF(AND(S7&lt;$D$7+Assumptions!$H$53,T7&gt;=$D$7+Assumptions!$H$53),T12*(1-$D$7)+T19*$D$7,T19))</f>
        <v>6.3986392889354686</v>
      </c>
      <c r="U21" s="495">
        <f>IF(AND(T7&lt;$D$7+Assumptions!$H$53,U7&lt;$D$7+Assumptions!$H$53),U12,IF(AND(T7&lt;$D$7+Assumptions!$H$53,U7&gt;=$D$7+Assumptions!$H$53),U12*(1-$D$7)+U19*$D$7,U19))</f>
        <v>6.3986392889354686</v>
      </c>
      <c r="V21" s="495">
        <f>IF(AND(U7&lt;$D$7+Assumptions!$H$53,V7&lt;$D$7+Assumptions!$H$53),V12,IF(AND(U7&lt;$D$7+Assumptions!$H$53,V7&gt;=$D$7+Assumptions!$H$53),V12*(1-$D$7)+V19*$D$7,V19))</f>
        <v>6.3986392889354686</v>
      </c>
      <c r="W21" s="495">
        <f>IF(AND(V7&lt;$D$7+Assumptions!$H$53,W7&lt;$D$7+Assumptions!$H$53),W12,IF(AND(V7&lt;$D$7+Assumptions!$H$53,W7&gt;=$D$7+Assumptions!$H$53),W12*(1-$D$7)+W19*$D$7,W19))</f>
        <v>6.3986392889354686</v>
      </c>
      <c r="X21" s="495">
        <f>IF(AND(W7&lt;$D$7+Assumptions!$H$53,X7&lt;$D$7+Assumptions!$H$53),X12,IF(AND(W7&lt;$D$7+Assumptions!$H$53,X7&gt;=$D$7+Assumptions!$H$53),X12*(1-$D$7)+X19*$D$7,X19))</f>
        <v>6.3986392889354686</v>
      </c>
      <c r="Y21" s="495">
        <f>IF(AND(X7&lt;$D$7+Assumptions!$H$53,Y7&lt;$D$7+Assumptions!$H$53),Y12,IF(AND(X7&lt;$D$7+Assumptions!$H$53,Y7&gt;=$D$7+Assumptions!$H$53),Y12*(1-$D$7)+Y19*$D$7,Y19))</f>
        <v>6.3986392889354686</v>
      </c>
      <c r="Z21" s="495">
        <f>IF(AND(Y7&lt;$D$7+Assumptions!$H$53,Z7&lt;$D$7+Assumptions!$H$53),Z12,IF(AND(Y7&lt;$D$7+Assumptions!$H$53,Z7&gt;=$D$7+Assumptions!$H$53),Z12*(1-$D$7)+Z19*$D$7,Z19))</f>
        <v>6.3986392889354686</v>
      </c>
      <c r="AA21" s="495">
        <f>IF(AND(Z7&lt;$D$7+Assumptions!$H$53,AA7&lt;$D$7+Assumptions!$H$53),AA12,IF(AND(Z7&lt;$D$7+Assumptions!$H$53,AA7&gt;=$D$7+Assumptions!$H$53),AA12*(1-$D$7)+AA19*$D$7,AA19))</f>
        <v>6.3986392889354686</v>
      </c>
      <c r="AB21" s="495">
        <f>IF(AND(AA7&lt;$D$7+Assumptions!$H$53,AB7&lt;$D$7+Assumptions!$H$53),AB12,IF(AND(AA7&lt;$D$7+Assumptions!$H$53,AB7&gt;=$D$7+Assumptions!$H$53),AB12*(1-$D$7)+AB19*$D$7,AB19))</f>
        <v>6.3986392889354686</v>
      </c>
      <c r="AC21" s="495">
        <f>IF(AND(AB7&lt;$D$7+Assumptions!$H$53,AC7&lt;$D$7+Assumptions!$H$53),AC12,IF(AND(AB7&lt;$D$7+Assumptions!$H$53,AC7&gt;=$D$7+Assumptions!$H$53),AC12*(1-$D$7)+AC19*$D$7,AC19))</f>
        <v>6.3986392889354686</v>
      </c>
      <c r="AD21" s="495">
        <f>IF(AND(AC7&lt;$D$7+Assumptions!$H$53,AD7&lt;$D$7+Assumptions!$H$53),AD12,IF(AND(AC7&lt;$D$7+Assumptions!$H$53,AD7&gt;=$D$7+Assumptions!$H$53),AD12*(1-$D$7)+AD19*$D$7,AD19))</f>
        <v>6.3986392889354686</v>
      </c>
      <c r="AE21" s="495">
        <f>IF(AND(AD7&lt;$D$7+Assumptions!$H$53,AE7&lt;$D$7+Assumptions!$H$53),AE12,IF(AND(AD7&lt;$D$7+Assumptions!$H$53,AE7&gt;=$D$7+Assumptions!$H$53),AE12*(1-$D$7)+AE19*$D$7,AE19))</f>
        <v>6.3986392889354686</v>
      </c>
      <c r="AF21" s="495">
        <f>IF(AND(AE7&lt;$D$7+Assumptions!$H$53,AF7&lt;$D$7+Assumptions!$H$53),AF12,IF(AND(AE7&lt;$D$7+Assumptions!$H$53,AF7&gt;=$D$7+Assumptions!$H$53),AF12*(1-$D$7)+AF19*$D$7,AF19))</f>
        <v>6.3986392889354686</v>
      </c>
      <c r="AG21" s="495">
        <f>IF(AND(AF7&lt;$D$7+Assumptions!$H$53,AG7&lt;$D$7+Assumptions!$H$53),AG12,IF(AND(AF7&lt;$D$7+Assumptions!$H$53,AG7&gt;=$D$7+Assumptions!$H$53),AG12*(1-$D$7)+AG19*$D$7,AG19))</f>
        <v>6.3986392889354686</v>
      </c>
      <c r="AH21" s="496">
        <f>IF(AND(AG7&lt;$D$7+Assumptions!$H$53,AH7&lt;$D$7+Assumptions!$H$53),AH12,IF(AND(AG7&lt;$D$7+Assumptions!$H$53,AH7&gt;=$D$7+Assumptions!$H$53),AH12*(1-$D$7)+AH19*$D$7,AH19))</f>
        <v>7.2486898351796007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89"/>
      <c r="D22" s="491"/>
      <c r="E22" s="491"/>
      <c r="F22" s="491"/>
      <c r="G22" s="491"/>
      <c r="H22" s="491"/>
      <c r="I22" s="491"/>
      <c r="J22" s="491"/>
      <c r="K22" s="491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491"/>
      <c r="Y22" s="492"/>
      <c r="Z22" s="493"/>
      <c r="AA22" s="493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8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1" t="s">
        <v>381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429</v>
      </c>
      <c r="C25" s="497"/>
      <c r="D25" s="485">
        <f>'Fuel Oil Curve'!G4</f>
        <v>4.3843820861678013</v>
      </c>
      <c r="E25" s="485">
        <f>'Fuel Oil Curve'!G5</f>
        <v>4.2499291383219955</v>
      </c>
      <c r="F25" s="485">
        <f>'Fuel Oil Curve'!G6</f>
        <v>4.1938350340136061</v>
      </c>
      <c r="G25" s="485">
        <f>'Fuel Oil Curve'!G7</f>
        <v>4.1759070294784584</v>
      </c>
      <c r="H25" s="485">
        <f>'Fuel Oil Curve'!G8</f>
        <v>4.1729875283446711</v>
      </c>
      <c r="I25" s="485">
        <f>'Fuel Oil Curve'!G9</f>
        <v>4.2383503401360549</v>
      </c>
      <c r="J25" s="485">
        <f>'Fuel Oil Curve'!G10</f>
        <v>4.340476190476191</v>
      </c>
      <c r="K25" s="485">
        <f>'Fuel Oil Curve'!G11</f>
        <v>4.3489370748299327</v>
      </c>
      <c r="L25" s="485">
        <f>'Fuel Oil Curve'!G12</f>
        <v>4.3489370748299327</v>
      </c>
      <c r="M25" s="485">
        <f>'Fuel Oil Curve'!G13</f>
        <v>4.3489370748299327</v>
      </c>
      <c r="N25" s="485">
        <f>'Fuel Oil Curve'!G14</f>
        <v>4.3489370748299327</v>
      </c>
      <c r="O25" s="485">
        <f>'Fuel Oil Curve'!G15</f>
        <v>4.3489370748299327</v>
      </c>
      <c r="P25" s="485">
        <f>'Fuel Oil Curve'!G16</f>
        <v>4.3489370748299327</v>
      </c>
      <c r="Q25" s="485">
        <f>'Fuel Oil Curve'!G17</f>
        <v>4.3489370748299327</v>
      </c>
      <c r="R25" s="485">
        <f>'Fuel Oil Curve'!G18</f>
        <v>4.3489370748299327</v>
      </c>
      <c r="S25" s="485">
        <f>'Fuel Oil Curve'!G19</f>
        <v>4.3489370748299327</v>
      </c>
      <c r="T25" s="485">
        <f>'Fuel Oil Curve'!G20</f>
        <v>4.3499999999999996</v>
      </c>
      <c r="U25" s="485">
        <f>'Fuel Oil Curve'!G21</f>
        <v>4.3499999999999996</v>
      </c>
      <c r="V25" s="485">
        <f>'Fuel Oil Curve'!G22</f>
        <v>4.3499999999999996</v>
      </c>
      <c r="W25" s="485">
        <f>'Fuel Oil Curve'!G23</f>
        <v>4.3499999999999996</v>
      </c>
      <c r="X25" s="485">
        <f>'Fuel Oil Curve'!G24</f>
        <v>4.3499999999999996</v>
      </c>
      <c r="Y25" s="485">
        <v>2.2000000000000002</v>
      </c>
      <c r="Z25" s="485">
        <v>2.2000000000000002</v>
      </c>
      <c r="AA25" s="485">
        <v>2.2000000000000002</v>
      </c>
      <c r="AB25" s="485">
        <v>2.2000000000000002</v>
      </c>
      <c r="AC25" s="485">
        <v>2.2000000000000002</v>
      </c>
      <c r="AD25" s="485">
        <v>2.2000000000000002</v>
      </c>
      <c r="AE25" s="485">
        <v>2.2000000000000002</v>
      </c>
      <c r="AF25" s="485">
        <v>2.2000000000000002</v>
      </c>
      <c r="AG25" s="485">
        <v>2.2000000000000002</v>
      </c>
      <c r="AH25" s="485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228</v>
      </c>
      <c r="C26" s="13"/>
      <c r="D26" s="485">
        <v>2.5</v>
      </c>
      <c r="E26" s="485">
        <v>2.5</v>
      </c>
      <c r="F26" s="485">
        <v>2.5</v>
      </c>
      <c r="G26" s="485">
        <v>2.5</v>
      </c>
      <c r="H26" s="485">
        <v>2.5</v>
      </c>
      <c r="I26" s="485">
        <v>2.5</v>
      </c>
      <c r="J26" s="485">
        <v>2.5</v>
      </c>
      <c r="K26" s="485">
        <v>2.5</v>
      </c>
      <c r="L26" s="485">
        <v>2.5</v>
      </c>
      <c r="M26" s="485">
        <v>2.5</v>
      </c>
      <c r="N26" s="485">
        <v>2.5</v>
      </c>
      <c r="O26" s="485">
        <v>2.5</v>
      </c>
      <c r="P26" s="485">
        <v>2.5</v>
      </c>
      <c r="Q26" s="485">
        <v>2.5</v>
      </c>
      <c r="R26" s="485">
        <v>2.5</v>
      </c>
      <c r="S26" s="485">
        <v>2.5</v>
      </c>
      <c r="T26" s="485">
        <v>2.5</v>
      </c>
      <c r="U26" s="485">
        <v>2.5</v>
      </c>
      <c r="V26" s="485">
        <v>2.5</v>
      </c>
      <c r="W26" s="485">
        <v>2.5</v>
      </c>
      <c r="X26" s="485">
        <v>2.5</v>
      </c>
      <c r="Y26" s="485">
        <v>2.5</v>
      </c>
      <c r="Z26" s="485">
        <v>2.5</v>
      </c>
      <c r="AA26" s="485">
        <v>2.5</v>
      </c>
      <c r="AB26" s="485">
        <v>2.5</v>
      </c>
      <c r="AC26" s="485">
        <v>2.5</v>
      </c>
      <c r="AD26" s="485">
        <v>2.5</v>
      </c>
      <c r="AE26" s="485">
        <v>2.5</v>
      </c>
      <c r="AF26" s="485">
        <v>2.5</v>
      </c>
      <c r="AG26" s="485">
        <v>2.5</v>
      </c>
      <c r="AH26" s="485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498">
        <v>1.5</v>
      </c>
      <c r="E27" s="498">
        <v>1.5</v>
      </c>
      <c r="F27" s="498">
        <v>1.5</v>
      </c>
      <c r="G27" s="498">
        <v>1.5</v>
      </c>
      <c r="H27" s="498">
        <v>1.5</v>
      </c>
      <c r="I27" s="498">
        <v>1.5</v>
      </c>
      <c r="J27" s="498">
        <v>1.5</v>
      </c>
      <c r="K27" s="498">
        <v>1.5</v>
      </c>
      <c r="L27" s="498">
        <v>1.5</v>
      </c>
      <c r="M27" s="498">
        <v>1.5</v>
      </c>
      <c r="N27" s="498">
        <v>1.5</v>
      </c>
      <c r="O27" s="498">
        <v>1.5</v>
      </c>
      <c r="P27" s="498">
        <v>1.5</v>
      </c>
      <c r="Q27" s="498">
        <v>1.5</v>
      </c>
      <c r="R27" s="498">
        <v>1.5</v>
      </c>
      <c r="S27" s="498">
        <v>1.5</v>
      </c>
      <c r="T27" s="498">
        <v>1.5</v>
      </c>
      <c r="U27" s="498">
        <v>1.5</v>
      </c>
      <c r="V27" s="498">
        <v>1.5</v>
      </c>
      <c r="W27" s="498">
        <v>1.5</v>
      </c>
      <c r="X27" s="498">
        <v>1.5</v>
      </c>
      <c r="Y27" s="498">
        <v>1.5</v>
      </c>
      <c r="Z27" s="498">
        <v>1.5</v>
      </c>
      <c r="AA27" s="498">
        <v>1.5</v>
      </c>
      <c r="AB27" s="498">
        <v>1.5</v>
      </c>
      <c r="AC27" s="498">
        <v>1.5</v>
      </c>
      <c r="AD27" s="498">
        <v>1.5</v>
      </c>
      <c r="AE27" s="498">
        <v>1.5</v>
      </c>
      <c r="AF27" s="498">
        <v>1.5</v>
      </c>
      <c r="AG27" s="498">
        <v>1.5</v>
      </c>
      <c r="AH27" s="498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229</v>
      </c>
      <c r="C28" s="13"/>
      <c r="D28" s="499">
        <f>Assumptions!$N$54</f>
        <v>1.4999999999999999E-2</v>
      </c>
      <c r="E28" s="499">
        <f>Assumptions!$N$54</f>
        <v>1.4999999999999999E-2</v>
      </c>
      <c r="F28" s="499">
        <f>Assumptions!$N$54</f>
        <v>1.4999999999999999E-2</v>
      </c>
      <c r="G28" s="499">
        <f>Assumptions!$N$54</f>
        <v>1.4999999999999999E-2</v>
      </c>
      <c r="H28" s="499">
        <f>Assumptions!$N$54</f>
        <v>1.4999999999999999E-2</v>
      </c>
      <c r="I28" s="499">
        <f>Assumptions!$N$54</f>
        <v>1.4999999999999999E-2</v>
      </c>
      <c r="J28" s="499">
        <f>Assumptions!$N$54</f>
        <v>1.4999999999999999E-2</v>
      </c>
      <c r="K28" s="499">
        <f>Assumptions!$N$54</f>
        <v>1.4999999999999999E-2</v>
      </c>
      <c r="L28" s="499">
        <f>Assumptions!$N$54</f>
        <v>1.4999999999999999E-2</v>
      </c>
      <c r="M28" s="499">
        <f>Assumptions!$N$54</f>
        <v>1.4999999999999999E-2</v>
      </c>
      <c r="N28" s="499">
        <f>Assumptions!$N$54</f>
        <v>1.4999999999999999E-2</v>
      </c>
      <c r="O28" s="499">
        <f>Assumptions!$N$54</f>
        <v>1.4999999999999999E-2</v>
      </c>
      <c r="P28" s="499">
        <f>Assumptions!$N$54</f>
        <v>1.4999999999999999E-2</v>
      </c>
      <c r="Q28" s="499">
        <f>Assumptions!$N$54</f>
        <v>1.4999999999999999E-2</v>
      </c>
      <c r="R28" s="499">
        <f>Assumptions!$N$54</f>
        <v>1.4999999999999999E-2</v>
      </c>
      <c r="S28" s="499">
        <f>Assumptions!$N$54</f>
        <v>1.4999999999999999E-2</v>
      </c>
      <c r="T28" s="499">
        <f>Assumptions!$N$54</f>
        <v>1.4999999999999999E-2</v>
      </c>
      <c r="U28" s="499">
        <f>Assumptions!$N$54</f>
        <v>1.4999999999999999E-2</v>
      </c>
      <c r="V28" s="499">
        <f>Assumptions!$N$54</f>
        <v>1.4999999999999999E-2</v>
      </c>
      <c r="W28" s="499">
        <f>Assumptions!$N$54</f>
        <v>1.4999999999999999E-2</v>
      </c>
      <c r="X28" s="499">
        <f>Assumptions!$N$54</f>
        <v>1.4999999999999999E-2</v>
      </c>
      <c r="Y28" s="499">
        <f>Assumptions!$N$54</f>
        <v>1.4999999999999999E-2</v>
      </c>
      <c r="Z28" s="499">
        <f>Assumptions!$N$54</f>
        <v>1.4999999999999999E-2</v>
      </c>
      <c r="AA28" s="499">
        <f>Assumptions!$N$54</f>
        <v>1.4999999999999999E-2</v>
      </c>
      <c r="AB28" s="499">
        <f>Assumptions!$N$54</f>
        <v>1.4999999999999999E-2</v>
      </c>
      <c r="AC28" s="499">
        <f>Assumptions!$N$54</f>
        <v>1.4999999999999999E-2</v>
      </c>
      <c r="AD28" s="499">
        <f>Assumptions!$N$54</f>
        <v>1.4999999999999999E-2</v>
      </c>
      <c r="AE28" s="499">
        <f>Assumptions!$N$54</f>
        <v>1.4999999999999999E-2</v>
      </c>
      <c r="AF28" s="499">
        <f>Assumptions!$N$54</f>
        <v>1.4999999999999999E-2</v>
      </c>
      <c r="AG28" s="499">
        <f>Assumptions!$N$54</f>
        <v>1.4999999999999999E-2</v>
      </c>
      <c r="AH28" s="499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88">
        <f>Assumptions!U13</f>
        <v>1</v>
      </c>
      <c r="B30" s="43" t="s">
        <v>226</v>
      </c>
      <c r="C30" s="12"/>
      <c r="D30" s="500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4.4501478174603175</v>
      </c>
      <c r="E30" s="501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4.3136780753968251</v>
      </c>
      <c r="F30" s="501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4.2567425595238095</v>
      </c>
      <c r="G30" s="501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4.2385456349206345</v>
      </c>
      <c r="H30" s="501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4.2355823412698408</v>
      </c>
      <c r="I30" s="501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4.301925595238095</v>
      </c>
      <c r="J30" s="501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4.4055833333333334</v>
      </c>
      <c r="K30" s="501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4.414171130952381</v>
      </c>
      <c r="L30" s="501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4.414171130952381</v>
      </c>
      <c r="M30" s="501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4.414171130952381</v>
      </c>
      <c r="N30" s="501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4.414171130952381</v>
      </c>
      <c r="O30" s="501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4.414171130952381</v>
      </c>
      <c r="P30" s="501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4.414171130952381</v>
      </c>
      <c r="Q30" s="501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4.414171130952381</v>
      </c>
      <c r="R30" s="502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4.414171130952381</v>
      </c>
      <c r="S30" s="500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4.414171130952381</v>
      </c>
      <c r="T30" s="501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4.4152499999999995</v>
      </c>
      <c r="U30" s="501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4.4152499999999995</v>
      </c>
      <c r="V30" s="501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4.4152499999999995</v>
      </c>
      <c r="W30" s="501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4.4152499999999995</v>
      </c>
      <c r="X30" s="501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4.4152499999999995</v>
      </c>
      <c r="Y30" s="501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1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1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1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1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1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1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1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1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02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1" t="s">
        <v>382</v>
      </c>
      <c r="C33" s="13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  <c r="AD33" s="351"/>
      <c r="AE33" s="351"/>
      <c r="AF33" s="351"/>
      <c r="AG33" s="351"/>
      <c r="AH33" s="351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227</v>
      </c>
      <c r="C34" s="12"/>
      <c r="D34" s="486">
        <f>D44*'Price_Technical Assumption'!D30/1000</f>
        <v>37.56147265327381</v>
      </c>
      <c r="E34" s="486">
        <f>E44*'Price_Technical Assumption'!E30/1000</f>
        <v>36.409599795386903</v>
      </c>
      <c r="F34" s="486">
        <f>F44*'Price_Technical Assumption'!F30/1000</f>
        <v>35.92903557366072</v>
      </c>
      <c r="G34" s="486">
        <f>G44*'Price_Technical Assumption'!G30/1000</f>
        <v>35.775444431547612</v>
      </c>
      <c r="H34" s="486">
        <f>H44*'Price_Technical Assumption'!H30/1000</f>
        <v>35.750432751488091</v>
      </c>
      <c r="I34" s="486">
        <f>I44*'Price_Technical Assumption'!I30/1000</f>
        <v>36.310402986607144</v>
      </c>
      <c r="J34" s="486">
        <f>J44*'Price_Technical Assumption'!J30/1000</f>
        <v>37.185326125000003</v>
      </c>
      <c r="K34" s="486">
        <f>K44*'Price_Technical Assumption'!K30/1000</f>
        <v>37.257811430803571</v>
      </c>
      <c r="L34" s="486">
        <f>L44*'Price_Technical Assumption'!L30/1000</f>
        <v>37.257811430803571</v>
      </c>
      <c r="M34" s="486">
        <f>M44*'Price_Technical Assumption'!M30/1000</f>
        <v>37.257811430803571</v>
      </c>
      <c r="N34" s="486">
        <f>N44*'Price_Technical Assumption'!N30/1000</f>
        <v>37.257811430803571</v>
      </c>
      <c r="O34" s="486">
        <f>O44*'Price_Technical Assumption'!O30/1000</f>
        <v>37.257811430803571</v>
      </c>
      <c r="P34" s="486">
        <f>P44*'Price_Technical Assumption'!P30/1000</f>
        <v>37.257811430803571</v>
      </c>
      <c r="Q34" s="486">
        <f>Q44*'Price_Technical Assumption'!Q30/1000</f>
        <v>37.257811430803571</v>
      </c>
      <c r="R34" s="486">
        <f>R44*'Price_Technical Assumption'!R30/1000</f>
        <v>37.257811430803571</v>
      </c>
      <c r="S34" s="486">
        <f>S44*'Price_Technical Assumption'!S30/1000</f>
        <v>37.257811430803571</v>
      </c>
      <c r="T34" s="486">
        <f>T44*'Price_Technical Assumption'!T30/1000</f>
        <v>37.266917624999998</v>
      </c>
      <c r="U34" s="486">
        <f>U44*'Price_Technical Assumption'!U30/1000</f>
        <v>37.266917624999998</v>
      </c>
      <c r="V34" s="486">
        <f>V44*'Price_Technical Assumption'!V30/1000</f>
        <v>37.266917624999998</v>
      </c>
      <c r="W34" s="486">
        <f>W44*'Price_Technical Assumption'!W30/1000</f>
        <v>37.266917624999998</v>
      </c>
      <c r="X34" s="486">
        <f>X44*'Price_Technical Assumption'!X30/1000</f>
        <v>37.266917624999998</v>
      </c>
      <c r="Y34" s="486">
        <f>Y44*'Price_Technical Assumption'!Y30/1000</f>
        <v>18.8476365</v>
      </c>
      <c r="Z34" s="486">
        <f>Z44*'Price_Technical Assumption'!Z30/1000</f>
        <v>18.8476365</v>
      </c>
      <c r="AA34" s="486">
        <f>AA44*'Price_Technical Assumption'!AA30/1000</f>
        <v>18.8476365</v>
      </c>
      <c r="AB34" s="486">
        <f>AB44*'Price_Technical Assumption'!AB30/1000</f>
        <v>18.8476365</v>
      </c>
      <c r="AC34" s="486">
        <f>AC44*'Price_Technical Assumption'!AC30/1000</f>
        <v>18.8476365</v>
      </c>
      <c r="AD34" s="486">
        <f>AD44*'Price_Technical Assumption'!AD30/1000</f>
        <v>18.8476365</v>
      </c>
      <c r="AE34" s="486">
        <f>AE44*'Price_Technical Assumption'!AE30/1000</f>
        <v>18.8476365</v>
      </c>
      <c r="AF34" s="486">
        <f>AF44*'Price_Technical Assumption'!AF30/1000</f>
        <v>18.8476365</v>
      </c>
      <c r="AG34" s="486">
        <f>AG44*'Price_Technical Assumption'!AG30/1000</f>
        <v>18.8476365</v>
      </c>
      <c r="AH34" s="486">
        <f>AH44*'Price_Technical Assumption'!AH30/1000</f>
        <v>18.8476365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401</v>
      </c>
      <c r="C35" s="466"/>
      <c r="D35" s="503">
        <f>Assumptions!$H$60*(1+Assumptions!$N$11)^(D7)</f>
        <v>0.72551512405193475</v>
      </c>
      <c r="E35" s="503">
        <f>Assumptions!$H$60*(1+Assumptions!$N$11)^(E7)</f>
        <v>0.74002542653297343</v>
      </c>
      <c r="F35" s="503">
        <f>Assumptions!$H$60*(1+Assumptions!$N$11)^(F7)</f>
        <v>0.75482593506363294</v>
      </c>
      <c r="G35" s="503">
        <f>Assumptions!$H$60*(1+Assumptions!$N$11)^(G7)</f>
        <v>0.76992245376490565</v>
      </c>
      <c r="H35" s="503">
        <f>Assumptions!$H$60*(1+Assumptions!$N$11)^(H7)</f>
        <v>0.78532090284020362</v>
      </c>
      <c r="I35" s="503">
        <f>Assumptions!$H$60*(1+Assumptions!$N$11)^(I7)</f>
        <v>0.80102732089700779</v>
      </c>
      <c r="J35" s="503">
        <f>Assumptions!$H$60*(1+Assumptions!$N$11)^(J7)</f>
        <v>0.81704786731494794</v>
      </c>
      <c r="K35" s="503">
        <f>Assumptions!$H$60*(1+Assumptions!$N$11)^(K7)</f>
        <v>0.83338882466124697</v>
      </c>
      <c r="L35" s="503">
        <f>Assumptions!$H$60*(1+Assumptions!$N$11)^(L7)</f>
        <v>0.8500566011544719</v>
      </c>
      <c r="M35" s="503">
        <f>Assumptions!$H$60*(1+Assumptions!$N$11)^(M7)</f>
        <v>0.8670577331775613</v>
      </c>
      <c r="N35" s="503">
        <f>Assumptions!$H$60*(1+Assumptions!$N$11)^(N7)</f>
        <v>0.88439888784111254</v>
      </c>
      <c r="O35" s="503">
        <f>Assumptions!$H$60*(1+Assumptions!$N$11)^(O7)</f>
        <v>0.90208686559793494</v>
      </c>
      <c r="P35" s="503">
        <f>Assumptions!$H$60*(1+Assumptions!$N$11)^(P7)</f>
        <v>0.92012860290989351</v>
      </c>
      <c r="Q35" s="503">
        <f>Assumptions!$H$60*(1+Assumptions!$N$11)^(Q7)</f>
        <v>0.93853117496809146</v>
      </c>
      <c r="R35" s="503">
        <f>Assumptions!$H$60*(1+Assumptions!$N$11)^(R7)</f>
        <v>0.95730179846745334</v>
      </c>
      <c r="S35" s="503">
        <f>Assumptions!$H$60*(1+Assumptions!$N$11)^(S7)</f>
        <v>0.97644783443680228</v>
      </c>
      <c r="T35" s="503">
        <f>Assumptions!$H$60*(1+Assumptions!$N$11)^(T7)</f>
        <v>0.99597679112553839</v>
      </c>
      <c r="U35" s="503">
        <f>Assumptions!$H$60*(1+Assumptions!$N$11)^(U7)</f>
        <v>1.0158963269480492</v>
      </c>
      <c r="V35" s="503">
        <f>Assumptions!$H$60*(1+Assumptions!$N$11)^(V7)</f>
        <v>1.03621425348701</v>
      </c>
      <c r="W35" s="503">
        <f>Assumptions!$H$60*(1+Assumptions!$N$11)^(W7)</f>
        <v>1.0569385385567505</v>
      </c>
      <c r="X35" s="503">
        <f>Assumptions!$H$60*(1+Assumptions!$N$11)^(X7)</f>
        <v>1.0780773093278855</v>
      </c>
      <c r="Y35" s="503">
        <f>Assumptions!$H$60*(1+Assumptions!$N$11)^(Y7)</f>
        <v>1.0996388555144432</v>
      </c>
      <c r="Z35" s="503">
        <f>Assumptions!$H$60*(1+Assumptions!$N$11)^(Z7)</f>
        <v>1.121631632624732</v>
      </c>
      <c r="AA35" s="503">
        <f>Assumptions!$H$60*(1+Assumptions!$N$11)^(AA7)</f>
        <v>1.1440642652772266</v>
      </c>
      <c r="AB35" s="503">
        <f>Assumptions!$H$60*(1+Assumptions!$N$11)^(AB7)</f>
        <v>1.1669455505827713</v>
      </c>
      <c r="AC35" s="503">
        <f>Assumptions!$H$60*(1+Assumptions!$N$11)^(AC7)</f>
        <v>1.1902844615944268</v>
      </c>
      <c r="AD35" s="503">
        <f>Assumptions!$H$60*(1+Assumptions!$N$11)^(AD7)</f>
        <v>1.2140901508263153</v>
      </c>
      <c r="AE35" s="503">
        <f>Assumptions!$H$60*(1+Assumptions!$N$11)^(AE7)</f>
        <v>1.2383719538428417</v>
      </c>
      <c r="AF35" s="503">
        <f>Assumptions!$H$60*(1+Assumptions!$N$11)^(AF7)</f>
        <v>1.2631393929196986</v>
      </c>
      <c r="AG35" s="503">
        <f>Assumptions!$H$60*(1+Assumptions!$N$11)^(AG7)</f>
        <v>1.2884021807780923</v>
      </c>
      <c r="AH35" s="503">
        <f>Assumptions!$H$60*(1+Assumptions!$N$11)^(AH7)</f>
        <v>1.3141702243936542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410</v>
      </c>
      <c r="C36" s="12"/>
      <c r="D36" s="483">
        <f>SUM(D34:D35)</f>
        <v>38.286987777325749</v>
      </c>
      <c r="E36" s="483">
        <f t="shared" ref="E36:AH36" si="5">SUM(E34:E35)</f>
        <v>37.149625221919877</v>
      </c>
      <c r="F36" s="483">
        <f t="shared" si="5"/>
        <v>36.683861508724355</v>
      </c>
      <c r="G36" s="483">
        <f t="shared" si="5"/>
        <v>36.545366885312518</v>
      </c>
      <c r="H36" s="483">
        <f t="shared" si="5"/>
        <v>36.535753654328296</v>
      </c>
      <c r="I36" s="483">
        <f t="shared" si="5"/>
        <v>37.111430307504151</v>
      </c>
      <c r="J36" s="483">
        <f t="shared" si="5"/>
        <v>38.002373992314951</v>
      </c>
      <c r="K36" s="483">
        <f t="shared" si="5"/>
        <v>38.09120025546482</v>
      </c>
      <c r="L36" s="483">
        <f t="shared" si="5"/>
        <v>38.107868031958041</v>
      </c>
      <c r="M36" s="483">
        <f t="shared" si="5"/>
        <v>38.124869163981131</v>
      </c>
      <c r="N36" s="483">
        <f t="shared" si="5"/>
        <v>38.142210318644686</v>
      </c>
      <c r="O36" s="483">
        <f t="shared" si="5"/>
        <v>38.159898296401508</v>
      </c>
      <c r="P36" s="483">
        <f t="shared" si="5"/>
        <v>38.177940033713462</v>
      </c>
      <c r="Q36" s="483">
        <f t="shared" si="5"/>
        <v>38.196342605771662</v>
      </c>
      <c r="R36" s="483">
        <f t="shared" si="5"/>
        <v>38.215113229271026</v>
      </c>
      <c r="S36" s="483">
        <f t="shared" si="5"/>
        <v>38.234259265240375</v>
      </c>
      <c r="T36" s="483">
        <f t="shared" si="5"/>
        <v>38.262894416125533</v>
      </c>
      <c r="U36" s="483">
        <f t="shared" si="5"/>
        <v>38.28281395194805</v>
      </c>
      <c r="V36" s="483">
        <f t="shared" si="5"/>
        <v>38.303131878487008</v>
      </c>
      <c r="W36" s="483">
        <f t="shared" si="5"/>
        <v>38.323856163556748</v>
      </c>
      <c r="X36" s="483">
        <f t="shared" si="5"/>
        <v>38.344994934327886</v>
      </c>
      <c r="Y36" s="483">
        <f t="shared" si="5"/>
        <v>19.947275355514442</v>
      </c>
      <c r="Z36" s="483">
        <f t="shared" si="5"/>
        <v>19.969268132624734</v>
      </c>
      <c r="AA36" s="483">
        <f t="shared" si="5"/>
        <v>19.991700765277226</v>
      </c>
      <c r="AB36" s="483">
        <f t="shared" si="5"/>
        <v>20.014582050582771</v>
      </c>
      <c r="AC36" s="483">
        <f t="shared" si="5"/>
        <v>20.037920961594427</v>
      </c>
      <c r="AD36" s="483">
        <f t="shared" si="5"/>
        <v>20.061726650826316</v>
      </c>
      <c r="AE36" s="483">
        <f t="shared" si="5"/>
        <v>20.08600845384284</v>
      </c>
      <c r="AF36" s="483">
        <f t="shared" si="5"/>
        <v>20.110775892919698</v>
      </c>
      <c r="AG36" s="483">
        <f t="shared" si="5"/>
        <v>20.136038680778093</v>
      </c>
      <c r="AH36" s="483">
        <f t="shared" si="5"/>
        <v>20.161806724393653</v>
      </c>
      <c r="AI36" s="486"/>
      <c r="AJ36" s="486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86"/>
      <c r="E37" s="486"/>
      <c r="F37" s="486"/>
      <c r="G37" s="486"/>
      <c r="H37" s="486"/>
      <c r="I37" s="486"/>
      <c r="J37" s="486"/>
      <c r="K37" s="486"/>
      <c r="L37" s="486"/>
      <c r="M37" s="486"/>
      <c r="N37" s="486"/>
      <c r="O37" s="486"/>
      <c r="P37" s="486"/>
      <c r="Q37" s="486"/>
      <c r="R37" s="486"/>
      <c r="S37" s="486"/>
      <c r="T37" s="486"/>
      <c r="U37" s="486"/>
      <c r="V37" s="486"/>
      <c r="W37" s="486"/>
      <c r="X37" s="486"/>
      <c r="Y37" s="486"/>
      <c r="Z37" s="486"/>
      <c r="AA37" s="486"/>
      <c r="AB37" s="486"/>
      <c r="AC37" s="486"/>
      <c r="AD37" s="486"/>
      <c r="AE37" s="486"/>
      <c r="AF37" s="486"/>
      <c r="AG37" s="486"/>
      <c r="AH37" s="486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88" t="str">
        <f>Assumptions!W14</f>
        <v>Pass-through</v>
      </c>
      <c r="B38" s="43" t="s">
        <v>235</v>
      </c>
      <c r="C38" s="12"/>
      <c r="D38" s="500">
        <f>IF($A$38="Pass-through",D36,D34)</f>
        <v>38.286987777325749</v>
      </c>
      <c r="E38" s="501">
        <f t="shared" ref="E38:AH38" si="6">IF($A$38="Pass-through",E36,E34)</f>
        <v>37.149625221919877</v>
      </c>
      <c r="F38" s="501">
        <f t="shared" si="6"/>
        <v>36.683861508724355</v>
      </c>
      <c r="G38" s="501">
        <f t="shared" si="6"/>
        <v>36.545366885312518</v>
      </c>
      <c r="H38" s="501">
        <f t="shared" si="6"/>
        <v>36.535753654328296</v>
      </c>
      <c r="I38" s="501">
        <f t="shared" si="6"/>
        <v>37.111430307504151</v>
      </c>
      <c r="J38" s="501">
        <f t="shared" si="6"/>
        <v>38.002373992314951</v>
      </c>
      <c r="K38" s="501">
        <f t="shared" si="6"/>
        <v>38.09120025546482</v>
      </c>
      <c r="L38" s="501">
        <f t="shared" si="6"/>
        <v>38.107868031958041</v>
      </c>
      <c r="M38" s="501">
        <f t="shared" si="6"/>
        <v>38.124869163981131</v>
      </c>
      <c r="N38" s="501">
        <f t="shared" si="6"/>
        <v>38.142210318644686</v>
      </c>
      <c r="O38" s="501">
        <f t="shared" si="6"/>
        <v>38.159898296401508</v>
      </c>
      <c r="P38" s="501">
        <f t="shared" si="6"/>
        <v>38.177940033713462</v>
      </c>
      <c r="Q38" s="501">
        <f t="shared" si="6"/>
        <v>38.196342605771662</v>
      </c>
      <c r="R38" s="502">
        <f t="shared" si="6"/>
        <v>38.215113229271026</v>
      </c>
      <c r="S38" s="500">
        <f t="shared" si="6"/>
        <v>38.234259265240375</v>
      </c>
      <c r="T38" s="501">
        <f t="shared" si="6"/>
        <v>38.262894416125533</v>
      </c>
      <c r="U38" s="501">
        <f t="shared" si="6"/>
        <v>38.28281395194805</v>
      </c>
      <c r="V38" s="501">
        <f t="shared" si="6"/>
        <v>38.303131878487008</v>
      </c>
      <c r="W38" s="501">
        <f t="shared" si="6"/>
        <v>38.323856163556748</v>
      </c>
      <c r="X38" s="501">
        <f t="shared" si="6"/>
        <v>38.344994934327886</v>
      </c>
      <c r="Y38" s="501">
        <f t="shared" si="6"/>
        <v>19.947275355514442</v>
      </c>
      <c r="Z38" s="501">
        <f t="shared" si="6"/>
        <v>19.969268132624734</v>
      </c>
      <c r="AA38" s="501">
        <f t="shared" si="6"/>
        <v>19.991700765277226</v>
      </c>
      <c r="AB38" s="501">
        <f t="shared" si="6"/>
        <v>20.014582050582771</v>
      </c>
      <c r="AC38" s="501">
        <f t="shared" si="6"/>
        <v>20.037920961594427</v>
      </c>
      <c r="AD38" s="501">
        <f t="shared" si="6"/>
        <v>20.061726650826316</v>
      </c>
      <c r="AE38" s="501">
        <f t="shared" si="6"/>
        <v>20.08600845384284</v>
      </c>
      <c r="AF38" s="501">
        <f t="shared" si="6"/>
        <v>20.110775892919698</v>
      </c>
      <c r="AG38" s="501">
        <f t="shared" si="6"/>
        <v>20.136038680778093</v>
      </c>
      <c r="AH38" s="502">
        <f t="shared" si="6"/>
        <v>20.161806724393653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1" t="s">
        <v>392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393</v>
      </c>
      <c r="C42" s="12"/>
      <c r="D42" s="65">
        <f>Assumptions!$J$14</f>
        <v>8275</v>
      </c>
      <c r="E42" s="65">
        <f>Assumptions!$J$14</f>
        <v>8275</v>
      </c>
      <c r="F42" s="65">
        <f>Assumptions!$J$14</f>
        <v>8275</v>
      </c>
      <c r="G42" s="65">
        <f>Assumptions!$J$14</f>
        <v>8275</v>
      </c>
      <c r="H42" s="65">
        <f>Assumptions!$J$14</f>
        <v>8275</v>
      </c>
      <c r="I42" s="65">
        <f>Assumptions!$J$14</f>
        <v>8275</v>
      </c>
      <c r="J42" s="65">
        <f>Assumptions!$J$14</f>
        <v>8275</v>
      </c>
      <c r="K42" s="65">
        <f>Assumptions!$J$14</f>
        <v>8275</v>
      </c>
      <c r="L42" s="65">
        <f>Assumptions!$J$14</f>
        <v>8275</v>
      </c>
      <c r="M42" s="65">
        <f>Assumptions!$J$14</f>
        <v>8275</v>
      </c>
      <c r="N42" s="65">
        <f>Assumptions!$J$14</f>
        <v>8275</v>
      </c>
      <c r="O42" s="65">
        <f>Assumptions!$J$14</f>
        <v>8275</v>
      </c>
      <c r="P42" s="65">
        <f>Assumptions!$J$14</f>
        <v>8275</v>
      </c>
      <c r="Q42" s="65">
        <f>Assumptions!$J$14</f>
        <v>8275</v>
      </c>
      <c r="R42" s="65">
        <f>Assumptions!$J$14</f>
        <v>8275</v>
      </c>
      <c r="S42" s="65">
        <f>Assumptions!$J$14</f>
        <v>8275</v>
      </c>
      <c r="T42" s="65">
        <f>Assumptions!$J$14</f>
        <v>8275</v>
      </c>
      <c r="U42" s="65">
        <f>Assumptions!$J$14</f>
        <v>8275</v>
      </c>
      <c r="V42" s="65">
        <f>Assumptions!$J$14</f>
        <v>8275</v>
      </c>
      <c r="W42" s="65">
        <f>Assumptions!$J$14</f>
        <v>8275</v>
      </c>
      <c r="X42" s="65">
        <f>Assumptions!$J$14</f>
        <v>8275</v>
      </c>
      <c r="Y42" s="65">
        <f>Assumptions!$J$14</f>
        <v>8275</v>
      </c>
      <c r="Z42" s="65">
        <f>Assumptions!$J$14</f>
        <v>8275</v>
      </c>
      <c r="AA42" s="65">
        <f>Assumptions!$J$14</f>
        <v>8275</v>
      </c>
      <c r="AB42" s="65">
        <f>Assumptions!$J$14</f>
        <v>8275</v>
      </c>
      <c r="AC42" s="65">
        <f>Assumptions!$J$14</f>
        <v>8275</v>
      </c>
      <c r="AD42" s="65">
        <f>Assumptions!$J$14</f>
        <v>8275</v>
      </c>
      <c r="AE42" s="65">
        <f>Assumptions!$J$14</f>
        <v>8275</v>
      </c>
      <c r="AF42" s="65">
        <f>Assumptions!$J$14</f>
        <v>8275</v>
      </c>
      <c r="AG42" s="65">
        <f>Assumptions!$J$14</f>
        <v>8275</v>
      </c>
      <c r="AH42" s="65">
        <f>Assumptions!$J$14</f>
        <v>8275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395</v>
      </c>
      <c r="C43" s="12"/>
      <c r="D43" s="508">
        <v>0.02</v>
      </c>
      <c r="E43" s="508">
        <v>0.02</v>
      </c>
      <c r="F43" s="508">
        <v>0.02</v>
      </c>
      <c r="G43" s="508">
        <v>0.02</v>
      </c>
      <c r="H43" s="508">
        <v>0.02</v>
      </c>
      <c r="I43" s="508">
        <v>0.02</v>
      </c>
      <c r="J43" s="508">
        <v>0.02</v>
      </c>
      <c r="K43" s="508">
        <v>0.02</v>
      </c>
      <c r="L43" s="508">
        <v>0.02</v>
      </c>
      <c r="M43" s="508">
        <v>0.02</v>
      </c>
      <c r="N43" s="508">
        <v>0.02</v>
      </c>
      <c r="O43" s="508">
        <v>0.02</v>
      </c>
      <c r="P43" s="508">
        <v>0.02</v>
      </c>
      <c r="Q43" s="508">
        <v>0.02</v>
      </c>
      <c r="R43" s="508">
        <v>0.02</v>
      </c>
      <c r="S43" s="508">
        <v>0.02</v>
      </c>
      <c r="T43" s="508">
        <v>0.02</v>
      </c>
      <c r="U43" s="508">
        <v>0.02</v>
      </c>
      <c r="V43" s="508">
        <v>0.02</v>
      </c>
      <c r="W43" s="508">
        <v>0.02</v>
      </c>
      <c r="X43" s="508">
        <v>0.02</v>
      </c>
      <c r="Y43" s="508">
        <v>0.02</v>
      </c>
      <c r="Z43" s="508">
        <v>0.02</v>
      </c>
      <c r="AA43" s="508">
        <v>0.02</v>
      </c>
      <c r="AB43" s="508">
        <v>0.02</v>
      </c>
      <c r="AC43" s="508">
        <v>0.02</v>
      </c>
      <c r="AD43" s="508">
        <v>0.02</v>
      </c>
      <c r="AE43" s="508">
        <v>0.02</v>
      </c>
      <c r="AF43" s="508">
        <v>0.02</v>
      </c>
      <c r="AG43" s="508">
        <v>0.02</v>
      </c>
      <c r="AH43" s="508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394</v>
      </c>
      <c r="C44" s="12"/>
      <c r="D44" s="505">
        <f>D42*(1+D43)</f>
        <v>8440.5</v>
      </c>
      <c r="E44" s="506">
        <f t="shared" ref="E44:AH44" si="7">E42*(1+E43)</f>
        <v>8440.5</v>
      </c>
      <c r="F44" s="506">
        <f t="shared" si="7"/>
        <v>8440.5</v>
      </c>
      <c r="G44" s="506">
        <f t="shared" si="7"/>
        <v>8440.5</v>
      </c>
      <c r="H44" s="506">
        <f t="shared" si="7"/>
        <v>8440.5</v>
      </c>
      <c r="I44" s="506">
        <f t="shared" si="7"/>
        <v>8440.5</v>
      </c>
      <c r="J44" s="506">
        <f t="shared" si="7"/>
        <v>8440.5</v>
      </c>
      <c r="K44" s="506">
        <f t="shared" si="7"/>
        <v>8440.5</v>
      </c>
      <c r="L44" s="506">
        <f t="shared" si="7"/>
        <v>8440.5</v>
      </c>
      <c r="M44" s="506">
        <f t="shared" si="7"/>
        <v>8440.5</v>
      </c>
      <c r="N44" s="506">
        <f t="shared" si="7"/>
        <v>8440.5</v>
      </c>
      <c r="O44" s="506">
        <f t="shared" si="7"/>
        <v>8440.5</v>
      </c>
      <c r="P44" s="506">
        <f t="shared" si="7"/>
        <v>8440.5</v>
      </c>
      <c r="Q44" s="506">
        <f t="shared" si="7"/>
        <v>8440.5</v>
      </c>
      <c r="R44" s="507">
        <f t="shared" si="7"/>
        <v>8440.5</v>
      </c>
      <c r="S44" s="505">
        <f t="shared" si="7"/>
        <v>8440.5</v>
      </c>
      <c r="T44" s="506">
        <f t="shared" si="7"/>
        <v>8440.5</v>
      </c>
      <c r="U44" s="506">
        <f t="shared" si="7"/>
        <v>8440.5</v>
      </c>
      <c r="V44" s="506">
        <f t="shared" si="7"/>
        <v>8440.5</v>
      </c>
      <c r="W44" s="506">
        <f t="shared" si="7"/>
        <v>8440.5</v>
      </c>
      <c r="X44" s="506">
        <f t="shared" si="7"/>
        <v>8440.5</v>
      </c>
      <c r="Y44" s="506">
        <f t="shared" si="7"/>
        <v>8440.5</v>
      </c>
      <c r="Z44" s="506">
        <f t="shared" si="7"/>
        <v>8440.5</v>
      </c>
      <c r="AA44" s="506">
        <f t="shared" si="7"/>
        <v>8440.5</v>
      </c>
      <c r="AB44" s="506">
        <f t="shared" si="7"/>
        <v>8440.5</v>
      </c>
      <c r="AC44" s="506">
        <f t="shared" si="7"/>
        <v>8440.5</v>
      </c>
      <c r="AD44" s="506">
        <f t="shared" si="7"/>
        <v>8440.5</v>
      </c>
      <c r="AE44" s="506">
        <f t="shared" si="7"/>
        <v>8440.5</v>
      </c>
      <c r="AF44" s="506">
        <f t="shared" si="7"/>
        <v>8440.5</v>
      </c>
      <c r="AG44" s="506">
        <f t="shared" si="7"/>
        <v>8440.5</v>
      </c>
      <c r="AH44" s="507">
        <f t="shared" si="7"/>
        <v>8440.5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9"/>
  <sheetViews>
    <sheetView workbookViewId="0">
      <selection activeCell="L22" sqref="L22"/>
    </sheetView>
  </sheetViews>
  <sheetFormatPr defaultRowHeight="12.75"/>
  <cols>
    <col min="1" max="1" width="9.140625" style="532"/>
    <col min="4" max="4" width="13.140625" customWidth="1"/>
  </cols>
  <sheetData>
    <row r="2" spans="1:7">
      <c r="B2" t="s">
        <v>427</v>
      </c>
      <c r="D2" s="523" t="s">
        <v>430</v>
      </c>
    </row>
    <row r="3" spans="1:7">
      <c r="A3" s="532" t="s">
        <v>127</v>
      </c>
      <c r="B3" t="s">
        <v>428</v>
      </c>
      <c r="F3" s="525" t="s">
        <v>23</v>
      </c>
      <c r="G3" s="525" t="s">
        <v>423</v>
      </c>
    </row>
    <row r="4" spans="1:7">
      <c r="A4" s="532">
        <v>37257</v>
      </c>
      <c r="B4">
        <v>4.5994897959183678</v>
      </c>
      <c r="F4">
        <v>2002</v>
      </c>
      <c r="G4" s="524">
        <f>D15</f>
        <v>4.3843820861678013</v>
      </c>
    </row>
    <row r="5" spans="1:7">
      <c r="A5" s="532">
        <v>37288</v>
      </c>
      <c r="B5">
        <v>4.4852040816326531</v>
      </c>
      <c r="F5">
        <v>2003</v>
      </c>
      <c r="G5" s="524">
        <f>D27</f>
        <v>4.2499291383219955</v>
      </c>
    </row>
    <row r="6" spans="1:7">
      <c r="A6" s="532">
        <v>37316</v>
      </c>
      <c r="B6">
        <v>4.353741496598639</v>
      </c>
      <c r="F6">
        <v>2004</v>
      </c>
      <c r="G6" s="524">
        <f>D39</f>
        <v>4.1938350340136061</v>
      </c>
    </row>
    <row r="7" spans="1:7">
      <c r="A7" s="532">
        <v>37347</v>
      </c>
      <c r="B7">
        <v>4.3272108843537413</v>
      </c>
      <c r="F7">
        <v>2005</v>
      </c>
      <c r="G7" s="524">
        <f>D51</f>
        <v>4.1759070294784584</v>
      </c>
    </row>
    <row r="8" spans="1:7">
      <c r="A8" s="532">
        <v>37377</v>
      </c>
      <c r="B8">
        <v>4.2715986394557834</v>
      </c>
      <c r="F8">
        <v>2006</v>
      </c>
      <c r="G8" s="524">
        <f>D63</f>
        <v>4.1729875283446711</v>
      </c>
    </row>
    <row r="9" spans="1:7">
      <c r="A9" s="532">
        <v>37408</v>
      </c>
      <c r="B9">
        <v>4.2794217687074836</v>
      </c>
      <c r="F9">
        <v>2007</v>
      </c>
      <c r="G9" s="524">
        <f>D75</f>
        <v>4.2383503401360549</v>
      </c>
    </row>
    <row r="10" spans="1:7">
      <c r="A10" s="532">
        <v>37438</v>
      </c>
      <c r="B10">
        <v>4.3008503401360549</v>
      </c>
      <c r="F10">
        <v>2008</v>
      </c>
      <c r="G10" s="524">
        <f>D87</f>
        <v>4.340476190476191</v>
      </c>
    </row>
    <row r="11" spans="1:7">
      <c r="A11" s="532">
        <v>37469</v>
      </c>
      <c r="B11">
        <v>4.3515306122448987</v>
      </c>
      <c r="F11">
        <v>2009</v>
      </c>
      <c r="G11" s="524">
        <f>D99</f>
        <v>4.3489370748299327</v>
      </c>
    </row>
    <row r="12" spans="1:7">
      <c r="A12" s="532">
        <v>37500</v>
      </c>
      <c r="B12">
        <v>4.4030612244897958</v>
      </c>
      <c r="F12">
        <v>2010</v>
      </c>
      <c r="G12" s="524">
        <f>D111</f>
        <v>4.3489370748299327</v>
      </c>
    </row>
    <row r="13" spans="1:7">
      <c r="A13" s="532">
        <v>37530</v>
      </c>
      <c r="B13">
        <v>4.3602040816326531</v>
      </c>
      <c r="F13">
        <v>2011</v>
      </c>
      <c r="G13" s="524">
        <f>D123</f>
        <v>4.3489370748299327</v>
      </c>
    </row>
    <row r="14" spans="1:7">
      <c r="A14" s="532">
        <v>37561</v>
      </c>
      <c r="B14">
        <v>4.4193877551020408</v>
      </c>
      <c r="F14">
        <v>2012</v>
      </c>
      <c r="G14" s="524">
        <f>D135</f>
        <v>4.3489370748299327</v>
      </c>
    </row>
    <row r="15" spans="1:7">
      <c r="A15" s="532">
        <v>37591</v>
      </c>
      <c r="B15">
        <v>4.4608843537414966</v>
      </c>
      <c r="D15" s="534">
        <f>AVERAGE(B4:B15)</f>
        <v>4.3843820861678013</v>
      </c>
      <c r="F15">
        <v>2013</v>
      </c>
      <c r="G15" s="524">
        <f>D147</f>
        <v>4.3489370748299327</v>
      </c>
    </row>
    <row r="16" spans="1:7">
      <c r="A16" s="532">
        <v>37622</v>
      </c>
      <c r="B16">
        <v>4.4158163265306118</v>
      </c>
      <c r="F16">
        <v>2014</v>
      </c>
      <c r="G16" s="524">
        <f>D159</f>
        <v>4.3489370748299327</v>
      </c>
    </row>
    <row r="17" spans="1:7">
      <c r="A17" s="532">
        <v>37653</v>
      </c>
      <c r="B17">
        <v>4.3137755102040813</v>
      </c>
      <c r="F17">
        <v>2015</v>
      </c>
      <c r="G17" s="524">
        <f>D171</f>
        <v>4.3489370748299327</v>
      </c>
    </row>
    <row r="18" spans="1:7">
      <c r="A18" s="532">
        <v>37681</v>
      </c>
      <c r="B18">
        <v>4.1923469387755095</v>
      </c>
      <c r="F18">
        <v>2016</v>
      </c>
      <c r="G18" s="524">
        <f>D183</f>
        <v>4.3489370748299327</v>
      </c>
    </row>
    <row r="19" spans="1:7">
      <c r="A19" s="532">
        <v>37712</v>
      </c>
      <c r="B19">
        <v>4.1744897959183671</v>
      </c>
      <c r="F19">
        <v>2017</v>
      </c>
      <c r="G19" s="524">
        <f>D195</f>
        <v>4.3489370748299327</v>
      </c>
    </row>
    <row r="20" spans="1:7">
      <c r="A20" s="532">
        <v>37742</v>
      </c>
      <c r="B20">
        <v>4.1301020408163263</v>
      </c>
      <c r="F20">
        <v>2018</v>
      </c>
      <c r="G20" s="524">
        <v>4.3499999999999996</v>
      </c>
    </row>
    <row r="21" spans="1:7">
      <c r="A21" s="532">
        <v>37773</v>
      </c>
      <c r="B21">
        <v>4.1459183673469386</v>
      </c>
      <c r="F21">
        <v>2019</v>
      </c>
      <c r="G21" s="524">
        <v>4.3499999999999996</v>
      </c>
    </row>
    <row r="22" spans="1:7">
      <c r="A22" s="532">
        <v>37803</v>
      </c>
      <c r="B22">
        <v>4.1744897959183671</v>
      </c>
      <c r="F22">
        <v>2020</v>
      </c>
      <c r="G22" s="524">
        <v>4.3499999999999996</v>
      </c>
    </row>
    <row r="23" spans="1:7">
      <c r="A23" s="532">
        <v>37834</v>
      </c>
      <c r="B23">
        <v>4.2329931972789119</v>
      </c>
      <c r="F23">
        <v>2021</v>
      </c>
      <c r="G23" s="524">
        <v>4.3499999999999996</v>
      </c>
    </row>
    <row r="24" spans="1:7">
      <c r="A24" s="532">
        <v>37865</v>
      </c>
      <c r="B24">
        <v>4.2887755102040819</v>
      </c>
      <c r="F24">
        <v>2022</v>
      </c>
      <c r="G24" s="524">
        <v>4.3499999999999996</v>
      </c>
    </row>
    <row r="25" spans="1:7">
      <c r="A25" s="532">
        <v>37895</v>
      </c>
      <c r="B25">
        <v>4.2508503401360542</v>
      </c>
      <c r="G25" s="524"/>
    </row>
    <row r="26" spans="1:7">
      <c r="A26" s="532">
        <v>37926</v>
      </c>
      <c r="B26">
        <v>4.3158163265306122</v>
      </c>
      <c r="G26" s="524"/>
    </row>
    <row r="27" spans="1:7">
      <c r="A27" s="532">
        <v>37956</v>
      </c>
      <c r="B27">
        <v>4.3637755102040821</v>
      </c>
      <c r="D27" s="534">
        <f>AVERAGE(B16:B27)</f>
        <v>4.2499291383219955</v>
      </c>
      <c r="G27" s="524"/>
    </row>
    <row r="28" spans="1:7">
      <c r="A28" s="532">
        <v>37987</v>
      </c>
      <c r="B28">
        <v>4.3258503401360544</v>
      </c>
      <c r="G28" s="524"/>
    </row>
    <row r="29" spans="1:7">
      <c r="A29" s="532">
        <v>38018</v>
      </c>
      <c r="B29">
        <v>4.2294217687074838</v>
      </c>
      <c r="G29" s="524"/>
    </row>
    <row r="30" spans="1:7">
      <c r="A30" s="532">
        <v>38047</v>
      </c>
      <c r="B30">
        <v>4.1144557823129251</v>
      </c>
    </row>
    <row r="31" spans="1:7">
      <c r="A31" s="532">
        <v>38078</v>
      </c>
      <c r="B31">
        <v>4.1030612244897959</v>
      </c>
    </row>
    <row r="32" spans="1:7">
      <c r="A32" s="532">
        <v>38108</v>
      </c>
      <c r="B32">
        <v>4.0651360544217692</v>
      </c>
    </row>
    <row r="33" spans="1:4">
      <c r="A33" s="532">
        <v>38139</v>
      </c>
      <c r="B33">
        <v>4.0865646258503396</v>
      </c>
    </row>
    <row r="34" spans="1:4">
      <c r="A34" s="532">
        <v>38169</v>
      </c>
      <c r="B34">
        <v>4.1229591836734691</v>
      </c>
    </row>
    <row r="35" spans="1:4">
      <c r="A35" s="532">
        <v>38200</v>
      </c>
      <c r="B35">
        <v>4.1872448979591832</v>
      </c>
    </row>
    <row r="36" spans="1:4">
      <c r="A36" s="532">
        <v>38231</v>
      </c>
      <c r="B36">
        <v>4.2494897959183682</v>
      </c>
    </row>
    <row r="37" spans="1:4">
      <c r="A37" s="532">
        <v>38261</v>
      </c>
      <c r="B37">
        <v>4.2180272108843546</v>
      </c>
    </row>
    <row r="38" spans="1:4">
      <c r="A38" s="532">
        <v>38292</v>
      </c>
      <c r="B38">
        <v>4.2872448979591837</v>
      </c>
    </row>
    <row r="39" spans="1:4">
      <c r="A39" s="532">
        <v>38322</v>
      </c>
      <c r="B39">
        <v>4.3365646258503405</v>
      </c>
      <c r="D39" s="534">
        <f>AVERAGE(B28:B39)</f>
        <v>4.1938350340136061</v>
      </c>
    </row>
    <row r="40" spans="1:4">
      <c r="A40" s="532">
        <v>38353</v>
      </c>
      <c r="B40">
        <v>4.3001700680272101</v>
      </c>
    </row>
    <row r="41" spans="1:4">
      <c r="A41" s="532">
        <v>38384</v>
      </c>
      <c r="B41">
        <v>4.2051020408163264</v>
      </c>
    </row>
    <row r="42" spans="1:4">
      <c r="A42" s="532">
        <v>38412</v>
      </c>
      <c r="B42">
        <v>4.0914965986394556</v>
      </c>
    </row>
    <row r="43" spans="1:4">
      <c r="A43" s="532">
        <v>38443</v>
      </c>
      <c r="B43">
        <v>4.0816326530612237</v>
      </c>
    </row>
    <row r="44" spans="1:4">
      <c r="A44" s="532">
        <v>38473</v>
      </c>
      <c r="B44">
        <v>4.0450680272108848</v>
      </c>
    </row>
    <row r="45" spans="1:4">
      <c r="A45" s="532">
        <v>38504</v>
      </c>
      <c r="B45">
        <v>4.0680272108843543</v>
      </c>
    </row>
    <row r="46" spans="1:4">
      <c r="A46" s="532">
        <v>38534</v>
      </c>
      <c r="B46">
        <v>4.1057823129251698</v>
      </c>
    </row>
    <row r="47" spans="1:4">
      <c r="A47" s="532">
        <v>38565</v>
      </c>
      <c r="B47">
        <v>4.171598639455782</v>
      </c>
    </row>
    <row r="48" spans="1:4">
      <c r="A48" s="532">
        <v>38596</v>
      </c>
      <c r="B48">
        <v>4.2352040816326539</v>
      </c>
    </row>
    <row r="49" spans="1:4">
      <c r="A49" s="532">
        <v>38626</v>
      </c>
      <c r="B49">
        <v>4.2051020408163264</v>
      </c>
    </row>
    <row r="50" spans="1:4">
      <c r="A50" s="532">
        <v>38657</v>
      </c>
      <c r="B50">
        <v>4.2758503401360546</v>
      </c>
    </row>
    <row r="51" spans="1:4">
      <c r="A51" s="532">
        <v>38687</v>
      </c>
      <c r="B51">
        <v>4.3258503401360544</v>
      </c>
      <c r="D51" s="534">
        <f>AVERAGE(B40:B51)</f>
        <v>4.1759070294784584</v>
      </c>
    </row>
    <row r="52" spans="1:4">
      <c r="A52" s="532">
        <v>38718</v>
      </c>
      <c r="B52">
        <v>4.2901360544217688</v>
      </c>
    </row>
    <row r="53" spans="1:4">
      <c r="A53" s="532">
        <v>38749</v>
      </c>
      <c r="B53">
        <v>4.1965986394557824</v>
      </c>
    </row>
    <row r="54" spans="1:4">
      <c r="A54" s="532">
        <v>38777</v>
      </c>
      <c r="B54">
        <v>4.0843537414965976</v>
      </c>
    </row>
    <row r="55" spans="1:4">
      <c r="A55" s="532">
        <v>38808</v>
      </c>
      <c r="B55">
        <v>4.0751700680272105</v>
      </c>
    </row>
    <row r="56" spans="1:4">
      <c r="A56" s="532">
        <v>38838</v>
      </c>
      <c r="B56">
        <v>4.0394557823129249</v>
      </c>
    </row>
    <row r="57" spans="1:4">
      <c r="A57" s="532">
        <v>38869</v>
      </c>
      <c r="B57">
        <v>4.0637755102040813</v>
      </c>
    </row>
    <row r="58" spans="1:4">
      <c r="A58" s="532">
        <v>38899</v>
      </c>
      <c r="B58">
        <v>4.1022108843537417</v>
      </c>
    </row>
    <row r="59" spans="1:4">
      <c r="A59" s="532">
        <v>38930</v>
      </c>
      <c r="B59">
        <v>4.16938775510204</v>
      </c>
    </row>
    <row r="60" spans="1:4">
      <c r="A60" s="532">
        <v>38961</v>
      </c>
      <c r="B60">
        <v>4.2336734693877549</v>
      </c>
    </row>
    <row r="61" spans="1:4">
      <c r="A61" s="532">
        <v>38991</v>
      </c>
      <c r="B61">
        <v>4.2044217687074825</v>
      </c>
    </row>
    <row r="62" spans="1:4">
      <c r="A62" s="532">
        <v>39022</v>
      </c>
      <c r="B62">
        <v>4.2794217687074836</v>
      </c>
    </row>
    <row r="63" spans="1:4">
      <c r="A63" s="532">
        <v>39052</v>
      </c>
      <c r="B63">
        <v>4.3372448979591844</v>
      </c>
      <c r="D63" s="534">
        <f>AVERAGE(B52:B63)</f>
        <v>4.1729875283446711</v>
      </c>
    </row>
    <row r="64" spans="1:4">
      <c r="A64" s="532">
        <v>39083</v>
      </c>
      <c r="B64">
        <v>4.3108843537414963</v>
      </c>
    </row>
    <row r="65" spans="1:4">
      <c r="A65" s="532">
        <v>39114</v>
      </c>
      <c r="B65">
        <v>4.2244897959183678</v>
      </c>
    </row>
    <row r="66" spans="1:4">
      <c r="A66" s="532">
        <v>39142</v>
      </c>
      <c r="B66">
        <v>4.1215986394557822</v>
      </c>
    </row>
    <row r="67" spans="1:4">
      <c r="A67" s="532">
        <v>39173</v>
      </c>
      <c r="B67">
        <v>4.1200680272108841</v>
      </c>
    </row>
    <row r="68" spans="1:4">
      <c r="A68" s="532">
        <v>39203</v>
      </c>
      <c r="B68">
        <v>4.0937074829931976</v>
      </c>
    </row>
    <row r="69" spans="1:4">
      <c r="A69" s="532">
        <v>39234</v>
      </c>
      <c r="B69">
        <v>4.1258503401360542</v>
      </c>
    </row>
    <row r="70" spans="1:4">
      <c r="A70" s="532">
        <v>39264</v>
      </c>
      <c r="B70">
        <v>4.172959183673469</v>
      </c>
    </row>
    <row r="71" spans="1:4">
      <c r="A71" s="532">
        <v>39295</v>
      </c>
      <c r="B71">
        <v>4.2486394557823131</v>
      </c>
    </row>
    <row r="72" spans="1:4">
      <c r="A72" s="532">
        <v>39326</v>
      </c>
      <c r="B72">
        <v>4.3209183673469393</v>
      </c>
    </row>
    <row r="73" spans="1:4">
      <c r="A73" s="532">
        <v>39356</v>
      </c>
      <c r="B73">
        <v>4.3008503401360549</v>
      </c>
    </row>
    <row r="74" spans="1:4">
      <c r="A74" s="532">
        <v>39387</v>
      </c>
      <c r="B74">
        <v>4.3807823129251702</v>
      </c>
    </row>
    <row r="75" spans="1:4">
      <c r="A75" s="532">
        <v>39417</v>
      </c>
      <c r="B75">
        <v>4.4394557823129261</v>
      </c>
      <c r="D75" s="534">
        <f>AVERAGE(B64:B75)</f>
        <v>4.2383503401360549</v>
      </c>
    </row>
    <row r="76" spans="1:4">
      <c r="A76" s="532">
        <v>39448</v>
      </c>
      <c r="B76">
        <v>4.4129251700680276</v>
      </c>
    </row>
    <row r="77" spans="1:4">
      <c r="A77" s="532">
        <v>39479</v>
      </c>
      <c r="B77">
        <v>4.3272108843537413</v>
      </c>
    </row>
    <row r="78" spans="1:4">
      <c r="A78" s="532">
        <v>39508</v>
      </c>
      <c r="B78">
        <v>4.2229591836734688</v>
      </c>
    </row>
    <row r="79" spans="1:4">
      <c r="A79" s="532">
        <v>39539</v>
      </c>
      <c r="B79">
        <v>4.2229591836734688</v>
      </c>
    </row>
    <row r="80" spans="1:4">
      <c r="A80" s="532">
        <v>39569</v>
      </c>
      <c r="B80">
        <v>4.1959183673469393</v>
      </c>
    </row>
    <row r="81" spans="1:4">
      <c r="A81" s="532">
        <v>39600</v>
      </c>
      <c r="B81">
        <v>4.2272108843537408</v>
      </c>
    </row>
    <row r="82" spans="1:4">
      <c r="A82" s="532">
        <v>39630</v>
      </c>
      <c r="B82">
        <v>4.2758503401360546</v>
      </c>
    </row>
    <row r="83" spans="1:4">
      <c r="A83" s="532">
        <v>39661</v>
      </c>
      <c r="B83">
        <v>4.3501700680272108</v>
      </c>
    </row>
    <row r="84" spans="1:4">
      <c r="A84" s="532">
        <v>39692</v>
      </c>
      <c r="B84">
        <v>4.4229591836734699</v>
      </c>
    </row>
    <row r="85" spans="1:4">
      <c r="A85" s="532">
        <v>39722</v>
      </c>
      <c r="B85">
        <v>4.4037414965986397</v>
      </c>
    </row>
    <row r="86" spans="1:4">
      <c r="A86" s="532">
        <v>39753</v>
      </c>
      <c r="B86">
        <v>4.4823129251700671</v>
      </c>
    </row>
    <row r="87" spans="1:4">
      <c r="A87" s="532">
        <v>39783</v>
      </c>
      <c r="B87">
        <v>4.5414965986394558</v>
      </c>
      <c r="D87" s="534">
        <f>AVERAGE(B76:B87)</f>
        <v>4.340476190476191</v>
      </c>
    </row>
    <row r="88" spans="1:4">
      <c r="A88" s="532">
        <v>39814</v>
      </c>
      <c r="B88">
        <v>4.5144557823129254</v>
      </c>
    </row>
    <row r="89" spans="1:4">
      <c r="A89" s="532">
        <v>39845</v>
      </c>
      <c r="B89">
        <v>4.3272108843537413</v>
      </c>
    </row>
    <row r="90" spans="1:4">
      <c r="A90" s="532">
        <v>39873</v>
      </c>
      <c r="B90">
        <v>4.2229591836734688</v>
      </c>
    </row>
    <row r="91" spans="1:4">
      <c r="A91" s="532">
        <v>39904</v>
      </c>
      <c r="B91">
        <v>4.2229591836734688</v>
      </c>
    </row>
    <row r="92" spans="1:4">
      <c r="A92" s="532">
        <v>39934</v>
      </c>
      <c r="B92">
        <v>4.1959183673469393</v>
      </c>
    </row>
    <row r="93" spans="1:4">
      <c r="A93" s="532">
        <v>39965</v>
      </c>
      <c r="B93">
        <v>4.2272108843537408</v>
      </c>
    </row>
    <row r="94" spans="1:4">
      <c r="A94" s="532">
        <v>39995</v>
      </c>
      <c r="B94">
        <v>4.2758503401360546</v>
      </c>
    </row>
    <row r="95" spans="1:4">
      <c r="A95" s="532">
        <v>40026</v>
      </c>
      <c r="B95">
        <v>4.3501700680272108</v>
      </c>
    </row>
    <row r="96" spans="1:4">
      <c r="A96" s="532">
        <v>40057</v>
      </c>
      <c r="B96">
        <v>4.4229591836734699</v>
      </c>
    </row>
    <row r="97" spans="1:4">
      <c r="A97" s="532">
        <v>40087</v>
      </c>
      <c r="B97">
        <v>4.4037414965986397</v>
      </c>
    </row>
    <row r="98" spans="1:4">
      <c r="A98" s="532">
        <v>40118</v>
      </c>
      <c r="B98">
        <v>4.4823129251700671</v>
      </c>
    </row>
    <row r="99" spans="1:4">
      <c r="A99" s="532">
        <v>40148</v>
      </c>
      <c r="B99">
        <v>4.5414965986394558</v>
      </c>
      <c r="D99" s="534">
        <f>AVERAGE(B88:B99)</f>
        <v>4.3489370748299327</v>
      </c>
    </row>
    <row r="100" spans="1:4">
      <c r="A100" s="532">
        <v>40179</v>
      </c>
      <c r="B100">
        <v>4.5144557823129254</v>
      </c>
    </row>
    <row r="101" spans="1:4">
      <c r="A101" s="532">
        <v>40210</v>
      </c>
      <c r="B101">
        <v>4.3272108843537413</v>
      </c>
    </row>
    <row r="102" spans="1:4">
      <c r="A102" s="532">
        <v>40238</v>
      </c>
      <c r="B102">
        <v>4.2229591836734688</v>
      </c>
    </row>
    <row r="103" spans="1:4">
      <c r="A103" s="532">
        <v>40269</v>
      </c>
      <c r="B103">
        <v>4.2229591836734688</v>
      </c>
    </row>
    <row r="104" spans="1:4">
      <c r="A104" s="532">
        <v>40299</v>
      </c>
      <c r="B104">
        <v>4.1959183673469393</v>
      </c>
    </row>
    <row r="105" spans="1:4">
      <c r="A105" s="532">
        <v>40330</v>
      </c>
      <c r="B105">
        <v>4.2272108843537408</v>
      </c>
    </row>
    <row r="106" spans="1:4">
      <c r="A106" s="532">
        <v>40360</v>
      </c>
      <c r="B106">
        <v>4.2758503401360546</v>
      </c>
    </row>
    <row r="107" spans="1:4">
      <c r="A107" s="532">
        <v>40391</v>
      </c>
      <c r="B107">
        <v>4.3501700680272108</v>
      </c>
    </row>
    <row r="108" spans="1:4">
      <c r="A108" s="532">
        <v>40422</v>
      </c>
      <c r="B108">
        <v>4.4229591836734699</v>
      </c>
    </row>
    <row r="109" spans="1:4">
      <c r="A109" s="532">
        <v>40452</v>
      </c>
      <c r="B109">
        <v>4.4037414965986397</v>
      </c>
    </row>
    <row r="110" spans="1:4">
      <c r="A110" s="532">
        <v>40483</v>
      </c>
      <c r="B110">
        <v>4.4823129251700671</v>
      </c>
    </row>
    <row r="111" spans="1:4">
      <c r="A111" s="532">
        <v>40513</v>
      </c>
      <c r="B111">
        <v>4.5414965986394558</v>
      </c>
      <c r="D111" s="534">
        <f>AVERAGE(B100:B111)</f>
        <v>4.3489370748299327</v>
      </c>
    </row>
    <row r="112" spans="1:4">
      <c r="A112" s="532">
        <v>40544</v>
      </c>
      <c r="B112">
        <v>4.5144557823129254</v>
      </c>
    </row>
    <row r="113" spans="1:4">
      <c r="A113" s="532">
        <v>40575</v>
      </c>
      <c r="B113">
        <v>4.3272108843537413</v>
      </c>
    </row>
    <row r="114" spans="1:4">
      <c r="A114" s="532">
        <v>40603</v>
      </c>
      <c r="B114">
        <v>4.2229591836734688</v>
      </c>
    </row>
    <row r="115" spans="1:4">
      <c r="A115" s="532">
        <v>40634</v>
      </c>
      <c r="B115">
        <v>4.2229591836734688</v>
      </c>
    </row>
    <row r="116" spans="1:4">
      <c r="A116" s="532">
        <v>40664</v>
      </c>
      <c r="B116">
        <v>4.1959183673469393</v>
      </c>
    </row>
    <row r="117" spans="1:4">
      <c r="A117" s="532">
        <v>40695</v>
      </c>
      <c r="B117">
        <v>4.2272108843537408</v>
      </c>
    </row>
    <row r="118" spans="1:4">
      <c r="A118" s="532">
        <v>40725</v>
      </c>
      <c r="B118">
        <v>4.2758503401360546</v>
      </c>
    </row>
    <row r="119" spans="1:4">
      <c r="A119" s="532">
        <v>40756</v>
      </c>
      <c r="B119">
        <v>4.3501700680272108</v>
      </c>
    </row>
    <row r="120" spans="1:4">
      <c r="A120" s="532">
        <v>40787</v>
      </c>
      <c r="B120">
        <v>4.4229591836734699</v>
      </c>
    </row>
    <row r="121" spans="1:4">
      <c r="A121" s="532">
        <v>40817</v>
      </c>
      <c r="B121">
        <v>4.4037414965986397</v>
      </c>
    </row>
    <row r="122" spans="1:4">
      <c r="A122" s="532">
        <v>40848</v>
      </c>
      <c r="B122">
        <v>4.4823129251700671</v>
      </c>
    </row>
    <row r="123" spans="1:4">
      <c r="A123" s="532">
        <v>40878</v>
      </c>
      <c r="B123">
        <v>4.5414965986394558</v>
      </c>
      <c r="D123" s="534">
        <f>AVERAGE(B112:B123)</f>
        <v>4.3489370748299327</v>
      </c>
    </row>
    <row r="124" spans="1:4">
      <c r="A124" s="532">
        <v>40909</v>
      </c>
      <c r="B124">
        <v>4.5144557823129254</v>
      </c>
    </row>
    <row r="125" spans="1:4">
      <c r="A125" s="532">
        <v>40940</v>
      </c>
      <c r="B125">
        <v>4.3272108843537413</v>
      </c>
    </row>
    <row r="126" spans="1:4">
      <c r="A126" s="532">
        <v>40969</v>
      </c>
      <c r="B126">
        <v>4.2229591836734688</v>
      </c>
    </row>
    <row r="127" spans="1:4">
      <c r="A127" s="532">
        <v>41000</v>
      </c>
      <c r="B127">
        <v>4.2229591836734688</v>
      </c>
    </row>
    <row r="128" spans="1:4">
      <c r="A128" s="532">
        <v>41030</v>
      </c>
      <c r="B128">
        <v>4.1959183673469393</v>
      </c>
    </row>
    <row r="129" spans="1:4">
      <c r="A129" s="532">
        <v>41061</v>
      </c>
      <c r="B129">
        <v>4.2272108843537408</v>
      </c>
    </row>
    <row r="130" spans="1:4">
      <c r="A130" s="532">
        <v>41091</v>
      </c>
      <c r="B130">
        <v>4.2758503401360546</v>
      </c>
    </row>
    <row r="131" spans="1:4">
      <c r="A131" s="532">
        <v>41122</v>
      </c>
      <c r="B131">
        <v>4.3501700680272108</v>
      </c>
    </row>
    <row r="132" spans="1:4">
      <c r="A132" s="532">
        <v>41153</v>
      </c>
      <c r="B132">
        <v>4.4229591836734699</v>
      </c>
    </row>
    <row r="133" spans="1:4">
      <c r="A133" s="532">
        <v>41183</v>
      </c>
      <c r="B133">
        <v>4.4037414965986397</v>
      </c>
    </row>
    <row r="134" spans="1:4">
      <c r="A134" s="532">
        <v>41214</v>
      </c>
      <c r="B134">
        <v>4.4823129251700671</v>
      </c>
    </row>
    <row r="135" spans="1:4">
      <c r="A135" s="532">
        <v>41244</v>
      </c>
      <c r="B135">
        <v>4.5414965986394558</v>
      </c>
      <c r="D135" s="534">
        <f>AVERAGE(B124:B135)</f>
        <v>4.3489370748299327</v>
      </c>
    </row>
    <row r="136" spans="1:4">
      <c r="A136" s="532">
        <v>41275</v>
      </c>
      <c r="B136">
        <v>4.5144557823129254</v>
      </c>
    </row>
    <row r="137" spans="1:4">
      <c r="A137" s="532">
        <v>41306</v>
      </c>
      <c r="B137">
        <v>4.3272108843537413</v>
      </c>
    </row>
    <row r="138" spans="1:4">
      <c r="A138" s="532">
        <v>41334</v>
      </c>
      <c r="B138">
        <v>4.2229591836734688</v>
      </c>
    </row>
    <row r="139" spans="1:4">
      <c r="A139" s="532">
        <v>41365</v>
      </c>
      <c r="B139">
        <v>4.2229591836734688</v>
      </c>
    </row>
    <row r="140" spans="1:4">
      <c r="A140" s="532">
        <v>41395</v>
      </c>
      <c r="B140">
        <v>4.1959183673469393</v>
      </c>
    </row>
    <row r="141" spans="1:4">
      <c r="A141" s="532">
        <v>41426</v>
      </c>
      <c r="B141">
        <v>4.2272108843537408</v>
      </c>
    </row>
    <row r="142" spans="1:4">
      <c r="A142" s="532">
        <v>41456</v>
      </c>
      <c r="B142">
        <v>4.2758503401360546</v>
      </c>
    </row>
    <row r="143" spans="1:4">
      <c r="A143" s="532">
        <v>41487</v>
      </c>
      <c r="B143">
        <v>4.3501700680272108</v>
      </c>
    </row>
    <row r="144" spans="1:4">
      <c r="A144" s="532">
        <v>41518</v>
      </c>
      <c r="B144">
        <v>4.4229591836734699</v>
      </c>
    </row>
    <row r="145" spans="1:4">
      <c r="A145" s="532">
        <v>41548</v>
      </c>
      <c r="B145">
        <v>4.4037414965986397</v>
      </c>
    </row>
    <row r="146" spans="1:4">
      <c r="A146" s="532">
        <v>41579</v>
      </c>
      <c r="B146">
        <v>4.4823129251700671</v>
      </c>
    </row>
    <row r="147" spans="1:4">
      <c r="A147" s="532">
        <v>41609</v>
      </c>
      <c r="B147">
        <v>4.5414965986394558</v>
      </c>
      <c r="D147" s="534">
        <f>AVERAGE(B136:B147)</f>
        <v>4.3489370748299327</v>
      </c>
    </row>
    <row r="148" spans="1:4">
      <c r="A148" s="532">
        <v>41640</v>
      </c>
      <c r="B148">
        <v>4.5144557823129254</v>
      </c>
    </row>
    <row r="149" spans="1:4">
      <c r="A149" s="532">
        <v>41671</v>
      </c>
      <c r="B149">
        <v>4.3272108843537413</v>
      </c>
    </row>
    <row r="150" spans="1:4">
      <c r="A150" s="532">
        <v>41699</v>
      </c>
      <c r="B150">
        <v>4.2229591836734688</v>
      </c>
    </row>
    <row r="151" spans="1:4">
      <c r="A151" s="532">
        <v>41730</v>
      </c>
      <c r="B151">
        <v>4.2229591836734688</v>
      </c>
    </row>
    <row r="152" spans="1:4">
      <c r="A152" s="532">
        <v>41760</v>
      </c>
      <c r="B152">
        <v>4.1959183673469393</v>
      </c>
    </row>
    <row r="153" spans="1:4">
      <c r="A153" s="532">
        <v>41791</v>
      </c>
      <c r="B153">
        <v>4.2272108843537408</v>
      </c>
    </row>
    <row r="154" spans="1:4">
      <c r="A154" s="532">
        <v>41821</v>
      </c>
      <c r="B154">
        <v>4.2758503401360546</v>
      </c>
    </row>
    <row r="155" spans="1:4">
      <c r="A155" s="532">
        <v>41852</v>
      </c>
      <c r="B155">
        <v>4.3501700680272108</v>
      </c>
    </row>
    <row r="156" spans="1:4">
      <c r="A156" s="532">
        <v>41883</v>
      </c>
      <c r="B156">
        <v>4.4229591836734699</v>
      </c>
    </row>
    <row r="157" spans="1:4">
      <c r="A157" s="532">
        <v>41913</v>
      </c>
      <c r="B157">
        <v>4.4037414965986397</v>
      </c>
    </row>
    <row r="158" spans="1:4">
      <c r="A158" s="532">
        <v>41944</v>
      </c>
      <c r="B158">
        <v>4.4823129251700671</v>
      </c>
    </row>
    <row r="159" spans="1:4">
      <c r="A159" s="532">
        <v>41974</v>
      </c>
      <c r="B159">
        <v>4.5414965986394558</v>
      </c>
      <c r="D159" s="534">
        <f>AVERAGE(B148:B159)</f>
        <v>4.3489370748299327</v>
      </c>
    </row>
    <row r="160" spans="1:4">
      <c r="A160" s="532">
        <v>42005</v>
      </c>
      <c r="B160">
        <v>4.5144557823129254</v>
      </c>
    </row>
    <row r="161" spans="1:4">
      <c r="A161" s="532">
        <v>42036</v>
      </c>
      <c r="B161">
        <v>4.3272108843537413</v>
      </c>
    </row>
    <row r="162" spans="1:4">
      <c r="A162" s="532">
        <v>42064</v>
      </c>
      <c r="B162">
        <v>4.2229591836734688</v>
      </c>
    </row>
    <row r="163" spans="1:4">
      <c r="A163" s="532">
        <v>42095</v>
      </c>
      <c r="B163">
        <v>4.2229591836734688</v>
      </c>
    </row>
    <row r="164" spans="1:4">
      <c r="A164" s="532">
        <v>42125</v>
      </c>
      <c r="B164">
        <v>4.1959183673469393</v>
      </c>
    </row>
    <row r="165" spans="1:4">
      <c r="A165" s="532">
        <v>42156</v>
      </c>
      <c r="B165">
        <v>4.2272108843537408</v>
      </c>
    </row>
    <row r="166" spans="1:4">
      <c r="A166" s="532">
        <v>42186</v>
      </c>
      <c r="B166">
        <v>4.2758503401360546</v>
      </c>
    </row>
    <row r="167" spans="1:4">
      <c r="A167" s="532">
        <v>42217</v>
      </c>
      <c r="B167">
        <v>4.3501700680272108</v>
      </c>
    </row>
    <row r="168" spans="1:4">
      <c r="A168" s="532">
        <v>42248</v>
      </c>
      <c r="B168">
        <v>4.4229591836734699</v>
      </c>
    </row>
    <row r="169" spans="1:4">
      <c r="A169" s="532">
        <v>42278</v>
      </c>
      <c r="B169">
        <v>4.4037414965986397</v>
      </c>
    </row>
    <row r="170" spans="1:4">
      <c r="A170" s="532">
        <v>42309</v>
      </c>
      <c r="B170">
        <v>4.4823129251700671</v>
      </c>
    </row>
    <row r="171" spans="1:4">
      <c r="A171" s="532">
        <v>42339</v>
      </c>
      <c r="B171">
        <v>4.5414965986394558</v>
      </c>
      <c r="D171" s="534">
        <f>AVERAGE(B160:B171)</f>
        <v>4.3489370748299327</v>
      </c>
    </row>
    <row r="172" spans="1:4">
      <c r="A172" s="532">
        <v>42370</v>
      </c>
      <c r="B172">
        <v>4.5144557823129254</v>
      </c>
    </row>
    <row r="173" spans="1:4">
      <c r="A173" s="532">
        <v>42401</v>
      </c>
      <c r="B173">
        <v>4.3272108843537413</v>
      </c>
    </row>
    <row r="174" spans="1:4">
      <c r="A174" s="532">
        <v>42430</v>
      </c>
      <c r="B174">
        <v>4.2229591836734688</v>
      </c>
    </row>
    <row r="175" spans="1:4">
      <c r="A175" s="532">
        <v>42461</v>
      </c>
      <c r="B175">
        <v>4.2229591836734688</v>
      </c>
    </row>
    <row r="176" spans="1:4">
      <c r="A176" s="532">
        <v>42491</v>
      </c>
      <c r="B176">
        <v>4.1959183673469393</v>
      </c>
    </row>
    <row r="177" spans="1:4">
      <c r="A177" s="532">
        <v>42522</v>
      </c>
      <c r="B177">
        <v>4.2272108843537408</v>
      </c>
    </row>
    <row r="178" spans="1:4">
      <c r="A178" s="532">
        <v>42552</v>
      </c>
      <c r="B178">
        <v>4.2758503401360546</v>
      </c>
    </row>
    <row r="179" spans="1:4">
      <c r="A179" s="532">
        <v>42583</v>
      </c>
      <c r="B179">
        <v>4.3501700680272108</v>
      </c>
    </row>
    <row r="180" spans="1:4">
      <c r="A180" s="532">
        <v>42614</v>
      </c>
      <c r="B180">
        <v>4.4229591836734699</v>
      </c>
    </row>
    <row r="181" spans="1:4">
      <c r="A181" s="532">
        <v>42644</v>
      </c>
      <c r="B181">
        <v>4.4037414965986397</v>
      </c>
    </row>
    <row r="182" spans="1:4">
      <c r="A182" s="532">
        <v>42675</v>
      </c>
      <c r="B182">
        <v>4.4823129251700671</v>
      </c>
    </row>
    <row r="183" spans="1:4">
      <c r="A183" s="532">
        <v>42705</v>
      </c>
      <c r="B183">
        <v>4.5414965986394558</v>
      </c>
      <c r="D183" s="534">
        <f>AVERAGE(B172:B183)</f>
        <v>4.3489370748299327</v>
      </c>
    </row>
    <row r="184" spans="1:4">
      <c r="A184" s="532">
        <v>42736</v>
      </c>
      <c r="B184">
        <v>4.5144557823129254</v>
      </c>
    </row>
    <row r="185" spans="1:4">
      <c r="A185" s="532">
        <v>42767</v>
      </c>
      <c r="B185">
        <v>4.3272108843537413</v>
      </c>
    </row>
    <row r="186" spans="1:4">
      <c r="A186" s="532">
        <v>42795</v>
      </c>
      <c r="B186">
        <v>4.2229591836734688</v>
      </c>
    </row>
    <row r="187" spans="1:4">
      <c r="A187" s="532">
        <v>42826</v>
      </c>
      <c r="B187">
        <v>4.2229591836734688</v>
      </c>
    </row>
    <row r="188" spans="1:4">
      <c r="A188" s="532">
        <v>42856</v>
      </c>
      <c r="B188">
        <v>4.1959183673469393</v>
      </c>
    </row>
    <row r="189" spans="1:4">
      <c r="A189" s="532">
        <v>42887</v>
      </c>
      <c r="B189">
        <v>4.2272108843537408</v>
      </c>
    </row>
    <row r="190" spans="1:4">
      <c r="A190" s="532">
        <v>42917</v>
      </c>
      <c r="B190">
        <v>4.2758503401360546</v>
      </c>
    </row>
    <row r="191" spans="1:4">
      <c r="A191" s="532">
        <v>42948</v>
      </c>
      <c r="B191">
        <v>4.3501700680272108</v>
      </c>
    </row>
    <row r="192" spans="1:4">
      <c r="A192" s="532">
        <v>42979</v>
      </c>
      <c r="B192">
        <v>4.4229591836734699</v>
      </c>
    </row>
    <row r="193" spans="1:4">
      <c r="A193" s="532">
        <v>43009</v>
      </c>
      <c r="B193">
        <v>4.4037414965986397</v>
      </c>
    </row>
    <row r="194" spans="1:4">
      <c r="A194" s="532">
        <v>43040</v>
      </c>
      <c r="B194">
        <v>4.4823129251700671</v>
      </c>
    </row>
    <row r="195" spans="1:4">
      <c r="A195" s="532">
        <v>43070</v>
      </c>
      <c r="B195">
        <v>4.5414965986394558</v>
      </c>
      <c r="D195" s="534">
        <f>AVERAGE(B184:B195)</f>
        <v>4.3489370748299327</v>
      </c>
    </row>
    <row r="207" spans="1:4">
      <c r="D207" s="534"/>
    </row>
    <row r="219" spans="4:4">
      <c r="D219" s="53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H24" sqref="H24"/>
    </sheetView>
  </sheetViews>
  <sheetFormatPr defaultRowHeight="12.75"/>
  <cols>
    <col min="1" max="1" width="3.7109375" style="12" customWidth="1"/>
    <col min="2" max="2" width="34.28515625" style="12" customWidth="1"/>
    <col min="3" max="3" width="13.5703125" style="12" customWidth="1"/>
    <col min="4" max="4" width="7.28515625" style="12" customWidth="1"/>
    <col min="5" max="5" width="11.140625" style="12" customWidth="1"/>
    <col min="6" max="6" width="7.85546875" style="12" customWidth="1"/>
    <col min="7" max="7" width="7.42578125" style="12" customWidth="1"/>
    <col min="8" max="16384" width="9.140625" style="12"/>
  </cols>
  <sheetData>
    <row r="2" spans="2:7" ht="15.75">
      <c r="B2" s="564" t="s">
        <v>562</v>
      </c>
    </row>
    <row r="3" spans="2:7">
      <c r="B3" s="563">
        <f ca="1">NOW()</f>
        <v>41885.565951736113</v>
      </c>
    </row>
    <row r="5" spans="2:7">
      <c r="C5" s="560" t="s">
        <v>539</v>
      </c>
      <c r="D5" s="560" t="s">
        <v>538</v>
      </c>
      <c r="E5" s="560" t="s">
        <v>556</v>
      </c>
      <c r="F5" s="560"/>
      <c r="G5" s="560"/>
    </row>
    <row r="6" spans="2:7">
      <c r="C6" s="558"/>
    </row>
    <row r="7" spans="2:7" hidden="1">
      <c r="B7" s="12" t="s">
        <v>557</v>
      </c>
      <c r="C7" s="558">
        <v>5.07</v>
      </c>
      <c r="D7" s="568">
        <v>-7.9500000000000001E-2</v>
      </c>
      <c r="E7" s="573">
        <v>-61694</v>
      </c>
      <c r="F7" s="559"/>
      <c r="G7" s="559"/>
    </row>
    <row r="8" spans="2:7">
      <c r="B8" s="12" t="s">
        <v>565</v>
      </c>
      <c r="C8" s="558">
        <v>5.4</v>
      </c>
      <c r="D8" s="590">
        <v>-4.4900000000000002E-2</v>
      </c>
      <c r="E8" s="573">
        <v>-52969</v>
      </c>
      <c r="F8" s="559"/>
      <c r="G8" s="559"/>
    </row>
    <row r="9" spans="2:7">
      <c r="B9" s="12" t="s">
        <v>558</v>
      </c>
      <c r="C9" s="558">
        <v>7.84</v>
      </c>
      <c r="D9" s="590">
        <v>0.12</v>
      </c>
      <c r="E9" s="573">
        <v>5075</v>
      </c>
      <c r="F9" s="559"/>
      <c r="G9" s="559"/>
    </row>
    <row r="10" spans="2:7">
      <c r="B10" s="12" t="s">
        <v>561</v>
      </c>
      <c r="C10" s="558">
        <v>7.58</v>
      </c>
      <c r="D10" s="590">
        <v>0.1067</v>
      </c>
      <c r="E10" s="573">
        <v>0</v>
      </c>
      <c r="F10" s="559"/>
      <c r="G10" s="559"/>
    </row>
    <row r="11" spans="2:7">
      <c r="B11" s="12" t="s">
        <v>567</v>
      </c>
      <c r="C11" s="558">
        <v>7.26</v>
      </c>
      <c r="D11" s="590">
        <v>0.12</v>
      </c>
      <c r="E11" s="573">
        <v>5182</v>
      </c>
      <c r="F11" s="559"/>
      <c r="G11" s="559"/>
    </row>
    <row r="12" spans="2:7">
      <c r="C12" s="558"/>
    </row>
    <row r="13" spans="2:7" ht="13.5">
      <c r="B13" s="561" t="s">
        <v>540</v>
      </c>
      <c r="C13" s="558"/>
    </row>
    <row r="14" spans="2:7">
      <c r="B14" s="562" t="s">
        <v>564</v>
      </c>
      <c r="C14" s="558"/>
    </row>
    <row r="15" spans="2:7">
      <c r="B15" s="562" t="s">
        <v>563</v>
      </c>
      <c r="C15" s="567">
        <f>Assumptions!C60</f>
        <v>213517.67321826715</v>
      </c>
    </row>
    <row r="16" spans="2:7">
      <c r="B16" s="562" t="s">
        <v>560</v>
      </c>
      <c r="C16" s="578">
        <f>Assumptions!D60</f>
        <v>613.5565322363999</v>
      </c>
    </row>
    <row r="17" spans="2:3">
      <c r="B17" s="562" t="s">
        <v>559</v>
      </c>
      <c r="C17" s="558"/>
    </row>
    <row r="18" spans="2:3">
      <c r="B18" s="562" t="s">
        <v>566</v>
      </c>
      <c r="C18" s="558"/>
    </row>
    <row r="19" spans="2:3">
      <c r="C19" s="558"/>
    </row>
    <row r="20" spans="2:3">
      <c r="C20" s="558"/>
    </row>
    <row r="21" spans="2:3">
      <c r="C21" s="558"/>
    </row>
    <row r="22" spans="2:3">
      <c r="C22" s="558"/>
    </row>
    <row r="23" spans="2:3">
      <c r="C23" s="558"/>
    </row>
    <row r="24" spans="2:3">
      <c r="C24" s="558"/>
    </row>
    <row r="25" spans="2:3">
      <c r="C25" s="558"/>
    </row>
    <row r="26" spans="2:3">
      <c r="C26" s="558"/>
    </row>
    <row r="27" spans="2:3">
      <c r="C27" s="558"/>
    </row>
    <row r="28" spans="2:3">
      <c r="C28" s="558"/>
    </row>
    <row r="29" spans="2:3">
      <c r="C29" s="558"/>
    </row>
    <row r="30" spans="2:3">
      <c r="C30" s="558"/>
    </row>
    <row r="31" spans="2:3">
      <c r="C31" s="558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7"/>
  <sheetViews>
    <sheetView topLeftCell="A3" zoomScale="75" zoomScaleNormal="75" workbookViewId="0">
      <selection activeCell="C13" sqref="C13"/>
    </sheetView>
  </sheetViews>
  <sheetFormatPr defaultRowHeight="12.75"/>
  <cols>
    <col min="1" max="1" width="34.42578125" style="12" customWidth="1"/>
    <col min="2" max="2" width="10.140625" style="12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Homestead, Florida</v>
      </c>
    </row>
    <row r="4" spans="1:33" ht="18.75">
      <c r="A4" s="60" t="s">
        <v>91</v>
      </c>
      <c r="B4" s="5"/>
    </row>
    <row r="6" spans="1:3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3" s="6" customFormat="1" ht="13.5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0">
        <v>37256</v>
      </c>
      <c r="D8" s="360">
        <v>37621</v>
      </c>
      <c r="E8" s="360">
        <v>37986</v>
      </c>
      <c r="F8" s="360">
        <v>38352</v>
      </c>
      <c r="G8" s="360">
        <v>38717</v>
      </c>
      <c r="H8" s="360">
        <v>39082</v>
      </c>
      <c r="I8" s="360">
        <v>39447</v>
      </c>
      <c r="J8" s="360">
        <v>39813</v>
      </c>
      <c r="K8" s="360">
        <v>40178</v>
      </c>
      <c r="L8" s="360">
        <v>40543</v>
      </c>
      <c r="M8" s="360">
        <v>40908</v>
      </c>
      <c r="N8" s="360">
        <v>41274</v>
      </c>
      <c r="O8" s="360">
        <v>41639</v>
      </c>
      <c r="P8" s="360">
        <v>42004</v>
      </c>
      <c r="Q8" s="360">
        <v>42369</v>
      </c>
      <c r="R8" s="360">
        <v>42735</v>
      </c>
      <c r="S8" s="360">
        <v>43100</v>
      </c>
      <c r="T8" s="360">
        <v>43465</v>
      </c>
      <c r="U8" s="360">
        <v>43830</v>
      </c>
      <c r="V8" s="360">
        <v>44196</v>
      </c>
      <c r="W8" s="360">
        <v>44561</v>
      </c>
      <c r="X8" s="360">
        <v>44926</v>
      </c>
      <c r="Y8" s="360">
        <v>45291</v>
      </c>
      <c r="Z8" s="360">
        <v>45657</v>
      </c>
      <c r="AA8" s="360">
        <v>46022</v>
      </c>
      <c r="AB8" s="360">
        <v>46387</v>
      </c>
      <c r="AC8" s="360">
        <v>46752</v>
      </c>
      <c r="AD8" s="360">
        <v>47118</v>
      </c>
      <c r="AE8" s="360">
        <v>47483</v>
      </c>
      <c r="AF8" s="360">
        <v>47848</v>
      </c>
      <c r="AG8" s="360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113</v>
      </c>
      <c r="C10" s="74">
        <f>IF(C6&lt;Assumptions!$H$19,C6*12*'Price_Technical Assumption'!D21*Assumptions!$H$68,IF(AND(B6&lt;Assumptions!$H$19,C6&gt;Assumptions!$H$19),(1-$C$6)*12*'Price_Technical Assumption'!D21*Assumptions!$H$68,0))</f>
        <v>17813.811780396343</v>
      </c>
      <c r="D10" s="74">
        <f>IF(D6&lt;Assumptions!$H$19,12*'Price_Technical Assumption'!E21*Assumptions!$H$68,IF(AND(C6&lt;Assumptions!$H$19,D6&gt;Assumptions!$H$19),(1-$C$6)*12*'Price_Technical Assumption'!E21*Assumptions!$H$68,0))</f>
        <v>26720.717670594513</v>
      </c>
      <c r="E10" s="74">
        <f>IF(E6&lt;Assumptions!$H$19,12*'Price_Technical Assumption'!F21*Assumptions!$H$68,IF(AND(D6&lt;Assumptions!$H$19,E6&gt;Assumptions!$H$19),(1-$C$6)*12*'Price_Technical Assumption'!F21*Assumptions!$H$68,0))</f>
        <v>26720.717670594513</v>
      </c>
      <c r="F10" s="74">
        <f>IF(F6&lt;Assumptions!$H$19,12*'Price_Technical Assumption'!G21*Assumptions!$H$68,IF(AND(E6&lt;Assumptions!$H$19,F6&gt;Assumptions!$H$19),(1-$C$6)*12*'Price_Technical Assumption'!G21*Assumptions!$H$68,0))</f>
        <v>26720.717670594513</v>
      </c>
      <c r="G10" s="74">
        <f>IF(G6&lt;Assumptions!$H$19,12*'Price_Technical Assumption'!H21*Assumptions!$H$68,IF(AND(F6&lt;Assumptions!$H$19,G6&gt;Assumptions!$H$19),(1-$C$6)*12*'Price_Technical Assumption'!H21*Assumptions!$H$68,0))</f>
        <v>26720.717670594513</v>
      </c>
      <c r="H10" s="74">
        <f>IF(H6&lt;Assumptions!$H$19,12*'Price_Technical Assumption'!I21*Assumptions!$H$68,IF(AND(G6&lt;Assumptions!$H$19,H6&gt;Assumptions!$H$19),(1-$C$6)*12*'Price_Technical Assumption'!I21*Assumptions!$H$68,0))</f>
        <v>26720.717670594513</v>
      </c>
      <c r="I10" s="74">
        <f>IF(I6&lt;Assumptions!$H$19,12*'Price_Technical Assumption'!J21*Assumptions!$H$68,IF(AND(H6&lt;Assumptions!$H$19,I6&gt;Assumptions!$H$19),(1-$C$6)*12*'Price_Technical Assumption'!J21*Assumptions!$H$68,0))</f>
        <v>26720.717670594513</v>
      </c>
      <c r="J10" s="74">
        <f>IF(J6&lt;Assumptions!$H$19,12*'Price_Technical Assumption'!K21*Assumptions!$H$68,IF(AND(I6&lt;Assumptions!$H$19,J6&gt;Assumptions!$H$19),(1-$C$6)*12*'Price_Technical Assumption'!K21*Assumptions!$H$68,0))</f>
        <v>26720.717670594513</v>
      </c>
      <c r="K10" s="74">
        <f>IF(K6&lt;Assumptions!$H$19,12*'Price_Technical Assumption'!L21*Assumptions!$H$68,IF(AND(J6&lt;Assumptions!$H$19,K6&gt;Assumptions!$H$19),(1-$C$6)*12*'Price_Technical Assumption'!L21*Assumptions!$H$68,0))</f>
        <v>26720.717670594513</v>
      </c>
      <c r="L10" s="74">
        <f>IF(L6&lt;Assumptions!$H$19,12*'Price_Technical Assumption'!M21*Assumptions!$H$68,IF(AND(K6&lt;Assumptions!$H$19,L6&gt;Assumptions!$H$19),(1-$C$6)*12*'Price_Technical Assumption'!M21*Assumptions!$H$68,0))</f>
        <v>26720.717670594513</v>
      </c>
      <c r="M10" s="74">
        <f>IF(M6&lt;Assumptions!$H$19,12*'Price_Technical Assumption'!N21*Assumptions!$H$68,IF(AND(L6&lt;Assumptions!$H$19,M6&gt;Assumptions!$H$19),(1-$C$6)*12*'Price_Technical Assumption'!N21*Assumptions!$H$68,0))</f>
        <v>26720.717670594513</v>
      </c>
      <c r="N10" s="74">
        <f>IF(N6&lt;Assumptions!$H$19,12*'Price_Technical Assumption'!O21*Assumptions!$H$68,IF(AND(M6&lt;Assumptions!$H$19,N6&gt;Assumptions!$H$19),(1-$C$6)*12*'Price_Technical Assumption'!O21*Assumptions!$H$68,0))</f>
        <v>26720.717670594513</v>
      </c>
      <c r="O10" s="74">
        <f>IF(O6&lt;Assumptions!$H$19,12*'Price_Technical Assumption'!P21*Assumptions!$H$68,IF(AND(N6&lt;Assumptions!$H$19,O6&gt;Assumptions!$H$19),(1-$C$6)*12*'Price_Technical Assumption'!P21*Assumptions!$H$68,0))</f>
        <v>26720.717670594513</v>
      </c>
      <c r="P10" s="74">
        <f>IF(P6&lt;Assumptions!$H$19,12*'Price_Technical Assumption'!Q21*Assumptions!$H$68,IF(AND(O6&lt;Assumptions!$H$19,P6&gt;Assumptions!$H$19),(1-$C$6)*12*'Price_Technical Assumption'!Q21*Assumptions!$H$68,0))</f>
        <v>26720.717670594513</v>
      </c>
      <c r="Q10" s="74">
        <f>IF(Q6&lt;Assumptions!$H$19,12*'Price_Technical Assumption'!R21*Assumptions!$H$68,IF(AND(P6&lt;Assumptions!$H$19,Q6&gt;Assumptions!$H$19),(1-$C$6)*12*'Price_Technical Assumption'!R21*Assumptions!$H$68,0))</f>
        <v>26720.717670594513</v>
      </c>
      <c r="R10" s="74">
        <f>IF(R6&lt;Assumptions!$H$19,12*'Price_Technical Assumption'!S21*Assumptions!$H$68,IF(AND(Q6&lt;Assumptions!$H$19,R6&gt;Assumptions!$H$19),(1-$C$6)*12*'Price_Technical Assumption'!S21*Assumptions!$H$68,0))</f>
        <v>26720.717670594513</v>
      </c>
      <c r="S10" s="74">
        <f>IF(S6&lt;Assumptions!$H$19,12*'Price_Technical Assumption'!T21*Assumptions!$H$68,IF(AND(R6&lt;Assumptions!$H$19,S6&gt;Assumptions!$H$19),(1-$C$6)*12*'Price_Technical Assumption'!T21*Assumptions!$H$68,0))</f>
        <v>26720.717670594513</v>
      </c>
      <c r="T10" s="74">
        <f>IF(T6&lt;Assumptions!$H$19,12*'Price_Technical Assumption'!U21*Assumptions!$H$68,IF(AND(S6&lt;Assumptions!$H$19,T6&gt;Assumptions!$H$19),(1-$C$6)*12*'Price_Technical Assumption'!U21*Assumptions!$H$68,0))</f>
        <v>26720.717670594513</v>
      </c>
      <c r="U10" s="74">
        <f>IF(U6&lt;Assumptions!$H$19,12*'Price_Technical Assumption'!V21*Assumptions!$H$68,IF(AND(T6&lt;Assumptions!$H$19,U6&gt;Assumptions!$H$19),(1-$C$6)*12*'Price_Technical Assumption'!V21*Assumptions!$H$68,0))</f>
        <v>26720.717670594513</v>
      </c>
      <c r="V10" s="74">
        <f>IF(V6&lt;Assumptions!$H$19,12*'Price_Technical Assumption'!W21*Assumptions!$H$68,IF(AND(U6&lt;Assumptions!$H$19,V6&gt;Assumptions!$H$19),(1-$C$6)*12*'Price_Technical Assumption'!W21*Assumptions!$H$68,0))</f>
        <v>26720.717670594513</v>
      </c>
      <c r="W10" s="74">
        <f>IF(W6&lt;Assumptions!$H$19,12*'Price_Technical Assumption'!X21*Assumptions!$H$68,IF(AND(V6&lt;Assumptions!$H$19,W6&gt;Assumptions!$H$19),(1-$C$6)*12*'Price_Technical Assumption'!X21*Assumptions!$H$68,0))</f>
        <v>26720.717670594513</v>
      </c>
      <c r="X10" s="74">
        <f>IF(X6&lt;Assumptions!$H$19,12*'Price_Technical Assumption'!Y21*Assumptions!$H$68,IF(AND(W6&lt;Assumptions!$H$19,X6&gt;Assumptions!$H$19),(1-$C$6)*12*'Price_Technical Assumption'!Y21*Assumptions!$H$68,0))</f>
        <v>26720.717670594513</v>
      </c>
      <c r="Y10" s="74">
        <f>IF(Y6&lt;Assumptions!$H$19,12*'Price_Technical Assumption'!Z21*Assumptions!$H$68,IF(AND(X6&lt;Assumptions!$H$19,Y6&gt;Assumptions!$H$19),(1-$C$6)*12*'Price_Technical Assumption'!Z21*Assumptions!$H$68,0))</f>
        <v>26720.717670594513</v>
      </c>
      <c r="Z10" s="74">
        <f>IF(Z6&lt;Assumptions!$H$19,12*'Price_Technical Assumption'!AA21*Assumptions!$H$68,IF(AND(Y6&lt;Assumptions!$H$19,Z6&gt;Assumptions!$H$19),(1-$C$6)*12*'Price_Technical Assumption'!AA21*Assumptions!$H$68,0))</f>
        <v>26720.717670594513</v>
      </c>
      <c r="AA10" s="74">
        <f>IF(AA6&lt;Assumptions!$H$19,12*'Price_Technical Assumption'!AB21*Assumptions!$H$68,IF(AND(Z6&lt;Assumptions!$H$19,AA6&gt;Assumptions!$H$19),(1-$C$6)*12*'Price_Technical Assumption'!AB21*Assumptions!$H$68,0))</f>
        <v>26720.717670594513</v>
      </c>
      <c r="AB10" s="74">
        <f>IF(AB6&lt;Assumptions!$H$19,12*'Price_Technical Assumption'!AC21*Assumptions!$H$68,IF(AND(AA6&lt;Assumptions!$H$19,AB6&gt;Assumptions!$H$19),(1-$C$6)*12*'Price_Technical Assumption'!AC21*Assumptions!$H$68,0))</f>
        <v>26720.717670594513</v>
      </c>
      <c r="AC10" s="74">
        <f>IF(AC6&lt;Assumptions!$H$19,12*'Price_Technical Assumption'!AD21*Assumptions!$H$68,IF(AND(AB6&lt;Assumptions!$H$19,AC6&gt;Assumptions!$H$19),(1-$C$6)*12*'Price_Technical Assumption'!AD21*Assumptions!$H$68,0))</f>
        <v>26720.717670594513</v>
      </c>
      <c r="AD10" s="74">
        <f>IF(AD6&lt;Assumptions!$H$19,12*'Price_Technical Assumption'!AE21*Assumptions!$H$68,IF(AND(AC6&lt;Assumptions!$H$19,AD6&gt;Assumptions!$H$19),(1-$C$6)*12*'Price_Technical Assumption'!AE21*Assumptions!$H$68,0))</f>
        <v>26720.717670594513</v>
      </c>
      <c r="AE10" s="74">
        <f>IF(AE6&lt;Assumptions!$H$19,12*'Price_Technical Assumption'!AF21*Assumptions!$H$68,IF(AND(AD6&lt;Assumptions!$H$19,AE6&gt;Assumptions!$H$19),(1-$C$6)*12*'Price_Technical Assumption'!AF21*Assumptions!$H$68,0))</f>
        <v>26720.717670594513</v>
      </c>
      <c r="AF10" s="74">
        <f>IF(AF6&lt;Assumptions!$H$19,12*'Price_Technical Assumption'!AG21*Assumptions!$H$68,IF(AND(AE6&lt;Assumptions!$H$19,AF6&gt;Assumptions!$H$19),(1-$C$6)*12*'Price_Technical Assumption'!AG21*Assumptions!$H$68,0))</f>
        <v>26720.717670594513</v>
      </c>
      <c r="AG10" s="74">
        <f>IF(AG6&lt;Assumptions!$H$19,12*'Price_Technical Assumption'!AH21*Assumptions!$H$68,IF(AND(AF6&lt;Assumptions!$H$19,AG6&gt;Assumptions!$H$19),(1-$C$6)*12*'Price_Technical Assumption'!AH21*Assumptions!$H$68,0))</f>
        <v>10090.176250570004</v>
      </c>
    </row>
    <row r="11" spans="1:33">
      <c r="A11" s="3" t="s">
        <v>114</v>
      </c>
      <c r="C11" s="74">
        <f>IF(Assumptions!$W$14="Pass-through",0,'Price_Technical Assumption'!D38*Assumptions!$H$62/1000)</f>
        <v>0</v>
      </c>
      <c r="D11" s="74">
        <f>IF(Assumptions!$W$14="Pass-through",0,'Price_Technical Assumption'!E38*Assumptions!$H$62/1000)</f>
        <v>0</v>
      </c>
      <c r="E11" s="74">
        <f>IF(Assumptions!$W$14="Pass-through",0,'Price_Technical Assumption'!F38*Assumptions!$H$62/1000)</f>
        <v>0</v>
      </c>
      <c r="F11" s="74">
        <f>IF(Assumptions!$W$14="Pass-through",0,'Price_Technical Assumption'!G38*Assumptions!$H$62/1000)</f>
        <v>0</v>
      </c>
      <c r="G11" s="74">
        <f>IF(Assumptions!$W$14="Pass-through",0,'Price_Technical Assumption'!H38*Assumptions!$H$62/1000)</f>
        <v>0</v>
      </c>
      <c r="H11" s="74">
        <f>IF(Assumptions!$W$14="Pass-through",0,'Price_Technical Assumption'!I38*Assumptions!$H$62/1000)</f>
        <v>0</v>
      </c>
      <c r="I11" s="74">
        <f>IF(Assumptions!$W$14="Pass-through",0,'Price_Technical Assumption'!J38*Assumptions!$H$62/1000)</f>
        <v>0</v>
      </c>
      <c r="J11" s="74">
        <f>IF(Assumptions!$W$14="Pass-through",0,'Price_Technical Assumption'!K38*Assumptions!$H$62/1000)</f>
        <v>0</v>
      </c>
      <c r="K11" s="74">
        <f>IF(Assumptions!$W$14="Pass-through",0,'Price_Technical Assumption'!L38*Assumptions!$H$62/1000)</f>
        <v>0</v>
      </c>
      <c r="L11" s="74">
        <f>IF(Assumptions!$W$14="Pass-through",0,'Price_Technical Assumption'!M38*Assumptions!$H$62/1000)</f>
        <v>0</v>
      </c>
      <c r="M11" s="74">
        <f>IF(Assumptions!$W$14="Pass-through",0,'Price_Technical Assumption'!N38*Assumptions!$H$62/1000)</f>
        <v>0</v>
      </c>
      <c r="N11" s="74">
        <f>IF(Assumptions!$W$14="Pass-through",0,'Price_Technical Assumption'!O38*Assumptions!$H$62/1000)</f>
        <v>0</v>
      </c>
      <c r="O11" s="74">
        <f>IF(Assumptions!$W$14="Pass-through",0,'Price_Technical Assumption'!P38*Assumptions!$H$62/1000)</f>
        <v>0</v>
      </c>
      <c r="P11" s="74">
        <f>IF(Assumptions!$W$14="Pass-through",0,'Price_Technical Assumption'!Q38*Assumptions!$H$62/1000)</f>
        <v>0</v>
      </c>
      <c r="Q11" s="74">
        <f>IF(Assumptions!$W$14="Pass-through",0,'Price_Technical Assumption'!R38*Assumptions!$H$62/1000)</f>
        <v>0</v>
      </c>
      <c r="R11" s="74">
        <f>IF(Assumptions!$W$14="Pass-through",0,'Price_Technical Assumption'!S38*Assumptions!$H$62/1000)</f>
        <v>0</v>
      </c>
      <c r="S11" s="74">
        <f>IF(Assumptions!$W$14="Pass-through",0,'Price_Technical Assumption'!T38*Assumptions!$H$62/1000)</f>
        <v>0</v>
      </c>
      <c r="T11" s="74">
        <f>IF(Assumptions!$W$14="Pass-through",0,'Price_Technical Assumption'!U38*Assumptions!$H$62/1000)</f>
        <v>0</v>
      </c>
      <c r="U11" s="74">
        <f>IF(Assumptions!$W$14="Pass-through",0,'Price_Technical Assumption'!V38*Assumptions!$H$62/1000)</f>
        <v>0</v>
      </c>
      <c r="V11" s="74">
        <f>IF(Assumptions!$W$14="Pass-through",0,'Price_Technical Assumption'!W38*Assumptions!$H$62/1000)</f>
        <v>0</v>
      </c>
      <c r="W11" s="74">
        <f>IF(Assumptions!$W$14="Pass-through",0,'Price_Technical Assumption'!X38*Assumptions!$H$62/1000)</f>
        <v>0</v>
      </c>
      <c r="X11" s="74">
        <f>IF(Assumptions!$W$14="Pass-through",0,'Price_Technical Assumption'!Y38*Assumptions!$H$62/1000)</f>
        <v>0</v>
      </c>
      <c r="Y11" s="74">
        <f>IF(Assumptions!$W$14="Pass-through",0,'Price_Technical Assumption'!Z38*Assumptions!$H$62/1000)</f>
        <v>0</v>
      </c>
      <c r="Z11" s="74">
        <f>IF(Assumptions!$W$14="Pass-through",0,'Price_Technical Assumption'!AA38*Assumptions!$H$62/1000)</f>
        <v>0</v>
      </c>
      <c r="AA11" s="74">
        <f>IF(Assumptions!$W$14="Pass-through",0,'Price_Technical Assumption'!AB38*Assumptions!$H$62/1000)</f>
        <v>0</v>
      </c>
      <c r="AB11" s="74">
        <f>IF(Assumptions!$W$14="Pass-through",0,'Price_Technical Assumption'!AC38*Assumptions!$H$62/1000)</f>
        <v>0</v>
      </c>
      <c r="AC11" s="74">
        <f>IF(Assumptions!$W$14="Pass-through",0,'Price_Technical Assumption'!AD38*Assumptions!$H$62/1000)</f>
        <v>0</v>
      </c>
      <c r="AD11" s="74">
        <f>IF(Assumptions!$W$14="Pass-through",0,'Price_Technical Assumption'!AE38*Assumptions!$H$62/1000)</f>
        <v>0</v>
      </c>
      <c r="AE11" s="74">
        <f>IF(Assumptions!$W$14="Pass-through",0,'Price_Technical Assumption'!AF38*Assumptions!$H$62/1000)</f>
        <v>0</v>
      </c>
      <c r="AF11" s="74">
        <f>IF(Assumptions!$W$14="Pass-through",0,'Price_Technical Assumption'!AG38*Assumptions!$H$62/1000)</f>
        <v>0</v>
      </c>
      <c r="AG11" s="74">
        <f>IF(Assumptions!$W$14="Pass-through",0,'Price_Technical Assumption'!AH38*Assumptions!$H$62/1000)</f>
        <v>0</v>
      </c>
    </row>
    <row r="12" spans="1:33">
      <c r="A12" s="206" t="s">
        <v>115</v>
      </c>
      <c r="C12" s="361">
        <v>0</v>
      </c>
      <c r="D12" s="361">
        <v>0</v>
      </c>
      <c r="E12" s="361">
        <v>0</v>
      </c>
      <c r="F12" s="361">
        <v>0</v>
      </c>
      <c r="G12" s="361">
        <v>0</v>
      </c>
      <c r="H12" s="361">
        <v>0</v>
      </c>
      <c r="I12" s="361">
        <v>0</v>
      </c>
      <c r="J12" s="361">
        <v>0</v>
      </c>
      <c r="K12" s="361">
        <v>0</v>
      </c>
      <c r="L12" s="361">
        <v>0</v>
      </c>
      <c r="M12" s="361">
        <v>0</v>
      </c>
      <c r="N12" s="361">
        <v>0</v>
      </c>
      <c r="O12" s="361">
        <v>0</v>
      </c>
      <c r="P12" s="361">
        <v>0</v>
      </c>
      <c r="Q12" s="361">
        <v>0</v>
      </c>
      <c r="R12" s="361">
        <v>0</v>
      </c>
      <c r="S12" s="361">
        <v>0</v>
      </c>
      <c r="T12" s="361">
        <v>0</v>
      </c>
      <c r="U12" s="361">
        <v>0</v>
      </c>
      <c r="V12" s="361">
        <v>0</v>
      </c>
      <c r="W12" s="361">
        <v>0</v>
      </c>
      <c r="X12" s="361">
        <v>0</v>
      </c>
      <c r="Y12" s="361">
        <v>0</v>
      </c>
      <c r="Z12" s="361">
        <v>0</v>
      </c>
      <c r="AA12" s="361">
        <v>0</v>
      </c>
      <c r="AB12" s="361">
        <v>0</v>
      </c>
      <c r="AC12" s="361">
        <v>0</v>
      </c>
      <c r="AD12" s="361">
        <v>0</v>
      </c>
      <c r="AE12" s="361">
        <v>0</v>
      </c>
      <c r="AF12" s="361">
        <v>0</v>
      </c>
      <c r="AG12" s="361">
        <v>0</v>
      </c>
    </row>
    <row r="13" spans="1:33">
      <c r="A13" s="172" t="s">
        <v>40</v>
      </c>
      <c r="C13" s="65">
        <f t="shared" ref="C13:AG13" si="0">SUM(C10:C12)</f>
        <v>17813.811780396343</v>
      </c>
      <c r="D13" s="65">
        <f t="shared" si="0"/>
        <v>26720.717670594513</v>
      </c>
      <c r="E13" s="65">
        <f t="shared" si="0"/>
        <v>26720.717670594513</v>
      </c>
      <c r="F13" s="65">
        <f t="shared" si="0"/>
        <v>26720.717670594513</v>
      </c>
      <c r="G13" s="65">
        <f t="shared" si="0"/>
        <v>26720.717670594513</v>
      </c>
      <c r="H13" s="65">
        <f t="shared" si="0"/>
        <v>26720.717670594513</v>
      </c>
      <c r="I13" s="65">
        <f t="shared" si="0"/>
        <v>26720.717670594513</v>
      </c>
      <c r="J13" s="65">
        <f t="shared" si="0"/>
        <v>26720.717670594513</v>
      </c>
      <c r="K13" s="65">
        <f t="shared" si="0"/>
        <v>26720.717670594513</v>
      </c>
      <c r="L13" s="65">
        <f t="shared" si="0"/>
        <v>26720.717670594513</v>
      </c>
      <c r="M13" s="65">
        <f t="shared" si="0"/>
        <v>26720.717670594513</v>
      </c>
      <c r="N13" s="65">
        <f t="shared" si="0"/>
        <v>26720.717670594513</v>
      </c>
      <c r="O13" s="65">
        <f t="shared" si="0"/>
        <v>26720.717670594513</v>
      </c>
      <c r="P13" s="65">
        <f t="shared" si="0"/>
        <v>26720.717670594513</v>
      </c>
      <c r="Q13" s="65">
        <f t="shared" si="0"/>
        <v>26720.717670594513</v>
      </c>
      <c r="R13" s="65">
        <f t="shared" si="0"/>
        <v>26720.717670594513</v>
      </c>
      <c r="S13" s="65">
        <f t="shared" si="0"/>
        <v>26720.717670594513</v>
      </c>
      <c r="T13" s="65">
        <f t="shared" si="0"/>
        <v>26720.717670594513</v>
      </c>
      <c r="U13" s="65">
        <f t="shared" si="0"/>
        <v>26720.717670594513</v>
      </c>
      <c r="V13" s="65">
        <f t="shared" si="0"/>
        <v>26720.717670594513</v>
      </c>
      <c r="W13" s="65">
        <f t="shared" si="0"/>
        <v>26720.717670594513</v>
      </c>
      <c r="X13" s="65">
        <f t="shared" si="0"/>
        <v>26720.717670594513</v>
      </c>
      <c r="Y13" s="65">
        <f t="shared" si="0"/>
        <v>26720.717670594513</v>
      </c>
      <c r="Z13" s="65">
        <f t="shared" si="0"/>
        <v>26720.717670594513</v>
      </c>
      <c r="AA13" s="65">
        <f t="shared" si="0"/>
        <v>26720.717670594513</v>
      </c>
      <c r="AB13" s="65">
        <f t="shared" si="0"/>
        <v>26720.717670594513</v>
      </c>
      <c r="AC13" s="65">
        <f t="shared" si="0"/>
        <v>26720.717670594513</v>
      </c>
      <c r="AD13" s="65">
        <f t="shared" si="0"/>
        <v>26720.717670594513</v>
      </c>
      <c r="AE13" s="65">
        <f t="shared" si="0"/>
        <v>26720.717670594513</v>
      </c>
      <c r="AF13" s="65">
        <f t="shared" si="0"/>
        <v>26720.717670594513</v>
      </c>
      <c r="AG13" s="65">
        <f t="shared" si="0"/>
        <v>10090.176250570004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6">
        <f>IF(Assumptions!$W$14="Pass-through",0,Assumptions!$H$62*'Price_Technical Assumption'!D30*'Price_Technical Assumption'!D44/1000000)</f>
        <v>0</v>
      </c>
      <c r="D16" s="216">
        <f>IF(Assumptions!$W$14="Pass-through",0,Assumptions!$H$62*'Price_Technical Assumption'!E30*'Price_Technical Assumption'!E44/1000000)</f>
        <v>0</v>
      </c>
      <c r="E16" s="216">
        <f>IF(Assumptions!$W$14="Pass-through",0,Assumptions!$H$62*'Price_Technical Assumption'!F30*'Price_Technical Assumption'!F44/1000000)</f>
        <v>0</v>
      </c>
      <c r="F16" s="216">
        <f>IF(Assumptions!$W$14="Pass-through",0,Assumptions!$H$62*'Price_Technical Assumption'!G30*'Price_Technical Assumption'!G44/1000000)</f>
        <v>0</v>
      </c>
      <c r="G16" s="216">
        <f>IF(Assumptions!$W$14="Pass-through",0,Assumptions!$H$62*'Price_Technical Assumption'!H30*'Price_Technical Assumption'!H44/1000000)</f>
        <v>0</v>
      </c>
      <c r="H16" s="216">
        <f>IF(Assumptions!$W$14="Pass-through",0,Assumptions!$H$62*'Price_Technical Assumption'!I30*'Price_Technical Assumption'!I44/1000000)</f>
        <v>0</v>
      </c>
      <c r="I16" s="216">
        <f>IF(Assumptions!$W$14="Pass-through",0,Assumptions!$H$62*'Price_Technical Assumption'!J30*'Price_Technical Assumption'!J44/1000000)</f>
        <v>0</v>
      </c>
      <c r="J16" s="216">
        <f>IF(Assumptions!$W$14="Pass-through",0,Assumptions!$H$62*'Price_Technical Assumption'!K30*'Price_Technical Assumption'!K44/1000000)</f>
        <v>0</v>
      </c>
      <c r="K16" s="216">
        <f>IF(Assumptions!$W$14="Pass-through",0,Assumptions!$H$62*'Price_Technical Assumption'!L30*'Price_Technical Assumption'!L44/1000000)</f>
        <v>0</v>
      </c>
      <c r="L16" s="216">
        <f>IF(Assumptions!$W$14="Pass-through",0,Assumptions!$H$62*'Price_Technical Assumption'!M30*'Price_Technical Assumption'!M44/1000000)</f>
        <v>0</v>
      </c>
      <c r="M16" s="216">
        <f>IF(Assumptions!$W$14="Pass-through",0,Assumptions!$H$62*'Price_Technical Assumption'!N30*'Price_Technical Assumption'!N44/1000000)</f>
        <v>0</v>
      </c>
      <c r="N16" s="216">
        <f>IF(Assumptions!$W$14="Pass-through",0,Assumptions!$H$62*'Price_Technical Assumption'!O30*'Price_Technical Assumption'!O44/1000000)</f>
        <v>0</v>
      </c>
      <c r="O16" s="216">
        <f>IF(Assumptions!$W$14="Pass-through",0,Assumptions!$H$62*'Price_Technical Assumption'!P30*'Price_Technical Assumption'!P44/1000000)</f>
        <v>0</v>
      </c>
      <c r="P16" s="216">
        <f>IF(Assumptions!$W$14="Pass-through",0,Assumptions!$H$62*'Price_Technical Assumption'!Q30*'Price_Technical Assumption'!Q44/1000000)</f>
        <v>0</v>
      </c>
      <c r="Q16" s="216">
        <f>IF(Assumptions!$W$14="Pass-through",0,Assumptions!$H$62*'Price_Technical Assumption'!R30*'Price_Technical Assumption'!R44/1000000)</f>
        <v>0</v>
      </c>
      <c r="R16" s="216">
        <f>IF(Assumptions!$W$14="Pass-through",0,Assumptions!$H$62*'Price_Technical Assumption'!S30*'Price_Technical Assumption'!S44/1000000)</f>
        <v>0</v>
      </c>
      <c r="S16" s="216">
        <f>IF(Assumptions!$W$14="Pass-through",0,Assumptions!$H$62*'Price_Technical Assumption'!T30*'Price_Technical Assumption'!T44/1000000)</f>
        <v>0</v>
      </c>
      <c r="T16" s="216">
        <f>IF(Assumptions!$W$14="Pass-through",0,Assumptions!$H$62*'Price_Technical Assumption'!U30*'Price_Technical Assumption'!U44/1000000)</f>
        <v>0</v>
      </c>
      <c r="U16" s="216">
        <f>IF(Assumptions!$W$14="Pass-through",0,Assumptions!$H$62*'Price_Technical Assumption'!V30*'Price_Technical Assumption'!V44/1000000)</f>
        <v>0</v>
      </c>
      <c r="V16" s="216">
        <f>IF(Assumptions!$W$14="Pass-through",0,Assumptions!$H$62*'Price_Technical Assumption'!W30*'Price_Technical Assumption'!W44/1000000)</f>
        <v>0</v>
      </c>
      <c r="W16" s="216">
        <f>IF(Assumptions!$W$14="Pass-through",0,Assumptions!$H$62*'Price_Technical Assumption'!X30*'Price_Technical Assumption'!X44/1000000)</f>
        <v>0</v>
      </c>
      <c r="X16" s="216">
        <f>IF(Assumptions!$W$14="Pass-through",0,Assumptions!$H$62*'Price_Technical Assumption'!Y30*'Price_Technical Assumption'!Y44/1000000)</f>
        <v>0</v>
      </c>
      <c r="Y16" s="216">
        <f>IF(Assumptions!$W$14="Pass-through",0,Assumptions!$H$62*'Price_Technical Assumption'!Z30*'Price_Technical Assumption'!Z44/1000000)</f>
        <v>0</v>
      </c>
      <c r="Z16" s="216">
        <f>IF(Assumptions!$W$14="Pass-through",0,Assumptions!$H$62*'Price_Technical Assumption'!AA30*'Price_Technical Assumption'!AA44/1000000)</f>
        <v>0</v>
      </c>
      <c r="AA16" s="216">
        <f>IF(Assumptions!$W$14="Pass-through",0,Assumptions!$H$62*'Price_Technical Assumption'!AB30*'Price_Technical Assumption'!AB44/1000000)</f>
        <v>0</v>
      </c>
      <c r="AB16" s="216">
        <f>IF(Assumptions!$W$14="Pass-through",0,Assumptions!$H$62*'Price_Technical Assumption'!AC30*'Price_Technical Assumption'!AC44/1000000)</f>
        <v>0</v>
      </c>
      <c r="AC16" s="216">
        <f>IF(Assumptions!$W$14="Pass-through",0,Assumptions!$H$62*'Price_Technical Assumption'!AD30*'Price_Technical Assumption'!AD44/1000000)</f>
        <v>0</v>
      </c>
      <c r="AD16" s="216">
        <f>IF(Assumptions!$W$14="Pass-through",0,Assumptions!$H$62*'Price_Technical Assumption'!AE30*'Price_Technical Assumption'!AE44/1000000)</f>
        <v>0</v>
      </c>
      <c r="AE16" s="216">
        <f>IF(Assumptions!$W$14="Pass-through",0,Assumptions!$H$62*'Price_Technical Assumption'!AF30*'Price_Technical Assumption'!AF44/1000000)</f>
        <v>0</v>
      </c>
      <c r="AF16" s="216">
        <f>IF(Assumptions!$W$14="Pass-through",0,Assumptions!$H$62*'Price_Technical Assumption'!AG30*'Price_Technical Assumption'!AG44/1000000)</f>
        <v>0</v>
      </c>
      <c r="AG16" s="216">
        <f>IF(Assumptions!$W$14="Pass-through",0,Assumptions!$H$62*'Price_Technical Assumption'!AH30*'Price_Technical Assumption'!AH44/1000000)</f>
        <v>0</v>
      </c>
    </row>
    <row r="17" spans="1:47">
      <c r="A17" s="3" t="s">
        <v>193</v>
      </c>
      <c r="C17" s="74">
        <f>Assumptions!$N19*C6</f>
        <v>729.09066666666661</v>
      </c>
      <c r="D17" s="74">
        <f>Assumptions!$N19*(1+Assumptions!$N$11)</f>
        <v>1115.50872</v>
      </c>
      <c r="E17" s="74">
        <f>D17*(1+Assumptions!$N$11)</f>
        <v>1137.8188944000001</v>
      </c>
      <c r="F17" s="74">
        <f>E17*(1+Assumptions!$N$11)</f>
        <v>1160.5752722880002</v>
      </c>
      <c r="G17" s="74">
        <f>F17*(1+Assumptions!$N$11)</f>
        <v>1183.7867777337601</v>
      </c>
      <c r="H17" s="74">
        <f>G17*(1+Assumptions!$N$11)</f>
        <v>1207.4625132884353</v>
      </c>
      <c r="I17" s="74">
        <f>H17*(1+Assumptions!$N$11)</f>
        <v>1231.6117635542039</v>
      </c>
      <c r="J17" s="74">
        <f>I17*(1+Assumptions!$N$11)</f>
        <v>1256.2439988252879</v>
      </c>
      <c r="K17" s="74">
        <f>J17*(1+Assumptions!$N$11)</f>
        <v>1281.3688788017937</v>
      </c>
      <c r="L17" s="74">
        <f>K17*(1+Assumptions!$N$11)</f>
        <v>1306.9962563778297</v>
      </c>
      <c r="M17" s="74">
        <f>L17*(1+Assumptions!$N$11)</f>
        <v>1333.1361815053863</v>
      </c>
      <c r="N17" s="74">
        <f>M17*(1+Assumptions!$N$11)</f>
        <v>1359.7989051354941</v>
      </c>
      <c r="O17" s="74">
        <f>N17*(1+Assumptions!$N$11)</f>
        <v>1386.994883238204</v>
      </c>
      <c r="P17" s="74">
        <f>O17*(1+Assumptions!$N$11)</f>
        <v>1414.7347809029682</v>
      </c>
      <c r="Q17" s="74">
        <f>P17*(1+Assumptions!$N$11)</f>
        <v>1443.0294765210276</v>
      </c>
      <c r="R17" s="74">
        <f>Q17*(1+Assumptions!$N$11)</f>
        <v>1471.8900660514482</v>
      </c>
      <c r="S17" s="74">
        <f>R17*(1+Assumptions!$N$11)</f>
        <v>1501.3278673724772</v>
      </c>
      <c r="T17" s="74">
        <f>S17*(1+Assumptions!$N$11)</f>
        <v>1531.3544247199268</v>
      </c>
      <c r="U17" s="74">
        <f>T17*(1+Assumptions!$N$11)</f>
        <v>1561.9815132143253</v>
      </c>
      <c r="V17" s="74">
        <f>U17*(1+Assumptions!$N$11)</f>
        <v>1593.2211434786118</v>
      </c>
      <c r="W17" s="74">
        <f>V17*(1+Assumptions!$N$11)</f>
        <v>1625.0855663481841</v>
      </c>
      <c r="X17" s="74">
        <f>W17*(1+Assumptions!$N$11)</f>
        <v>1657.5872776751478</v>
      </c>
      <c r="Y17" s="74">
        <f>X17*(1+Assumptions!$N$11)</f>
        <v>1690.7390232286507</v>
      </c>
      <c r="Z17" s="74">
        <f>Y17*(1+Assumptions!$N$11)</f>
        <v>1724.5538036932237</v>
      </c>
      <c r="AA17" s="74">
        <f>Z17*(1+Assumptions!$N$11)</f>
        <v>1759.0448797670881</v>
      </c>
      <c r="AB17" s="74">
        <f>AA17*(1+Assumptions!$N$11)</f>
        <v>1794.2257773624299</v>
      </c>
      <c r="AC17" s="74">
        <f>AB17*(1+Assumptions!$N$11)</f>
        <v>1830.1102929096785</v>
      </c>
      <c r="AD17" s="74">
        <f>AC17*(1+Assumptions!$N$11)</f>
        <v>1866.7124987678721</v>
      </c>
      <c r="AE17" s="74">
        <f>AD17*(1+Assumptions!$N$11)</f>
        <v>1904.0467487432297</v>
      </c>
      <c r="AF17" s="74">
        <f>AE17*(1+Assumptions!$N$11)</f>
        <v>1942.1276837180944</v>
      </c>
      <c r="AG17" s="74">
        <f>AF17*(1+Assumptions!$N$11)</f>
        <v>1980.9702373924563</v>
      </c>
    </row>
    <row r="18" spans="1:47">
      <c r="A18" s="3" t="s">
        <v>239</v>
      </c>
      <c r="B18" s="65"/>
      <c r="C18" s="216">
        <f>IF(Assumptions!W14="Pass-through",0,+(Assumptions!$P$15*Assumptions!$H$62)/1000*(1+Assumptions!$N$11)^IS!C6)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240</v>
      </c>
      <c r="C19" s="74">
        <f>IF(Assumptions!W14="Pass-through",0,Assumptions!$P$16*Assumptions!$H$62/1000*(1+Assumptions!$N$11)^IS!C6)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166.66666666666666</v>
      </c>
      <c r="D20" s="74">
        <f>Assumptions!$N20*(1+Assumptions!$N$11)</f>
        <v>255</v>
      </c>
      <c r="E20" s="74">
        <f>D20*(1+Assumptions!$N$11)</f>
        <v>260.10000000000002</v>
      </c>
      <c r="F20" s="74">
        <f>E20*(1+Assumptions!$N$11)</f>
        <v>265.30200000000002</v>
      </c>
      <c r="G20" s="74">
        <f>F20*(1+Assumptions!$N$11)</f>
        <v>270.60804000000002</v>
      </c>
      <c r="H20" s="74">
        <f>G20*(1+Assumptions!$N$11)</f>
        <v>276.0202008</v>
      </c>
      <c r="I20" s="74">
        <f>H20*(1+Assumptions!$N$11)</f>
        <v>281.54060481599998</v>
      </c>
      <c r="J20" s="74">
        <f>I20*(1+Assumptions!$N$11)</f>
        <v>287.17141691232001</v>
      </c>
      <c r="K20" s="74">
        <f>J20*(1+Assumptions!$N$11)</f>
        <v>292.91484525056643</v>
      </c>
      <c r="L20" s="74">
        <f>K20*(1+Assumptions!$N$11)</f>
        <v>298.77314215557777</v>
      </c>
      <c r="M20" s="74">
        <f>L20*(1+Assumptions!$N$11)</f>
        <v>304.74860499868936</v>
      </c>
      <c r="N20" s="74">
        <f>M20*(1+Assumptions!$N$11)</f>
        <v>310.84357709866316</v>
      </c>
      <c r="O20" s="74">
        <f>N20*(1+Assumptions!$N$11)</f>
        <v>317.06044864063642</v>
      </c>
      <c r="P20" s="74">
        <f>O20*(1+Assumptions!$N$11)</f>
        <v>323.40165761344917</v>
      </c>
      <c r="Q20" s="74">
        <f>P20*(1+Assumptions!$N$11)</f>
        <v>329.86969076571819</v>
      </c>
      <c r="R20" s="74">
        <f>Q20*(1+Assumptions!$N$11)</f>
        <v>336.46708458103257</v>
      </c>
      <c r="S20" s="74">
        <f>R20*(1+Assumptions!$N$11)</f>
        <v>343.19642627265324</v>
      </c>
      <c r="T20" s="74">
        <f>S20*(1+Assumptions!$N$11)</f>
        <v>350.06035479810629</v>
      </c>
      <c r="U20" s="74">
        <f>T20*(1+Assumptions!$N$11)</f>
        <v>357.0615618940684</v>
      </c>
      <c r="V20" s="74">
        <f>U20*(1+Assumptions!$N$11)</f>
        <v>364.20279313194976</v>
      </c>
      <c r="W20" s="74">
        <f>V20*(1+Assumptions!$N$11)</f>
        <v>371.48684899458874</v>
      </c>
      <c r="X20" s="74">
        <f>W20*(1+Assumptions!$N$11)</f>
        <v>378.91658597448054</v>
      </c>
      <c r="Y20" s="74">
        <f>X20*(1+Assumptions!$N$11)</f>
        <v>386.49491769397014</v>
      </c>
      <c r="Z20" s="74">
        <f>Y20*(1+Assumptions!$N$11)</f>
        <v>394.22481604784957</v>
      </c>
      <c r="AA20" s="74">
        <f>Z20*(1+Assumptions!$N$11)</f>
        <v>402.10931236880657</v>
      </c>
      <c r="AB20" s="74">
        <f>AA20*(1+Assumptions!$N$11)</f>
        <v>410.15149861618272</v>
      </c>
      <c r="AC20" s="74">
        <f>AB20*(1+Assumptions!$N$11)</f>
        <v>418.35452858850635</v>
      </c>
      <c r="AD20" s="74">
        <f>AC20*(1+Assumptions!$N$11)</f>
        <v>426.72161916027648</v>
      </c>
      <c r="AE20" s="74">
        <f>AD20*(1+Assumptions!$N$11)</f>
        <v>435.25605154348199</v>
      </c>
      <c r="AF20" s="74">
        <f>AE20*(1+Assumptions!$N$11)</f>
        <v>443.96117257435162</v>
      </c>
      <c r="AG20" s="74">
        <f>AF20*(1+Assumptions!$N$11)</f>
        <v>452.84039602583869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341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205</v>
      </c>
      <c r="C23" s="192">
        <f>Assumptions!N30</f>
        <v>3330.0150562698291</v>
      </c>
      <c r="D23" s="192">
        <f>C23*(1+Assumptions!$P$30)</f>
        <v>3330.0150562698291</v>
      </c>
      <c r="E23" s="192">
        <f>D23*(1+Assumptions!$P$30)</f>
        <v>3330.0150562698291</v>
      </c>
      <c r="F23" s="192">
        <f>E23*(1+Assumptions!$P$30)</f>
        <v>3330.0150562698291</v>
      </c>
      <c r="G23" s="192">
        <f>F23*(1+Assumptions!$P$30)</f>
        <v>3330.0150562698291</v>
      </c>
      <c r="H23" s="192">
        <f>G23*(1+Assumptions!$P$30)</f>
        <v>3330.0150562698291</v>
      </c>
      <c r="I23" s="192">
        <f>H23*(1+Assumptions!$P$30)</f>
        <v>3330.0150562698291</v>
      </c>
      <c r="J23" s="192">
        <f>I23*(1+Assumptions!$P$30)</f>
        <v>3330.0150562698291</v>
      </c>
      <c r="K23" s="192">
        <f>J23*(1+Assumptions!$P$30)</f>
        <v>3330.0150562698291</v>
      </c>
      <c r="L23" s="192">
        <f>K23*(1+Assumptions!$P$30)</f>
        <v>3330.0150562698291</v>
      </c>
      <c r="M23" s="192">
        <f>L23*(1+Assumptions!$P$30)</f>
        <v>3330.0150562698291</v>
      </c>
      <c r="N23" s="192">
        <f>M23*(1+Assumptions!$P$30)</f>
        <v>3330.0150562698291</v>
      </c>
      <c r="O23" s="192">
        <f>N23*(1+Assumptions!$P$30)</f>
        <v>3330.0150562698291</v>
      </c>
      <c r="P23" s="192">
        <f>O23*(1+Assumptions!$P$30)</f>
        <v>3330.0150562698291</v>
      </c>
      <c r="Q23" s="192">
        <f>P23*(1+Assumptions!$P$30)</f>
        <v>3330.0150562698291</v>
      </c>
      <c r="R23" s="192">
        <f>Q23*(1+Assumptions!$P$30)</f>
        <v>3330.0150562698291</v>
      </c>
      <c r="S23" s="192">
        <f>R23*(1+Assumptions!$P$30)</f>
        <v>3330.0150562698291</v>
      </c>
      <c r="T23" s="192">
        <f>S23*(1+Assumptions!$P$30)</f>
        <v>3330.0150562698291</v>
      </c>
      <c r="U23" s="192">
        <f>T23*(1+Assumptions!$P$30)</f>
        <v>3330.0150562698291</v>
      </c>
      <c r="V23" s="192">
        <f>U23*(1+Assumptions!$P$30)</f>
        <v>3330.0150562698291</v>
      </c>
      <c r="W23" s="192">
        <f>V23*(1+Assumptions!$P$30)</f>
        <v>3330.0150562698291</v>
      </c>
      <c r="X23" s="192">
        <f>W23*(1+Assumptions!$P$30)</f>
        <v>3330.0150562698291</v>
      </c>
      <c r="Y23" s="192">
        <f>X23*(1+Assumptions!$P$30)</f>
        <v>3330.0150562698291</v>
      </c>
      <c r="Z23" s="192">
        <f>Y23*(1+Assumptions!$P$30)</f>
        <v>3330.0150562698291</v>
      </c>
      <c r="AA23" s="192">
        <f>Z23*(1+Assumptions!$P$30)</f>
        <v>3330.0150562698291</v>
      </c>
      <c r="AB23" s="192">
        <f>AA23*(1+Assumptions!$P$30)</f>
        <v>3330.0150562698291</v>
      </c>
      <c r="AC23" s="192">
        <f>AB23*(1+Assumptions!$P$30)</f>
        <v>3330.0150562698291</v>
      </c>
      <c r="AD23" s="192">
        <f>AC23*(1+Assumptions!$P$30)</f>
        <v>3330.0150562698291</v>
      </c>
      <c r="AE23" s="192">
        <f>AD23*(1+Assumptions!$P$30)</f>
        <v>3330.0150562698291</v>
      </c>
      <c r="AF23" s="192">
        <f>AE23*(1+Assumptions!$P$30)</f>
        <v>3330.0150562698291</v>
      </c>
      <c r="AG23" s="192">
        <f>AF23*(1+Assumptions!$P$30)</f>
        <v>3330.0150562698291</v>
      </c>
    </row>
    <row r="24" spans="1:47">
      <c r="A24" s="5" t="s">
        <v>195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199</v>
      </c>
      <c r="C25" s="192">
        <v>0</v>
      </c>
      <c r="D25" s="192">
        <v>0</v>
      </c>
      <c r="E25" s="192">
        <v>0</v>
      </c>
      <c r="F25" s="192">
        <v>0</v>
      </c>
      <c r="G25" s="192">
        <v>0</v>
      </c>
      <c r="H25" s="192">
        <v>0</v>
      </c>
      <c r="I25" s="192">
        <v>0</v>
      </c>
      <c r="J25" s="192">
        <v>0</v>
      </c>
      <c r="K25" s="192">
        <v>0</v>
      </c>
      <c r="L25" s="192">
        <v>0</v>
      </c>
      <c r="M25" s="192">
        <v>0</v>
      </c>
      <c r="N25" s="192">
        <v>0</v>
      </c>
      <c r="O25" s="192">
        <v>0</v>
      </c>
      <c r="P25" s="192">
        <v>0</v>
      </c>
      <c r="Q25" s="192">
        <v>0</v>
      </c>
      <c r="R25" s="192">
        <v>0</v>
      </c>
      <c r="S25" s="192">
        <v>0</v>
      </c>
      <c r="T25" s="192">
        <v>0</v>
      </c>
      <c r="U25" s="192">
        <v>0</v>
      </c>
      <c r="V25" s="192">
        <v>0</v>
      </c>
      <c r="W25" s="192">
        <v>0</v>
      </c>
      <c r="X25" s="192">
        <v>0</v>
      </c>
      <c r="Y25" s="192">
        <v>0</v>
      </c>
      <c r="Z25" s="192">
        <v>0</v>
      </c>
      <c r="AA25" s="192">
        <v>0</v>
      </c>
      <c r="AB25" s="192">
        <v>0</v>
      </c>
      <c r="AC25" s="192">
        <v>0</v>
      </c>
      <c r="AD25" s="192">
        <v>0</v>
      </c>
      <c r="AE25" s="192">
        <v>0</v>
      </c>
      <c r="AF25" s="192">
        <v>0</v>
      </c>
      <c r="AG25" s="192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558.66666666666663</v>
      </c>
      <c r="D27" s="74">
        <f>Assumptions!$O$23*Assumptions!$H$68*(1+Assumptions!$N$11)</f>
        <v>854.76</v>
      </c>
      <c r="E27" s="74">
        <f>Assumptions!$O$23*Assumptions!$H$68*(1+Assumptions!$N$11)</f>
        <v>854.76</v>
      </c>
      <c r="F27" s="74">
        <f>Assumptions!$O$23*Assumptions!$H$68*(1+Assumptions!$N$11)</f>
        <v>854.76</v>
      </c>
      <c r="G27" s="74">
        <f>Assumptions!$O$23*Assumptions!$H$68*(1+Assumptions!$N$11)</f>
        <v>854.76</v>
      </c>
      <c r="H27" s="74">
        <f>Assumptions!$O$23*Assumptions!$H$68*(1+Assumptions!$N$11)</f>
        <v>854.76</v>
      </c>
      <c r="I27" s="74">
        <f>Assumptions!$O$23*Assumptions!$H$68*(1+Assumptions!$N$11)</f>
        <v>854.76</v>
      </c>
      <c r="J27" s="74">
        <f>Assumptions!$O$23*Assumptions!$H$68*(1+Assumptions!$N$11)</f>
        <v>854.76</v>
      </c>
      <c r="K27" s="74">
        <f>Assumptions!$O$23*Assumptions!$H$68*(1+Assumptions!$N$11)</f>
        <v>854.76</v>
      </c>
      <c r="L27" s="74">
        <f>Assumptions!$O$23*Assumptions!$H$68*(1+Assumptions!$N$11)</f>
        <v>854.76</v>
      </c>
      <c r="M27" s="74">
        <f>Assumptions!$O$23*Assumptions!$H$68*(1+Assumptions!$N$11)</f>
        <v>854.76</v>
      </c>
      <c r="N27" s="74">
        <f>Assumptions!$O$23*Assumptions!$H$68*(1+Assumptions!$N$11)</f>
        <v>854.76</v>
      </c>
      <c r="O27" s="74">
        <f>Assumptions!$O$23*Assumptions!$H$68*(1+Assumptions!$N$11)</f>
        <v>854.76</v>
      </c>
      <c r="P27" s="74">
        <f>Assumptions!$O$23*Assumptions!$H$68*(1+Assumptions!$N$11)</f>
        <v>854.76</v>
      </c>
      <c r="Q27" s="74">
        <f>Assumptions!$O$23*Assumptions!$H$68*(1+Assumptions!$N$11)</f>
        <v>854.76</v>
      </c>
      <c r="R27" s="74">
        <f>Assumptions!$O$23*Assumptions!$H$68*(1+Assumptions!$N$11)</f>
        <v>854.76</v>
      </c>
      <c r="S27" s="74">
        <f>Assumptions!$O$23*Assumptions!$H$68*(1+Assumptions!$N$11)</f>
        <v>854.76</v>
      </c>
      <c r="T27" s="74">
        <f>Assumptions!$O$23*Assumptions!$H$68*(1+Assumptions!$N$11)</f>
        <v>854.76</v>
      </c>
      <c r="U27" s="74">
        <f>Assumptions!$O$23*Assumptions!$H$68*(1+Assumptions!$N$11)</f>
        <v>854.76</v>
      </c>
      <c r="V27" s="74">
        <f>Assumptions!$O$23*Assumptions!$H$68*(1+Assumptions!$N$11)</f>
        <v>854.76</v>
      </c>
      <c r="W27" s="74">
        <f>Assumptions!$O$23*Assumptions!$H$68*(1+Assumptions!$N$11)</f>
        <v>854.76</v>
      </c>
      <c r="X27" s="74">
        <f>Assumptions!$O$23*Assumptions!$H$68*(1+Assumptions!$N$11)</f>
        <v>854.76</v>
      </c>
      <c r="Y27" s="74">
        <f>Assumptions!$O$23*Assumptions!$H$68*(1+Assumptions!$N$11)</f>
        <v>854.76</v>
      </c>
      <c r="Z27" s="74">
        <f>Assumptions!$O$23*Assumptions!$H$68*(1+Assumptions!$N$11)</f>
        <v>854.76</v>
      </c>
      <c r="AA27" s="74">
        <f>Assumptions!$O$23*Assumptions!$H$68*(1+Assumptions!$N$11)</f>
        <v>854.76</v>
      </c>
      <c r="AB27" s="74">
        <f>Assumptions!$O$23*Assumptions!$H$68*(1+Assumptions!$N$11)</f>
        <v>854.76</v>
      </c>
      <c r="AC27" s="74">
        <f>Assumptions!$O$23*Assumptions!$H$68*(1+Assumptions!$N$11)</f>
        <v>854.76</v>
      </c>
      <c r="AD27" s="74">
        <f>Assumptions!$O$23*Assumptions!$H$68*(1+Assumptions!$N$11)</f>
        <v>854.76</v>
      </c>
      <c r="AE27" s="74">
        <f>Assumptions!$O$23*Assumptions!$H$68*(1+Assumptions!$N$11)</f>
        <v>854.76</v>
      </c>
      <c r="AF27" s="74">
        <f>Assumptions!$O$23*Assumptions!$H$68*(1+Assumptions!$N$11)</f>
        <v>854.76</v>
      </c>
      <c r="AG27" s="74">
        <f>Assumptions!$O$23*Assumptions!$H$68*(1+Assumptions!$N$11)</f>
        <v>854.76</v>
      </c>
    </row>
    <row r="28" spans="1:47">
      <c r="A28" s="3" t="s">
        <v>44</v>
      </c>
      <c r="C28" s="74">
        <f>Assumptions!$N24*Assumptions!H18/12</f>
        <v>187.40533333333335</v>
      </c>
      <c r="D28" s="74">
        <f>Assumptions!$N24*(1+Assumptions!$N$11)</f>
        <v>286.73016000000001</v>
      </c>
      <c r="E28" s="74">
        <f>D28*(1+Assumptions!$N$11)</f>
        <v>292.46476319999999</v>
      </c>
      <c r="F28" s="74">
        <f>E28*(1+Assumptions!$N$11)</f>
        <v>298.31405846399997</v>
      </c>
      <c r="G28" s="74">
        <f>F28*(1+Assumptions!$N$11)</f>
        <v>304.28033963327999</v>
      </c>
      <c r="H28" s="74">
        <f>G28*(1+Assumptions!$N$11)</f>
        <v>310.36594642594559</v>
      </c>
      <c r="I28" s="74">
        <f>H28*(1+Assumptions!$N$11)</f>
        <v>316.57326535446452</v>
      </c>
      <c r="J28" s="74">
        <f>I28*(1+Assumptions!$N$11)</f>
        <v>322.9047306615538</v>
      </c>
      <c r="K28" s="74">
        <f>J28*(1+Assumptions!$N$11)</f>
        <v>329.36282527478488</v>
      </c>
      <c r="L28" s="74">
        <f>K28*(1+Assumptions!$N$11)</f>
        <v>335.95008178028058</v>
      </c>
      <c r="M28" s="74">
        <f>L28*(1+Assumptions!$N$11)</f>
        <v>342.66908341588618</v>
      </c>
      <c r="N28" s="74">
        <f>M28*(1+Assumptions!$N$11)</f>
        <v>349.52246508420393</v>
      </c>
      <c r="O28" s="74">
        <f>N28*(1+Assumptions!$N$11)</f>
        <v>356.512914385888</v>
      </c>
      <c r="P28" s="74">
        <f>O28*(1+Assumptions!$N$11)</f>
        <v>363.64317267360576</v>
      </c>
      <c r="Q28" s="74">
        <f>P28*(1+Assumptions!$N$11)</f>
        <v>370.91603612707786</v>
      </c>
      <c r="R28" s="74">
        <f>Q28*(1+Assumptions!$N$11)</f>
        <v>378.33435684961944</v>
      </c>
      <c r="S28" s="74">
        <f>R28*(1+Assumptions!$N$11)</f>
        <v>385.90104398661185</v>
      </c>
      <c r="T28" s="74">
        <f>S28*(1+Assumptions!$N$11)</f>
        <v>393.6190648663441</v>
      </c>
      <c r="U28" s="74">
        <f>T28*(1+Assumptions!$N$11)</f>
        <v>401.49144616367101</v>
      </c>
      <c r="V28" s="74">
        <f>U28*(1+Assumptions!$N$11)</f>
        <v>409.52127508694446</v>
      </c>
      <c r="W28" s="74">
        <f>V28*(1+Assumptions!$N$11)</f>
        <v>417.71170058868336</v>
      </c>
      <c r="X28" s="74">
        <f>W28*(1+Assumptions!$N$11)</f>
        <v>426.06593460045701</v>
      </c>
      <c r="Y28" s="74">
        <f>X28*(1+Assumptions!$N$11)</f>
        <v>434.58725329246619</v>
      </c>
      <c r="Z28" s="74">
        <f>Y28*(1+Assumptions!$N$11)</f>
        <v>443.2789983583155</v>
      </c>
      <c r="AA28" s="74">
        <f>Z28*(1+Assumptions!$N$11)</f>
        <v>452.1445783254818</v>
      </c>
      <c r="AB28" s="74">
        <f>AA28*(1+Assumptions!$N$11)</f>
        <v>461.18746989199144</v>
      </c>
      <c r="AC28" s="74">
        <f>AB28*(1+Assumptions!$N$11)</f>
        <v>470.41121928983125</v>
      </c>
      <c r="AD28" s="74">
        <f>AC28*(1+Assumptions!$N$11)</f>
        <v>479.81944367562789</v>
      </c>
      <c r="AE28" s="74">
        <f>AD28*(1+Assumptions!$N$11)</f>
        <v>489.41583254914048</v>
      </c>
      <c r="AF28" s="74">
        <f>AE28*(1+Assumptions!$N$11)</f>
        <v>499.20414920012331</v>
      </c>
      <c r="AG28" s="74">
        <f>AF28*(1+Assumptions!$N$11)</f>
        <v>509.18823218412581</v>
      </c>
    </row>
    <row r="29" spans="1:47">
      <c r="A29" s="3" t="s">
        <v>45</v>
      </c>
      <c r="C29" s="75">
        <f>Assumptions!$N25*Assumptions!H18/12</f>
        <v>281.65266666666668</v>
      </c>
      <c r="D29" s="75">
        <f>Assumptions!$N25*(1+Assumptions!$N$11)</f>
        <v>430.92858000000001</v>
      </c>
      <c r="E29" s="75">
        <f>D29*(1+Assumptions!$N$11)</f>
        <v>439.54715160000001</v>
      </c>
      <c r="F29" s="75">
        <f>E29*(1+Assumptions!$N$11)</f>
        <v>448.33809463200004</v>
      </c>
      <c r="G29" s="75">
        <f>F29*(1+Assumptions!$N$11)</f>
        <v>457.30485652464006</v>
      </c>
      <c r="H29" s="75">
        <f>G29*(1+Assumptions!$N$11)</f>
        <v>466.45095365513288</v>
      </c>
      <c r="I29" s="75">
        <f>H29*(1+Assumptions!$N$11)</f>
        <v>475.77997272823552</v>
      </c>
      <c r="J29" s="75">
        <f>I29*(1+Assumptions!$N$11)</f>
        <v>485.29557218280024</v>
      </c>
      <c r="K29" s="75">
        <f>J29*(1+Assumptions!$N$11)</f>
        <v>495.00148362645626</v>
      </c>
      <c r="L29" s="75">
        <f>K29*(1+Assumptions!$N$11)</f>
        <v>504.90151329898538</v>
      </c>
      <c r="M29" s="75">
        <f>L29*(1+Assumptions!$N$11)</f>
        <v>514.99954356496505</v>
      </c>
      <c r="N29" s="75">
        <f>M29*(1+Assumptions!$N$11)</f>
        <v>525.29953443626437</v>
      </c>
      <c r="O29" s="75">
        <f>N29*(1+Assumptions!$N$11)</f>
        <v>535.80552512498969</v>
      </c>
      <c r="P29" s="75">
        <f>O29*(1+Assumptions!$N$11)</f>
        <v>546.52163562748945</v>
      </c>
      <c r="Q29" s="75">
        <f>P29*(1+Assumptions!$N$11)</f>
        <v>557.4520683400392</v>
      </c>
      <c r="R29" s="75">
        <f>Q29*(1+Assumptions!$N$11)</f>
        <v>568.60110970684002</v>
      </c>
      <c r="S29" s="75">
        <f>R29*(1+Assumptions!$N$11)</f>
        <v>579.9731319009768</v>
      </c>
      <c r="T29" s="75">
        <f>S29*(1+Assumptions!$N$11)</f>
        <v>591.57259453899633</v>
      </c>
      <c r="U29" s="75">
        <f>T29*(1+Assumptions!$N$11)</f>
        <v>603.40404642977626</v>
      </c>
      <c r="V29" s="75">
        <f>U29*(1+Assumptions!$N$11)</f>
        <v>615.47212735837184</v>
      </c>
      <c r="W29" s="75">
        <f>V29*(1+Assumptions!$N$11)</f>
        <v>627.7815699055393</v>
      </c>
      <c r="X29" s="75">
        <f>W29*(1+Assumptions!$N$11)</f>
        <v>640.33720130365009</v>
      </c>
      <c r="Y29" s="75">
        <f>X29*(1+Assumptions!$N$11)</f>
        <v>653.14394532972312</v>
      </c>
      <c r="Z29" s="75">
        <f>Y29*(1+Assumptions!$N$11)</f>
        <v>666.20682423631763</v>
      </c>
      <c r="AA29" s="75">
        <f>Z29*(1+Assumptions!$N$11)</f>
        <v>679.53096072104404</v>
      </c>
      <c r="AB29" s="75">
        <f>AA29*(1+Assumptions!$N$11)</f>
        <v>693.12157993546498</v>
      </c>
      <c r="AC29" s="75">
        <f>AB29*(1+Assumptions!$N$11)</f>
        <v>706.98401153417433</v>
      </c>
      <c r="AD29" s="75">
        <f>AC29*(1+Assumptions!$N$11)</f>
        <v>721.12369176485788</v>
      </c>
      <c r="AE29" s="75">
        <f>AD29*(1+Assumptions!$N$11)</f>
        <v>735.54616560015506</v>
      </c>
      <c r="AF29" s="75">
        <f>AE29*(1+Assumptions!$N$11)</f>
        <v>750.25708891215822</v>
      </c>
      <c r="AG29" s="75">
        <f>AF29*(1+Assumptions!$N$11)</f>
        <v>765.26223069040145</v>
      </c>
    </row>
    <row r="30" spans="1:47">
      <c r="A30" s="3" t="s">
        <v>46</v>
      </c>
      <c r="C30" s="65">
        <f t="shared" ref="C30:X30" si="1">SUM(C16:C29)</f>
        <v>5253.497056269829</v>
      </c>
      <c r="D30" s="65">
        <f t="shared" si="1"/>
        <v>6272.942516269829</v>
      </c>
      <c r="E30" s="65">
        <f t="shared" si="1"/>
        <v>6314.7058654698285</v>
      </c>
      <c r="F30" s="65">
        <f t="shared" si="1"/>
        <v>6357.3044816538295</v>
      </c>
      <c r="G30" s="65">
        <f t="shared" si="1"/>
        <v>6400.75507016151</v>
      </c>
      <c r="H30" s="65">
        <f t="shared" si="1"/>
        <v>6445.0746704393432</v>
      </c>
      <c r="I30" s="65">
        <f t="shared" si="1"/>
        <v>6490.2806627227328</v>
      </c>
      <c r="J30" s="65">
        <f t="shared" si="1"/>
        <v>6536.3907748517913</v>
      </c>
      <c r="K30" s="65">
        <f t="shared" si="1"/>
        <v>6583.4230892234309</v>
      </c>
      <c r="L30" s="65">
        <f t="shared" si="1"/>
        <v>6631.3960498825027</v>
      </c>
      <c r="M30" s="65">
        <f t="shared" si="1"/>
        <v>6680.328469754756</v>
      </c>
      <c r="N30" s="65">
        <f t="shared" si="1"/>
        <v>6730.2395380244552</v>
      </c>
      <c r="O30" s="65">
        <f t="shared" si="1"/>
        <v>6781.1488276595474</v>
      </c>
      <c r="P30" s="65">
        <f t="shared" si="1"/>
        <v>6833.0763030873422</v>
      </c>
      <c r="Q30" s="65">
        <f t="shared" si="1"/>
        <v>6886.0423280236919</v>
      </c>
      <c r="R30" s="65">
        <f t="shared" si="1"/>
        <v>6940.0676734587696</v>
      </c>
      <c r="S30" s="65">
        <f t="shared" si="1"/>
        <v>6995.1735258025483</v>
      </c>
      <c r="T30" s="65">
        <f t="shared" si="1"/>
        <v>7051.3814951932036</v>
      </c>
      <c r="U30" s="65">
        <f t="shared" si="1"/>
        <v>7108.7136239716692</v>
      </c>
      <c r="V30" s="65">
        <f t="shared" si="1"/>
        <v>7167.1923953257065</v>
      </c>
      <c r="W30" s="65">
        <f t="shared" si="1"/>
        <v>7226.8407421068241</v>
      </c>
      <c r="X30" s="65">
        <f t="shared" si="1"/>
        <v>7287.682055823565</v>
      </c>
      <c r="Y30" s="65">
        <f t="shared" ref="Y30:AG30" si="2">SUM(Y16:Y29)</f>
        <v>7349.7401958146393</v>
      </c>
      <c r="Z30" s="65">
        <f t="shared" si="2"/>
        <v>7413.0394986055353</v>
      </c>
      <c r="AA30" s="65">
        <f t="shared" si="2"/>
        <v>7477.6047874522501</v>
      </c>
      <c r="AB30" s="65">
        <f t="shared" si="2"/>
        <v>7543.4613820758987</v>
      </c>
      <c r="AC30" s="65">
        <f t="shared" si="2"/>
        <v>7610.6351085920187</v>
      </c>
      <c r="AD30" s="65">
        <f t="shared" si="2"/>
        <v>7679.1523096384635</v>
      </c>
      <c r="AE30" s="65">
        <f t="shared" si="2"/>
        <v>7749.0398547058376</v>
      </c>
      <c r="AF30" s="65">
        <f t="shared" si="2"/>
        <v>7820.3251506745573</v>
      </c>
      <c r="AG30" s="65">
        <f t="shared" si="2"/>
        <v>7893.0361525626513</v>
      </c>
    </row>
    <row r="31" spans="1:47">
      <c r="A31" s="4"/>
      <c r="C31" s="362"/>
      <c r="D31" s="362"/>
      <c r="E31" s="362"/>
      <c r="F31" s="362"/>
      <c r="G31" s="362"/>
      <c r="H31" s="362"/>
      <c r="I31" s="362"/>
      <c r="J31" s="362"/>
      <c r="K31" s="362"/>
      <c r="L31" s="362"/>
      <c r="M31" s="362"/>
      <c r="N31" s="362"/>
      <c r="O31" s="362"/>
      <c r="P31" s="362"/>
      <c r="Q31" s="362"/>
      <c r="R31" s="362"/>
      <c r="S31" s="362"/>
      <c r="T31" s="362"/>
      <c r="U31" s="362"/>
      <c r="V31" s="362"/>
      <c r="W31" s="362"/>
      <c r="X31" s="362"/>
      <c r="Y31" s="362"/>
      <c r="Z31" s="362"/>
      <c r="AA31" s="362"/>
      <c r="AB31" s="362"/>
      <c r="AC31" s="362"/>
      <c r="AD31" s="362"/>
      <c r="AE31" s="362"/>
      <c r="AF31" s="362"/>
      <c r="AG31" s="362"/>
    </row>
    <row r="32" spans="1:47">
      <c r="A32" s="1" t="s">
        <v>47</v>
      </c>
      <c r="C32" s="123">
        <f t="shared" ref="C32:X32" si="3">C13-C30</f>
        <v>12560.314724126514</v>
      </c>
      <c r="D32" s="123">
        <f t="shared" si="3"/>
        <v>20447.775154324685</v>
      </c>
      <c r="E32" s="123">
        <f t="shared" si="3"/>
        <v>20406.011805124683</v>
      </c>
      <c r="F32" s="123">
        <f t="shared" si="3"/>
        <v>20363.413188940685</v>
      </c>
      <c r="G32" s="123">
        <f t="shared" si="3"/>
        <v>20319.962600433002</v>
      </c>
      <c r="H32" s="123">
        <f t="shared" si="3"/>
        <v>20275.643000155171</v>
      </c>
      <c r="I32" s="123">
        <f t="shared" si="3"/>
        <v>20230.43700787178</v>
      </c>
      <c r="J32" s="123">
        <f t="shared" si="3"/>
        <v>20184.326895742721</v>
      </c>
      <c r="K32" s="123">
        <f t="shared" si="3"/>
        <v>20137.294581371083</v>
      </c>
      <c r="L32" s="123">
        <f t="shared" si="3"/>
        <v>20089.321620712009</v>
      </c>
      <c r="M32" s="123">
        <f t="shared" si="3"/>
        <v>20040.389200839756</v>
      </c>
      <c r="N32" s="123">
        <f t="shared" si="3"/>
        <v>19990.478132570057</v>
      </c>
      <c r="O32" s="123">
        <f t="shared" si="3"/>
        <v>19939.568842934965</v>
      </c>
      <c r="P32" s="123">
        <f t="shared" si="3"/>
        <v>19887.641367507171</v>
      </c>
      <c r="Q32" s="123">
        <f t="shared" si="3"/>
        <v>19834.675342570823</v>
      </c>
      <c r="R32" s="123">
        <f t="shared" si="3"/>
        <v>19780.649997135744</v>
      </c>
      <c r="S32" s="123">
        <f t="shared" si="3"/>
        <v>19725.544144791966</v>
      </c>
      <c r="T32" s="123">
        <f t="shared" si="3"/>
        <v>19669.336175401309</v>
      </c>
      <c r="U32" s="123">
        <f t="shared" si="3"/>
        <v>19612.004046622846</v>
      </c>
      <c r="V32" s="123">
        <f t="shared" si="3"/>
        <v>19553.525275268807</v>
      </c>
      <c r="W32" s="123">
        <f t="shared" si="3"/>
        <v>19493.876928487691</v>
      </c>
      <c r="X32" s="123">
        <f t="shared" si="3"/>
        <v>19433.035614770946</v>
      </c>
      <c r="Y32" s="123">
        <f t="shared" ref="Y32:AG32" si="4">Y13-Y30</f>
        <v>19370.977474779873</v>
      </c>
      <c r="Z32" s="123">
        <f t="shared" si="4"/>
        <v>19307.678171988977</v>
      </c>
      <c r="AA32" s="123">
        <f t="shared" si="4"/>
        <v>19243.112883142261</v>
      </c>
      <c r="AB32" s="123">
        <f t="shared" si="4"/>
        <v>19177.256288518613</v>
      </c>
      <c r="AC32" s="123">
        <f t="shared" si="4"/>
        <v>19110.082562002495</v>
      </c>
      <c r="AD32" s="123">
        <f t="shared" si="4"/>
        <v>19041.56536095605</v>
      </c>
      <c r="AE32" s="123">
        <f t="shared" si="4"/>
        <v>18971.677815888674</v>
      </c>
      <c r="AF32" s="123">
        <f t="shared" si="4"/>
        <v>18900.392519919955</v>
      </c>
      <c r="AG32" s="123">
        <f t="shared" si="4"/>
        <v>2197.1400980073531</v>
      </c>
    </row>
    <row r="33" spans="1:33">
      <c r="A33" s="1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2"/>
      <c r="U33" s="362"/>
      <c r="V33" s="362"/>
      <c r="W33" s="362"/>
      <c r="X33" s="362"/>
      <c r="Y33" s="362"/>
      <c r="Z33" s="362"/>
      <c r="AA33" s="362"/>
      <c r="AB33" s="362"/>
      <c r="AC33" s="362"/>
      <c r="AD33" s="362"/>
      <c r="AE33" s="362"/>
      <c r="AF33" s="362"/>
      <c r="AG33" s="362"/>
    </row>
    <row r="34" spans="1:33">
      <c r="A34" s="3" t="s">
        <v>48</v>
      </c>
      <c r="C34" s="65">
        <f>Depreciation!D48</f>
        <v>5733.4303120320092</v>
      </c>
      <c r="D34" s="65">
        <f>Depreciation!E48</f>
        <v>8600.1454680480147</v>
      </c>
      <c r="E34" s="65">
        <f>Depreciation!F48</f>
        <v>8600.1454680480147</v>
      </c>
      <c r="F34" s="65">
        <f>Depreciation!G48</f>
        <v>8600.1454680480147</v>
      </c>
      <c r="G34" s="65">
        <f>Depreciation!H48</f>
        <v>8600.1454680480147</v>
      </c>
      <c r="H34" s="65">
        <f>Depreciation!I48</f>
        <v>6798.9329413813484</v>
      </c>
      <c r="I34" s="65">
        <f>Depreciation!J48</f>
        <v>5898.3266780480144</v>
      </c>
      <c r="J34" s="65">
        <f>Depreciation!K48</f>
        <v>5898.3266780480144</v>
      </c>
      <c r="K34" s="65">
        <f>Depreciation!L48</f>
        <v>5898.3266780480144</v>
      </c>
      <c r="L34" s="65">
        <f>Depreciation!M48</f>
        <v>5898.3266780480144</v>
      </c>
      <c r="M34" s="65">
        <f>Depreciation!N48</f>
        <v>5898.3266780480144</v>
      </c>
      <c r="N34" s="65">
        <f>Depreciation!O48</f>
        <v>5898.3266780480144</v>
      </c>
      <c r="O34" s="65">
        <f>Depreciation!P48</f>
        <v>5898.3266780480144</v>
      </c>
      <c r="P34" s="65">
        <f>Depreciation!Q48</f>
        <v>5898.3266780480144</v>
      </c>
      <c r="Q34" s="65">
        <f>Depreciation!R48</f>
        <v>5898.3266780480144</v>
      </c>
      <c r="R34" s="65">
        <f>Depreciation!S48</f>
        <v>5898.3266780480144</v>
      </c>
      <c r="S34" s="65">
        <f>Depreciation!T48</f>
        <v>5898.3266780480144</v>
      </c>
      <c r="T34" s="65">
        <f>Depreciation!U48</f>
        <v>5898.3266780480144</v>
      </c>
      <c r="U34" s="65">
        <f>Depreciation!V48</f>
        <v>5898.3266780480144</v>
      </c>
      <c r="V34" s="65">
        <f>Depreciation!W48</f>
        <v>5898.3266780480144</v>
      </c>
      <c r="W34" s="65">
        <f>Depreciation!X48</f>
        <v>5898.3266780480144</v>
      </c>
      <c r="X34" s="65">
        <f>Depreciation!Y48</f>
        <v>5898.3266780480144</v>
      </c>
      <c r="Y34" s="65">
        <f>Depreciation!Z48</f>
        <v>5898.3266780480144</v>
      </c>
      <c r="Z34" s="65">
        <f>Depreciation!AA48</f>
        <v>5898.3266780480144</v>
      </c>
      <c r="AA34" s="65">
        <f>Depreciation!AB48</f>
        <v>5898.3266780480144</v>
      </c>
      <c r="AB34" s="65">
        <f>Depreciation!AC48</f>
        <v>5898.3266780480144</v>
      </c>
      <c r="AC34" s="65">
        <f>Depreciation!AD48</f>
        <v>5898.3266780480144</v>
      </c>
      <c r="AD34" s="65">
        <f>Depreciation!AE48</f>
        <v>5898.3266780480144</v>
      </c>
      <c r="AE34" s="65">
        <f>Depreciation!AF48</f>
        <v>5898.3266780480144</v>
      </c>
      <c r="AF34" s="65">
        <f>Depreciation!AG48</f>
        <v>5898.3266780480144</v>
      </c>
      <c r="AG34" s="65">
        <f>Depreciation!AH48</f>
        <v>1966.1088926826719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6826.884412094505</v>
      </c>
      <c r="D36" s="123">
        <f t="shared" ref="D36:X36" si="5">D32-D34</f>
        <v>11847.62968627667</v>
      </c>
      <c r="E36" s="123">
        <f t="shared" si="5"/>
        <v>11805.866337076668</v>
      </c>
      <c r="F36" s="123">
        <f t="shared" si="5"/>
        <v>11763.267720892671</v>
      </c>
      <c r="G36" s="123">
        <f t="shared" si="5"/>
        <v>11719.817132384987</v>
      </c>
      <c r="H36" s="123">
        <f t="shared" si="5"/>
        <v>13476.710058773822</v>
      </c>
      <c r="I36" s="123">
        <f t="shared" si="5"/>
        <v>14332.110329823765</v>
      </c>
      <c r="J36" s="123">
        <f t="shared" si="5"/>
        <v>14286.000217694705</v>
      </c>
      <c r="K36" s="123">
        <f t="shared" si="5"/>
        <v>14238.967903323068</v>
      </c>
      <c r="L36" s="123">
        <f t="shared" si="5"/>
        <v>14190.994942663994</v>
      </c>
      <c r="M36" s="123">
        <f t="shared" si="5"/>
        <v>14142.062522791741</v>
      </c>
      <c r="N36" s="123">
        <f t="shared" si="5"/>
        <v>14092.151454522042</v>
      </c>
      <c r="O36" s="123">
        <f t="shared" si="5"/>
        <v>14041.242164886949</v>
      </c>
      <c r="P36" s="123">
        <f t="shared" si="5"/>
        <v>13989.314689459155</v>
      </c>
      <c r="Q36" s="123">
        <f t="shared" si="5"/>
        <v>13936.348664522808</v>
      </c>
      <c r="R36" s="123">
        <f t="shared" si="5"/>
        <v>13882.323319087729</v>
      </c>
      <c r="S36" s="123">
        <f t="shared" si="5"/>
        <v>13827.21746674395</v>
      </c>
      <c r="T36" s="123">
        <f t="shared" si="5"/>
        <v>13771.009497353294</v>
      </c>
      <c r="U36" s="123">
        <f t="shared" si="5"/>
        <v>13713.67736857483</v>
      </c>
      <c r="V36" s="123">
        <f t="shared" si="5"/>
        <v>13655.198597220791</v>
      </c>
      <c r="W36" s="123">
        <f t="shared" si="5"/>
        <v>13595.550250439675</v>
      </c>
      <c r="X36" s="123">
        <f t="shared" si="5"/>
        <v>13534.708936722931</v>
      </c>
      <c r="Y36" s="123">
        <f t="shared" ref="Y36:AG36" si="6">Y32-Y34</f>
        <v>13472.650796731858</v>
      </c>
      <c r="Z36" s="123">
        <f t="shared" si="6"/>
        <v>13409.351493940962</v>
      </c>
      <c r="AA36" s="123">
        <f t="shared" si="6"/>
        <v>13344.786205094246</v>
      </c>
      <c r="AB36" s="123">
        <f t="shared" si="6"/>
        <v>13278.929610470597</v>
      </c>
      <c r="AC36" s="123">
        <f t="shared" si="6"/>
        <v>13211.75588395448</v>
      </c>
      <c r="AD36" s="123">
        <f t="shared" si="6"/>
        <v>13143.238682908035</v>
      </c>
      <c r="AE36" s="123">
        <f t="shared" si="6"/>
        <v>13073.351137840658</v>
      </c>
      <c r="AF36" s="123">
        <f t="shared" si="6"/>
        <v>13002.065841871939</v>
      </c>
      <c r="AG36" s="123">
        <f t="shared" si="6"/>
        <v>231.0312053246812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129</v>
      </c>
      <c r="C38" s="65">
        <f>'Revised Debt'!C18*7/12</f>
        <v>6103.0468261554697</v>
      </c>
      <c r="D38" s="65">
        <f>'Revised Debt'!D18</f>
        <v>10351.607159668423</v>
      </c>
      <c r="E38" s="65">
        <f>'Revised Debt'!E18</f>
        <v>10233.095213679891</v>
      </c>
      <c r="F38" s="65">
        <f>'Revised Debt'!F18</f>
        <v>10106.287431472161</v>
      </c>
      <c r="G38" s="65">
        <f>'Revised Debt'!G18</f>
        <v>9970.6031045098916</v>
      </c>
      <c r="H38" s="65">
        <f>'Revised Debt'!H18</f>
        <v>9825.4208746602617</v>
      </c>
      <c r="I38" s="65">
        <f>'Revised Debt'!I18</f>
        <v>9670.0758887211578</v>
      </c>
      <c r="J38" s="65">
        <f>'Revised Debt'!J18</f>
        <v>9503.8567537663184</v>
      </c>
      <c r="K38" s="65">
        <f>'Revised Debt'!K18</f>
        <v>9326.0022793646385</v>
      </c>
      <c r="L38" s="65">
        <f>'Revised Debt'!L18</f>
        <v>9135.6979917548415</v>
      </c>
      <c r="M38" s="65">
        <f>'Revised Debt'!M18</f>
        <v>8932.0724040123569</v>
      </c>
      <c r="N38" s="65">
        <f>'Revised Debt'!N18</f>
        <v>8714.1930251279009</v>
      </c>
      <c r="O38" s="65">
        <f>'Revised Debt'!O18</f>
        <v>8481.0620897215322</v>
      </c>
      <c r="P38" s="65">
        <f>'Revised Debt'!P18</f>
        <v>8231.6119888367175</v>
      </c>
      <c r="Q38" s="65">
        <f>'Revised Debt'!Q18</f>
        <v>7964.7003808899663</v>
      </c>
      <c r="R38" s="65">
        <f>'Revised Debt'!R18</f>
        <v>7679.1049603869424</v>
      </c>
      <c r="S38" s="65">
        <f>'Revised Debt'!S18</f>
        <v>7373.5178604487064</v>
      </c>
      <c r="T38" s="65">
        <f>'Revised Debt'!T18</f>
        <v>7046.5396635147936</v>
      </c>
      <c r="U38" s="65">
        <f>'Revised Debt'!U18</f>
        <v>6696.6729927955066</v>
      </c>
      <c r="V38" s="65">
        <f>'Revised Debt'!V18</f>
        <v>6322.3156551258708</v>
      </c>
      <c r="W38" s="65">
        <f>'Revised Debt'!W18</f>
        <v>5921.7533038193596</v>
      </c>
      <c r="X38" s="65">
        <f>'Revised Debt'!X18</f>
        <v>5493.151587921393</v>
      </c>
      <c r="Y38" s="65">
        <f>'Revised Debt'!Y18</f>
        <v>5034.547751910568</v>
      </c>
      <c r="Z38" s="65">
        <f>'Revised Debt'!Z18</f>
        <v>4543.8416473789866</v>
      </c>
      <c r="AA38" s="65">
        <f>'Revised Debt'!AA18</f>
        <v>4018.7861155301935</v>
      </c>
      <c r="AB38" s="65">
        <f>'Revised Debt'!AB18</f>
        <v>3456.9766964519854</v>
      </c>
      <c r="AC38" s="65">
        <f>'Revised Debt'!AC18</f>
        <v>2855.8406180383026</v>
      </c>
      <c r="AD38" s="65">
        <f>'Revised Debt'!AD18</f>
        <v>2212.6250141356622</v>
      </c>
      <c r="AE38" s="65">
        <f>'Revised Debt'!AE18</f>
        <v>1524.3843179598368</v>
      </c>
      <c r="AF38" s="65">
        <f>'Revised Debt'!AF18</f>
        <v>787.9667730517034</v>
      </c>
      <c r="AG38" s="65">
        <f>'Revised Debt'!AG18</f>
        <v>0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201</v>
      </c>
      <c r="C40" s="123">
        <f>C36-C38</f>
        <v>723.83758593903531</v>
      </c>
      <c r="D40" s="123">
        <f t="shared" ref="D40:X40" si="7">D36-D38</f>
        <v>1496.0225266082471</v>
      </c>
      <c r="E40" s="123">
        <f t="shared" si="7"/>
        <v>1572.7711233967766</v>
      </c>
      <c r="F40" s="123">
        <f t="shared" si="7"/>
        <v>1656.9802894205095</v>
      </c>
      <c r="G40" s="123">
        <f t="shared" si="7"/>
        <v>1749.2140278750958</v>
      </c>
      <c r="H40" s="123">
        <f t="shared" si="7"/>
        <v>3651.2891841135606</v>
      </c>
      <c r="I40" s="123">
        <f t="shared" si="7"/>
        <v>4662.0344411026072</v>
      </c>
      <c r="J40" s="123">
        <f t="shared" si="7"/>
        <v>4782.1434639283871</v>
      </c>
      <c r="K40" s="123">
        <f t="shared" si="7"/>
        <v>4912.9656239584292</v>
      </c>
      <c r="L40" s="123">
        <f t="shared" si="7"/>
        <v>5055.2969509091527</v>
      </c>
      <c r="M40" s="123">
        <f t="shared" si="7"/>
        <v>5209.9901187793839</v>
      </c>
      <c r="N40" s="123">
        <f t="shared" si="7"/>
        <v>5377.9584293941407</v>
      </c>
      <c r="O40" s="123">
        <f t="shared" si="7"/>
        <v>5560.1800751654173</v>
      </c>
      <c r="P40" s="123">
        <f t="shared" si="7"/>
        <v>5757.702700622438</v>
      </c>
      <c r="Q40" s="123">
        <f t="shared" si="7"/>
        <v>5971.6482836328414</v>
      </c>
      <c r="R40" s="123">
        <f t="shared" si="7"/>
        <v>6203.2183587007867</v>
      </c>
      <c r="S40" s="123">
        <f t="shared" si="7"/>
        <v>6453.6996062952439</v>
      </c>
      <c r="T40" s="123">
        <f t="shared" si="7"/>
        <v>6724.4698338385006</v>
      </c>
      <c r="U40" s="123">
        <f t="shared" si="7"/>
        <v>7017.0043757793237</v>
      </c>
      <c r="V40" s="123">
        <f t="shared" si="7"/>
        <v>7332.8829420949205</v>
      </c>
      <c r="W40" s="123">
        <f t="shared" si="7"/>
        <v>7673.7969466203158</v>
      </c>
      <c r="X40" s="123">
        <f t="shared" si="7"/>
        <v>8041.557348801538</v>
      </c>
      <c r="Y40" s="123">
        <f t="shared" ref="Y40:AG40" si="8">Y36-Y38</f>
        <v>8438.1030448212896</v>
      </c>
      <c r="Z40" s="123">
        <f t="shared" si="8"/>
        <v>8865.509846561974</v>
      </c>
      <c r="AA40" s="123">
        <f t="shared" si="8"/>
        <v>9326.0000895640514</v>
      </c>
      <c r="AB40" s="123">
        <f t="shared" si="8"/>
        <v>9821.9529140186114</v>
      </c>
      <c r="AC40" s="123">
        <f t="shared" si="8"/>
        <v>10355.915265916177</v>
      </c>
      <c r="AD40" s="123">
        <f t="shared" si="8"/>
        <v>10930.613668772374</v>
      </c>
      <c r="AE40" s="123">
        <f t="shared" si="8"/>
        <v>11548.966819880821</v>
      </c>
      <c r="AF40" s="123">
        <f t="shared" si="8"/>
        <v>12214.099068820236</v>
      </c>
      <c r="AG40" s="123">
        <f t="shared" si="8"/>
        <v>231.0312053246812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38">
        <f>Assumptions!N51</f>
        <v>7.0000000000000007E-2</v>
      </c>
      <c r="C42" s="74">
        <f>-C40*$B$42</f>
        <v>-50.66863101573248</v>
      </c>
      <c r="D42" s="74">
        <f t="shared" ref="D42:AG42" si="9">-D40*$B$42</f>
        <v>-104.72157686257731</v>
      </c>
      <c r="E42" s="74">
        <f t="shared" si="9"/>
        <v>-110.09397863777437</v>
      </c>
      <c r="F42" s="74">
        <f t="shared" si="9"/>
        <v>-115.98862025943568</v>
      </c>
      <c r="G42" s="74">
        <f t="shared" si="9"/>
        <v>-122.44498195125672</v>
      </c>
      <c r="H42" s="74">
        <f t="shared" si="9"/>
        <v>-255.59024288794927</v>
      </c>
      <c r="I42" s="74">
        <f t="shared" si="9"/>
        <v>-326.34241087718254</v>
      </c>
      <c r="J42" s="74">
        <f t="shared" si="9"/>
        <v>-334.75004247498714</v>
      </c>
      <c r="K42" s="74">
        <f t="shared" si="9"/>
        <v>-343.90759367709006</v>
      </c>
      <c r="L42" s="74">
        <f t="shared" si="9"/>
        <v>-353.87078656364071</v>
      </c>
      <c r="M42" s="74">
        <f t="shared" si="9"/>
        <v>-364.6993083145569</v>
      </c>
      <c r="N42" s="74">
        <f t="shared" si="9"/>
        <v>-376.45709005758988</v>
      </c>
      <c r="O42" s="74">
        <f t="shared" si="9"/>
        <v>-389.21260526157926</v>
      </c>
      <c r="P42" s="74">
        <f t="shared" si="9"/>
        <v>-403.03918904357067</v>
      </c>
      <c r="Q42" s="74">
        <f t="shared" si="9"/>
        <v>-418.01537985429894</v>
      </c>
      <c r="R42" s="74">
        <f t="shared" si="9"/>
        <v>-434.22528510905511</v>
      </c>
      <c r="S42" s="74">
        <f t="shared" si="9"/>
        <v>-451.75897244066709</v>
      </c>
      <c r="T42" s="74">
        <f t="shared" si="9"/>
        <v>-470.71288836869508</v>
      </c>
      <c r="U42" s="74">
        <f t="shared" si="9"/>
        <v>-491.19030630455273</v>
      </c>
      <c r="V42" s="74">
        <f t="shared" si="9"/>
        <v>-513.30180594664444</v>
      </c>
      <c r="W42" s="74">
        <f t="shared" si="9"/>
        <v>-537.16578626342221</v>
      </c>
      <c r="X42" s="74">
        <f t="shared" si="9"/>
        <v>-562.90901441610777</v>
      </c>
      <c r="Y42" s="74">
        <f t="shared" si="9"/>
        <v>-590.66721313749031</v>
      </c>
      <c r="Z42" s="74">
        <f t="shared" si="9"/>
        <v>-620.58568925933821</v>
      </c>
      <c r="AA42" s="74">
        <f t="shared" si="9"/>
        <v>-652.82000626948366</v>
      </c>
      <c r="AB42" s="74">
        <f t="shared" si="9"/>
        <v>-687.53670398130282</v>
      </c>
      <c r="AC42" s="74">
        <f t="shared" si="9"/>
        <v>-724.91406861413247</v>
      </c>
      <c r="AD42" s="74">
        <f t="shared" si="9"/>
        <v>-765.14295681406622</v>
      </c>
      <c r="AE42" s="74">
        <f t="shared" si="9"/>
        <v>-808.42767739165754</v>
      </c>
      <c r="AF42" s="74">
        <f t="shared" si="9"/>
        <v>-854.98693481741668</v>
      </c>
      <c r="AG42" s="74">
        <f t="shared" si="9"/>
        <v>-16.172184372727685</v>
      </c>
    </row>
    <row r="43" spans="1:33">
      <c r="A43" s="3" t="s">
        <v>51</v>
      </c>
      <c r="B43" s="338">
        <f>Assumptions!N50</f>
        <v>0.35</v>
      </c>
      <c r="C43" s="74">
        <f t="shared" ref="C43:AG43" si="10">(C40+C42)*-$B$43</f>
        <v>-235.60913422315599</v>
      </c>
      <c r="D43" s="74">
        <f t="shared" si="10"/>
        <v>-486.95533241098434</v>
      </c>
      <c r="E43" s="74">
        <f t="shared" si="10"/>
        <v>-511.93700066565071</v>
      </c>
      <c r="F43" s="74">
        <f t="shared" si="10"/>
        <v>-539.34708420637583</v>
      </c>
      <c r="G43" s="74">
        <f t="shared" si="10"/>
        <v>-569.36916607334365</v>
      </c>
      <c r="H43" s="74">
        <f t="shared" si="10"/>
        <v>-1188.4946294289639</v>
      </c>
      <c r="I43" s="74">
        <f t="shared" si="10"/>
        <v>-1517.4922105788985</v>
      </c>
      <c r="J43" s="74">
        <f t="shared" si="10"/>
        <v>-1556.5876975086899</v>
      </c>
      <c r="K43" s="74">
        <f t="shared" si="10"/>
        <v>-1599.1703105984689</v>
      </c>
      <c r="L43" s="74">
        <f t="shared" si="10"/>
        <v>-1645.4991575209292</v>
      </c>
      <c r="M43" s="74">
        <f t="shared" si="10"/>
        <v>-1695.8517836626893</v>
      </c>
      <c r="N43" s="74">
        <f t="shared" si="10"/>
        <v>-1750.5254687677927</v>
      </c>
      <c r="O43" s="74">
        <f t="shared" si="10"/>
        <v>-1809.8386144663432</v>
      </c>
      <c r="P43" s="74">
        <f t="shared" si="10"/>
        <v>-1874.1322290526036</v>
      </c>
      <c r="Q43" s="74">
        <f t="shared" si="10"/>
        <v>-1943.7715163224898</v>
      </c>
      <c r="R43" s="74">
        <f t="shared" si="10"/>
        <v>-2019.1475757571059</v>
      </c>
      <c r="S43" s="74">
        <f t="shared" si="10"/>
        <v>-2100.6792218491019</v>
      </c>
      <c r="T43" s="74">
        <f t="shared" si="10"/>
        <v>-2188.8149309144319</v>
      </c>
      <c r="U43" s="74">
        <f t="shared" si="10"/>
        <v>-2284.0349243161695</v>
      </c>
      <c r="V43" s="74">
        <f t="shared" si="10"/>
        <v>-2386.8533976518961</v>
      </c>
      <c r="W43" s="74">
        <f t="shared" si="10"/>
        <v>-2497.8209061249127</v>
      </c>
      <c r="X43" s="74">
        <f t="shared" si="10"/>
        <v>-2617.5269170349006</v>
      </c>
      <c r="Y43" s="74">
        <f t="shared" si="10"/>
        <v>-2746.6025410893294</v>
      </c>
      <c r="Z43" s="74">
        <f t="shared" si="10"/>
        <v>-2885.7234550559224</v>
      </c>
      <c r="AA43" s="74">
        <f t="shared" si="10"/>
        <v>-3035.6130291530985</v>
      </c>
      <c r="AB43" s="74">
        <f t="shared" si="10"/>
        <v>-3197.0456735130579</v>
      </c>
      <c r="AC43" s="74">
        <f t="shared" si="10"/>
        <v>-3370.8504190557155</v>
      </c>
      <c r="AD43" s="74">
        <f t="shared" si="10"/>
        <v>-3557.9147491854073</v>
      </c>
      <c r="AE43" s="74">
        <f t="shared" si="10"/>
        <v>-3759.1886998712071</v>
      </c>
      <c r="AF43" s="74">
        <f t="shared" si="10"/>
        <v>-3975.6892469009867</v>
      </c>
      <c r="AG43" s="74">
        <f t="shared" si="10"/>
        <v>-75.200657333183727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52</v>
      </c>
      <c r="B45" s="46"/>
      <c r="C45" s="363">
        <f t="shared" ref="C45:AG45" si="11">C40+C42+C43</f>
        <v>437.55982070014687</v>
      </c>
      <c r="D45" s="363">
        <f t="shared" si="11"/>
        <v>904.34561733468536</v>
      </c>
      <c r="E45" s="363">
        <f t="shared" si="11"/>
        <v>950.74014409335155</v>
      </c>
      <c r="F45" s="363">
        <f t="shared" si="11"/>
        <v>1001.644584954698</v>
      </c>
      <c r="G45" s="363">
        <f t="shared" si="11"/>
        <v>1057.3998798504954</v>
      </c>
      <c r="H45" s="363">
        <f t="shared" si="11"/>
        <v>2207.2043117966473</v>
      </c>
      <c r="I45" s="363">
        <f t="shared" si="11"/>
        <v>2818.1998196465265</v>
      </c>
      <c r="J45" s="363">
        <f t="shared" si="11"/>
        <v>2890.8057239447103</v>
      </c>
      <c r="K45" s="363">
        <f t="shared" si="11"/>
        <v>2969.8877196828707</v>
      </c>
      <c r="L45" s="363">
        <f t="shared" si="11"/>
        <v>3055.9270068245828</v>
      </c>
      <c r="M45" s="363">
        <f t="shared" si="11"/>
        <v>3149.4390268021375</v>
      </c>
      <c r="N45" s="363">
        <f t="shared" si="11"/>
        <v>3250.9758705687582</v>
      </c>
      <c r="O45" s="363">
        <f t="shared" si="11"/>
        <v>3361.1288554374946</v>
      </c>
      <c r="P45" s="363">
        <f t="shared" si="11"/>
        <v>3480.531282526264</v>
      </c>
      <c r="Q45" s="363">
        <f t="shared" si="11"/>
        <v>3609.8613874560529</v>
      </c>
      <c r="R45" s="363">
        <f t="shared" si="11"/>
        <v>3749.8454978346253</v>
      </c>
      <c r="S45" s="363">
        <f t="shared" si="11"/>
        <v>3901.261412005475</v>
      </c>
      <c r="T45" s="363">
        <f t="shared" si="11"/>
        <v>4064.942014555374</v>
      </c>
      <c r="U45" s="363">
        <f t="shared" si="11"/>
        <v>4241.7791451586018</v>
      </c>
      <c r="V45" s="363">
        <f t="shared" si="11"/>
        <v>4432.72773849638</v>
      </c>
      <c r="W45" s="363">
        <f t="shared" si="11"/>
        <v>4638.8102542319812</v>
      </c>
      <c r="X45" s="363">
        <f t="shared" si="11"/>
        <v>4861.1214173505305</v>
      </c>
      <c r="Y45" s="363">
        <f t="shared" si="11"/>
        <v>5100.8332905944699</v>
      </c>
      <c r="Z45" s="363">
        <f t="shared" si="11"/>
        <v>5359.2007022467133</v>
      </c>
      <c r="AA45" s="363">
        <f t="shared" si="11"/>
        <v>5637.5670541414693</v>
      </c>
      <c r="AB45" s="363">
        <f t="shared" si="11"/>
        <v>5937.3705365242513</v>
      </c>
      <c r="AC45" s="363">
        <f t="shared" si="11"/>
        <v>6260.1507782463286</v>
      </c>
      <c r="AD45" s="363">
        <f t="shared" si="11"/>
        <v>6607.5559627728999</v>
      </c>
      <c r="AE45" s="363">
        <f t="shared" si="11"/>
        <v>6981.350442617957</v>
      </c>
      <c r="AF45" s="363">
        <f t="shared" si="11"/>
        <v>7383.4228871018331</v>
      </c>
      <c r="AG45" s="363">
        <f t="shared" si="11"/>
        <v>139.65836361876978</v>
      </c>
    </row>
    <row r="46" spans="1:33" ht="15.75">
      <c r="A46" s="54"/>
      <c r="B46" s="46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363"/>
      <c r="Z46" s="363"/>
      <c r="AA46" s="363"/>
      <c r="AB46" s="363"/>
      <c r="AC46" s="363"/>
      <c r="AD46" s="363"/>
      <c r="AE46" s="363"/>
      <c r="AF46" s="363"/>
      <c r="AG46" s="363"/>
    </row>
    <row r="47" spans="1:33" ht="15.75">
      <c r="A47" s="54"/>
      <c r="B47" s="46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  <c r="N47" s="363"/>
      <c r="O47" s="363"/>
      <c r="P47" s="363"/>
      <c r="Q47" s="363"/>
      <c r="R47" s="363"/>
      <c r="S47" s="363"/>
      <c r="T47" s="363"/>
      <c r="U47" s="363"/>
      <c r="V47" s="363"/>
      <c r="W47" s="363"/>
      <c r="X47" s="363"/>
      <c r="Y47" s="363"/>
      <c r="Z47" s="363"/>
      <c r="AA47" s="363"/>
      <c r="AB47" s="363"/>
      <c r="AC47" s="363"/>
      <c r="AD47" s="363"/>
      <c r="AE47" s="363"/>
      <c r="AF47" s="363"/>
      <c r="AG47" s="363"/>
    </row>
    <row r="49" spans="1:33" ht="15.75">
      <c r="A49" s="26" t="s">
        <v>568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</row>
    <row r="50" spans="1:33" ht="15.75">
      <c r="A50" s="26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</row>
    <row r="51" spans="1:33">
      <c r="A51" s="11" t="s">
        <v>569</v>
      </c>
      <c r="C51" s="598">
        <f>C45+C34</f>
        <v>6170.9901327321559</v>
      </c>
      <c r="D51" s="598">
        <f t="shared" ref="D51:AG51" si="12">D45+D34</f>
        <v>9504.4910853827005</v>
      </c>
      <c r="E51" s="598">
        <f t="shared" si="12"/>
        <v>9550.8856121413664</v>
      </c>
      <c r="F51" s="598">
        <f t="shared" si="12"/>
        <v>9601.7900530027127</v>
      </c>
      <c r="G51" s="598">
        <f t="shared" si="12"/>
        <v>9657.545347898511</v>
      </c>
      <c r="H51" s="598">
        <f t="shared" si="12"/>
        <v>9006.1372531779962</v>
      </c>
      <c r="I51" s="598">
        <f t="shared" si="12"/>
        <v>8716.52649769454</v>
      </c>
      <c r="J51" s="598">
        <f t="shared" si="12"/>
        <v>8789.1324019927251</v>
      </c>
      <c r="K51" s="598">
        <f t="shared" si="12"/>
        <v>8868.2143977308842</v>
      </c>
      <c r="L51" s="598">
        <f t="shared" si="12"/>
        <v>8954.2536848725977</v>
      </c>
      <c r="M51" s="598">
        <f t="shared" si="12"/>
        <v>9047.7657048501515</v>
      </c>
      <c r="N51" s="598">
        <f t="shared" si="12"/>
        <v>9149.3025486167717</v>
      </c>
      <c r="O51" s="598">
        <f t="shared" si="12"/>
        <v>9259.4555334855086</v>
      </c>
      <c r="P51" s="598">
        <f t="shared" si="12"/>
        <v>9378.857960574278</v>
      </c>
      <c r="Q51" s="598">
        <f t="shared" si="12"/>
        <v>9508.1880655040677</v>
      </c>
      <c r="R51" s="598">
        <f t="shared" si="12"/>
        <v>9648.1721758826388</v>
      </c>
      <c r="S51" s="598">
        <f t="shared" si="12"/>
        <v>9799.5880900534903</v>
      </c>
      <c r="T51" s="598">
        <f t="shared" si="12"/>
        <v>9963.2686926033894</v>
      </c>
      <c r="U51" s="598">
        <f t="shared" si="12"/>
        <v>10140.105823206617</v>
      </c>
      <c r="V51" s="598">
        <f t="shared" si="12"/>
        <v>10331.054416544393</v>
      </c>
      <c r="W51" s="598">
        <f t="shared" si="12"/>
        <v>10537.136932279995</v>
      </c>
      <c r="X51" s="598">
        <f t="shared" si="12"/>
        <v>10759.448095398544</v>
      </c>
      <c r="Y51" s="598">
        <f t="shared" si="12"/>
        <v>10999.159968642485</v>
      </c>
      <c r="Z51" s="598">
        <f t="shared" si="12"/>
        <v>11257.527380294727</v>
      </c>
      <c r="AA51" s="598">
        <f t="shared" si="12"/>
        <v>11535.893732189485</v>
      </c>
      <c r="AB51" s="598">
        <f t="shared" si="12"/>
        <v>11835.697214572265</v>
      </c>
      <c r="AC51" s="598">
        <f t="shared" si="12"/>
        <v>12158.477456294342</v>
      </c>
      <c r="AD51" s="598">
        <f t="shared" si="12"/>
        <v>12505.882640820913</v>
      </c>
      <c r="AE51" s="598">
        <f t="shared" si="12"/>
        <v>12879.677120665972</v>
      </c>
      <c r="AF51" s="598">
        <f t="shared" si="12"/>
        <v>13281.749565149847</v>
      </c>
      <c r="AG51" s="598">
        <f t="shared" si="12"/>
        <v>2105.7672563014416</v>
      </c>
    </row>
    <row r="52" spans="1:33">
      <c r="A52" s="11" t="s">
        <v>570</v>
      </c>
      <c r="C52" s="598">
        <f>'Revised Debt'!C19</f>
        <v>1582.2689718095098</v>
      </c>
      <c r="D52" s="598">
        <f>'Revised Debt'!D19</f>
        <v>1693.0277998361762</v>
      </c>
      <c r="E52" s="598">
        <f>'Revised Debt'!E19</f>
        <v>1811.539745824708</v>
      </c>
      <c r="F52" s="598">
        <f>'Revised Debt'!F19</f>
        <v>1938.3475280324383</v>
      </c>
      <c r="G52" s="598">
        <f>'Revised Debt'!G19</f>
        <v>2074.0318549947078</v>
      </c>
      <c r="H52" s="598">
        <f>'Revised Debt'!H19</f>
        <v>2219.2140848443378</v>
      </c>
      <c r="I52" s="598">
        <f>'Revised Debt'!I19</f>
        <v>2374.5590707834417</v>
      </c>
      <c r="J52" s="598">
        <f>'Revised Debt'!J19</f>
        <v>2540.778205738281</v>
      </c>
      <c r="K52" s="598">
        <f>'Revised Debt'!K19</f>
        <v>2718.6326801399609</v>
      </c>
      <c r="L52" s="598">
        <f>'Revised Debt'!L19</f>
        <v>2908.936967749758</v>
      </c>
      <c r="M52" s="598">
        <f>'Revised Debt'!M19</f>
        <v>3112.5625554922426</v>
      </c>
      <c r="N52" s="598">
        <f>'Revised Debt'!N19</f>
        <v>3330.4419343766986</v>
      </c>
      <c r="O52" s="598">
        <f>'Revised Debt'!O19</f>
        <v>3563.5728697830673</v>
      </c>
      <c r="P52" s="598">
        <f>'Revised Debt'!P19</f>
        <v>3813.022970667882</v>
      </c>
      <c r="Q52" s="598">
        <f>'Revised Debt'!Q19</f>
        <v>4079.9345786146332</v>
      </c>
      <c r="R52" s="598">
        <f>'Revised Debt'!R19</f>
        <v>4365.5299991176571</v>
      </c>
      <c r="S52" s="598">
        <f>'Revised Debt'!S19</f>
        <v>4671.117099055893</v>
      </c>
      <c r="T52" s="598">
        <f>'Revised Debt'!T19</f>
        <v>4998.0952959898059</v>
      </c>
      <c r="U52" s="598">
        <f>'Revised Debt'!U19</f>
        <v>5347.9619667090928</v>
      </c>
      <c r="V52" s="598">
        <f>'Revised Debt'!V19</f>
        <v>5722.3193043787287</v>
      </c>
      <c r="W52" s="598">
        <f>'Revised Debt'!W19</f>
        <v>6122.8816556852398</v>
      </c>
      <c r="X52" s="598">
        <f>'Revised Debt'!X19</f>
        <v>6551.4833715832065</v>
      </c>
      <c r="Y52" s="598">
        <f>'Revised Debt'!Y19</f>
        <v>7010.0872075940315</v>
      </c>
      <c r="Z52" s="598">
        <f>'Revised Debt'!Z19</f>
        <v>7500.7933121256128</v>
      </c>
      <c r="AA52" s="598">
        <f>'Revised Debt'!AA19</f>
        <v>8025.848843974406</v>
      </c>
      <c r="AB52" s="598">
        <f>'Revised Debt'!AB19</f>
        <v>8587.6582630526136</v>
      </c>
      <c r="AC52" s="598">
        <f>'Revised Debt'!AC19</f>
        <v>9188.7943414662968</v>
      </c>
      <c r="AD52" s="598">
        <f>'Revised Debt'!AD19</f>
        <v>9832.0099453689363</v>
      </c>
      <c r="AE52" s="598">
        <f>'Revised Debt'!AE19</f>
        <v>10520.250641544762</v>
      </c>
      <c r="AF52" s="598">
        <f>'Revised Debt'!AF19</f>
        <v>11256.668186452896</v>
      </c>
      <c r="AG52" s="598">
        <f>'Revised Debt'!AG19</f>
        <v>0</v>
      </c>
    </row>
    <row r="53" spans="1:33">
      <c r="A53" s="11" t="s">
        <v>573</v>
      </c>
      <c r="C53" s="598">
        <v>0</v>
      </c>
      <c r="D53" s="598">
        <v>0</v>
      </c>
      <c r="E53" s="598">
        <v>0</v>
      </c>
      <c r="F53" s="598">
        <v>0</v>
      </c>
      <c r="G53" s="598">
        <v>0</v>
      </c>
      <c r="H53" s="598">
        <v>0</v>
      </c>
      <c r="I53" s="598">
        <v>0</v>
      </c>
      <c r="J53" s="598">
        <v>0</v>
      </c>
      <c r="K53" s="598">
        <v>0</v>
      </c>
      <c r="L53" s="598">
        <v>0</v>
      </c>
      <c r="M53" s="598">
        <v>0</v>
      </c>
      <c r="N53" s="598">
        <v>0</v>
      </c>
      <c r="O53" s="598">
        <v>0</v>
      </c>
      <c r="P53" s="598">
        <v>0</v>
      </c>
      <c r="Q53" s="598">
        <v>0</v>
      </c>
      <c r="R53" s="598">
        <v>0</v>
      </c>
      <c r="S53" s="598">
        <v>0</v>
      </c>
      <c r="T53" s="598">
        <v>0</v>
      </c>
      <c r="U53" s="598">
        <v>0</v>
      </c>
      <c r="V53" s="598">
        <v>0</v>
      </c>
      <c r="W53" s="598">
        <v>0</v>
      </c>
      <c r="X53" s="598">
        <v>0</v>
      </c>
      <c r="Y53" s="598">
        <v>0</v>
      </c>
      <c r="Z53" s="598">
        <v>0</v>
      </c>
      <c r="AA53" s="598">
        <v>0</v>
      </c>
      <c r="AB53" s="598">
        <v>0</v>
      </c>
      <c r="AC53" s="598">
        <v>0</v>
      </c>
      <c r="AD53" s="598">
        <v>0</v>
      </c>
      <c r="AE53" s="598">
        <v>0</v>
      </c>
      <c r="AF53" s="598">
        <v>0</v>
      </c>
      <c r="AG53" s="598">
        <v>0</v>
      </c>
    </row>
    <row r="54" spans="1:33" s="11" customFormat="1">
      <c r="A54" s="11" t="s">
        <v>571</v>
      </c>
      <c r="C54" s="599">
        <f>C51-C52-C53</f>
        <v>4588.721160922646</v>
      </c>
      <c r="D54" s="599">
        <f t="shared" ref="D54:AG54" si="13">D51-D52-D53</f>
        <v>7811.4632855465243</v>
      </c>
      <c r="E54" s="599">
        <f t="shared" si="13"/>
        <v>7739.3458663166584</v>
      </c>
      <c r="F54" s="599">
        <f t="shared" si="13"/>
        <v>7663.4425249702745</v>
      </c>
      <c r="G54" s="599">
        <f t="shared" si="13"/>
        <v>7583.5134929038031</v>
      </c>
      <c r="H54" s="599">
        <f t="shared" si="13"/>
        <v>6786.9231683336584</v>
      </c>
      <c r="I54" s="599">
        <f t="shared" si="13"/>
        <v>6341.9674269110983</v>
      </c>
      <c r="J54" s="599">
        <f t="shared" si="13"/>
        <v>6248.3541962544441</v>
      </c>
      <c r="K54" s="599">
        <f t="shared" si="13"/>
        <v>6149.5817175909233</v>
      </c>
      <c r="L54" s="599">
        <f t="shared" si="13"/>
        <v>6045.3167171228397</v>
      </c>
      <c r="M54" s="599">
        <f t="shared" si="13"/>
        <v>5935.2031493579088</v>
      </c>
      <c r="N54" s="599">
        <f t="shared" si="13"/>
        <v>5818.8606142400731</v>
      </c>
      <c r="O54" s="599">
        <f t="shared" si="13"/>
        <v>5695.8826637024413</v>
      </c>
      <c r="P54" s="599">
        <f t="shared" si="13"/>
        <v>5565.834989906396</v>
      </c>
      <c r="Q54" s="599">
        <f t="shared" si="13"/>
        <v>5428.2534868894345</v>
      </c>
      <c r="R54" s="599">
        <f t="shared" si="13"/>
        <v>5282.6421767649817</v>
      </c>
      <c r="S54" s="599">
        <f t="shared" si="13"/>
        <v>5128.4709909975973</v>
      </c>
      <c r="T54" s="599">
        <f t="shared" si="13"/>
        <v>4965.1733966135835</v>
      </c>
      <c r="U54" s="599">
        <f t="shared" si="13"/>
        <v>4792.1438564975242</v>
      </c>
      <c r="V54" s="599">
        <f t="shared" si="13"/>
        <v>4608.7351121656648</v>
      </c>
      <c r="W54" s="599">
        <f t="shared" si="13"/>
        <v>4414.2552765947548</v>
      </c>
      <c r="X54" s="599">
        <f t="shared" si="13"/>
        <v>4207.9647238153375</v>
      </c>
      <c r="Y54" s="599">
        <f t="shared" si="13"/>
        <v>3989.0727610484537</v>
      </c>
      <c r="Z54" s="599">
        <f t="shared" si="13"/>
        <v>3756.7340681691139</v>
      </c>
      <c r="AA54" s="599">
        <f t="shared" si="13"/>
        <v>3510.0448882150786</v>
      </c>
      <c r="AB54" s="599">
        <f t="shared" si="13"/>
        <v>3248.0389515196512</v>
      </c>
      <c r="AC54" s="599">
        <f t="shared" si="13"/>
        <v>2969.6831148280453</v>
      </c>
      <c r="AD54" s="599">
        <f t="shared" si="13"/>
        <v>2673.8726954519771</v>
      </c>
      <c r="AE54" s="599">
        <f t="shared" si="13"/>
        <v>2359.4264791212099</v>
      </c>
      <c r="AF54" s="599">
        <f t="shared" si="13"/>
        <v>2025.0813786969502</v>
      </c>
      <c r="AG54" s="599">
        <f t="shared" si="13"/>
        <v>2105.7672563014416</v>
      </c>
    </row>
    <row r="55" spans="1:33">
      <c r="C55" s="6"/>
      <c r="D55" s="6"/>
      <c r="E55" s="6"/>
      <c r="F55" s="6"/>
      <c r="G55" s="6"/>
    </row>
    <row r="56" spans="1:33">
      <c r="A56" s="11" t="s">
        <v>574</v>
      </c>
      <c r="B56" s="572">
        <f>NPV(0.12,C54:AG54)</f>
        <v>50070.505535418029</v>
      </c>
      <c r="C56" s="364"/>
      <c r="D56" s="364"/>
      <c r="E56" s="364"/>
      <c r="F56" s="364"/>
      <c r="G56" s="364"/>
    </row>
    <row r="57" spans="1:33">
      <c r="C57" s="364"/>
      <c r="D57" s="364"/>
      <c r="E57" s="364"/>
      <c r="F57" s="364"/>
      <c r="G57" s="364"/>
    </row>
    <row r="58" spans="1:33">
      <c r="C58" s="364"/>
      <c r="D58" s="364"/>
      <c r="E58" s="364"/>
      <c r="F58" s="364"/>
      <c r="G58" s="364"/>
    </row>
    <row r="59" spans="1:33">
      <c r="C59" s="364"/>
      <c r="D59" s="364"/>
      <c r="E59" s="364"/>
      <c r="F59" s="364"/>
      <c r="G59" s="364"/>
    </row>
    <row r="60" spans="1:33">
      <c r="C60" s="364"/>
      <c r="D60" s="364"/>
      <c r="E60" s="364"/>
      <c r="F60" s="364"/>
      <c r="G60" s="364"/>
    </row>
    <row r="61" spans="1:33">
      <c r="C61" s="6"/>
      <c r="D61" s="6"/>
      <c r="E61" s="6"/>
      <c r="F61" s="6"/>
      <c r="G61" s="6"/>
    </row>
    <row r="62" spans="1:33">
      <c r="C62" s="6"/>
      <c r="D62" s="6"/>
      <c r="E62" s="6"/>
      <c r="F62" s="6"/>
      <c r="G62" s="6"/>
    </row>
    <row r="63" spans="1:33">
      <c r="C63" s="365"/>
      <c r="D63" s="365"/>
      <c r="E63" s="365"/>
      <c r="F63" s="365"/>
      <c r="G63" s="6"/>
    </row>
    <row r="64" spans="1:33">
      <c r="C64" s="6"/>
      <c r="D64" s="6"/>
      <c r="E64" s="6"/>
      <c r="F64" s="6"/>
      <c r="G64" s="6"/>
    </row>
    <row r="65" spans="3:7">
      <c r="C65" s="365"/>
      <c r="D65" s="6"/>
      <c r="E65" s="6"/>
      <c r="F65" s="6"/>
      <c r="G65" s="6"/>
    </row>
    <row r="66" spans="3:7">
      <c r="C66" s="6"/>
      <c r="D66" s="6"/>
      <c r="E66" s="6"/>
      <c r="F66" s="6"/>
      <c r="G66" s="6"/>
    </row>
    <row r="67" spans="3:7">
      <c r="C67" s="6"/>
      <c r="D67" s="6"/>
      <c r="E67" s="6"/>
      <c r="F67" s="6"/>
      <c r="G67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2"/>
  <sheetViews>
    <sheetView workbookViewId="0">
      <selection activeCell="D22" sqref="D22"/>
    </sheetView>
  </sheetViews>
  <sheetFormatPr defaultRowHeight="12.75"/>
  <cols>
    <col min="1" max="1" width="9.140625" style="12"/>
    <col min="2" max="2" width="23.5703125" style="12" customWidth="1"/>
    <col min="3" max="3" width="12.28515625" style="12" bestFit="1" customWidth="1"/>
    <col min="4" max="4" width="10.7109375" style="12" customWidth="1"/>
    <col min="5" max="7" width="9.7109375" style="12" bestFit="1" customWidth="1"/>
    <col min="8" max="8" width="10.7109375" style="12" customWidth="1"/>
    <col min="9" max="9" width="11" style="12" customWidth="1"/>
    <col min="10" max="13" width="9.7109375" style="12" bestFit="1" customWidth="1"/>
    <col min="14" max="15" width="9.140625" style="12"/>
    <col min="16" max="22" width="10.28515625" style="12" bestFit="1" customWidth="1"/>
    <col min="23" max="16384" width="9.140625" style="12"/>
  </cols>
  <sheetData>
    <row r="1" spans="2:32" ht="13.5" thickBot="1"/>
    <row r="2" spans="2:32">
      <c r="B2" s="511"/>
      <c r="C2" s="580" t="s">
        <v>472</v>
      </c>
    </row>
    <row r="3" spans="2:32">
      <c r="B3" s="581" t="s">
        <v>550</v>
      </c>
      <c r="C3" s="582">
        <f>Assumptions!C60</f>
        <v>213517.67321826715</v>
      </c>
    </row>
    <row r="4" spans="2:32">
      <c r="B4" s="581" t="s">
        <v>548</v>
      </c>
      <c r="C4" s="583">
        <f>C3*C6</f>
        <v>149462.37125278701</v>
      </c>
    </row>
    <row r="5" spans="2:32">
      <c r="B5" s="581" t="s">
        <v>541</v>
      </c>
      <c r="C5" s="584">
        <f>C9</f>
        <v>30</v>
      </c>
    </row>
    <row r="6" spans="2:32">
      <c r="B6" s="581" t="s">
        <v>549</v>
      </c>
      <c r="C6" s="585">
        <f>Assumptions!B12</f>
        <v>0.7</v>
      </c>
    </row>
    <row r="7" spans="2:32">
      <c r="B7" s="581" t="s">
        <v>544</v>
      </c>
      <c r="C7" s="586">
        <f>1-C6</f>
        <v>0.30000000000000004</v>
      </c>
    </row>
    <row r="8" spans="2:32">
      <c r="B8" s="581" t="s">
        <v>542</v>
      </c>
      <c r="C8" s="595">
        <f>Assumptions!G39</f>
        <v>6.9999999999999993E-2</v>
      </c>
    </row>
    <row r="9" spans="2:32">
      <c r="B9" s="581" t="s">
        <v>543</v>
      </c>
      <c r="C9" s="594">
        <f>Assumptions!G33</f>
        <v>30</v>
      </c>
    </row>
    <row r="10" spans="2:32">
      <c r="B10" s="581" t="s">
        <v>545</v>
      </c>
      <c r="C10" s="583">
        <f>C3-C4</f>
        <v>64055.301965480146</v>
      </c>
    </row>
    <row r="11" spans="2:32">
      <c r="B11" s="581" t="s">
        <v>546</v>
      </c>
      <c r="C11" s="40">
        <f>Assumptions!H68</f>
        <v>348</v>
      </c>
    </row>
    <row r="12" spans="2:32" ht="13.5" thickBot="1">
      <c r="B12" s="587" t="s">
        <v>547</v>
      </c>
      <c r="C12" s="588">
        <f>Assumptions!H54</f>
        <v>6.3986392889354686</v>
      </c>
    </row>
    <row r="13" spans="2:32">
      <c r="B13" s="566"/>
      <c r="C13" s="569"/>
    </row>
    <row r="14" spans="2:32">
      <c r="C14" s="579">
        <f>IS!C6</f>
        <v>0.66666666666666663</v>
      </c>
      <c r="D14" s="579">
        <f>IS!D6</f>
        <v>1.6666666666666665</v>
      </c>
      <c r="E14" s="579">
        <f>IS!E6</f>
        <v>2.6666666666666665</v>
      </c>
      <c r="F14" s="579">
        <f>IS!F6</f>
        <v>3.6666666666666665</v>
      </c>
      <c r="G14" s="579">
        <f>IS!G6</f>
        <v>4.6666666666666661</v>
      </c>
      <c r="H14" s="579">
        <f>IS!H6</f>
        <v>5.6666666666666661</v>
      </c>
      <c r="I14" s="579">
        <f>IS!I6</f>
        <v>6.6666666666666661</v>
      </c>
      <c r="J14" s="579">
        <f>IS!J6</f>
        <v>7.6666666666666661</v>
      </c>
      <c r="K14" s="579">
        <f>IS!K6</f>
        <v>8.6666666666666661</v>
      </c>
      <c r="L14" s="579">
        <f>IS!L6</f>
        <v>9.6666666666666661</v>
      </c>
      <c r="M14" s="579">
        <f>IS!M6</f>
        <v>10.666666666666666</v>
      </c>
      <c r="N14" s="579">
        <f>IS!N6</f>
        <v>11.666666666666666</v>
      </c>
      <c r="O14" s="579">
        <f>IS!O6</f>
        <v>12.666666666666666</v>
      </c>
      <c r="P14" s="579">
        <f>IS!P6</f>
        <v>13.666666666666666</v>
      </c>
      <c r="Q14" s="579">
        <f>IS!Q6</f>
        <v>14.666666666666666</v>
      </c>
      <c r="R14" s="579">
        <f>IS!R6</f>
        <v>15.666666666666666</v>
      </c>
      <c r="S14" s="579">
        <f>IS!S6</f>
        <v>16.666666666666664</v>
      </c>
      <c r="T14" s="579">
        <f>IS!T6</f>
        <v>17.666666666666664</v>
      </c>
      <c r="U14" s="579">
        <f>IS!U6</f>
        <v>18.666666666666664</v>
      </c>
      <c r="V14" s="579">
        <f>IS!V6</f>
        <v>19.666666666666664</v>
      </c>
      <c r="W14" s="579">
        <f>IS!W6</f>
        <v>20.666666666666664</v>
      </c>
      <c r="X14" s="579">
        <f>IS!X6</f>
        <v>21.666666666666664</v>
      </c>
      <c r="Y14" s="579">
        <f>IS!Y6</f>
        <v>22.666666666666664</v>
      </c>
      <c r="Z14" s="579">
        <f>IS!Z6</f>
        <v>23.666666666666664</v>
      </c>
      <c r="AA14" s="579">
        <f>IS!AA6</f>
        <v>24.666666666666664</v>
      </c>
      <c r="AB14" s="579">
        <f>IS!AB6</f>
        <v>25.666666666666664</v>
      </c>
      <c r="AC14" s="579">
        <f>IS!AC6</f>
        <v>26.666666666666664</v>
      </c>
      <c r="AD14" s="579">
        <f>IS!AD6</f>
        <v>27.666666666666664</v>
      </c>
      <c r="AE14" s="579">
        <f>IS!AE6</f>
        <v>28.666666666666664</v>
      </c>
      <c r="AF14" s="579">
        <f>IS!AF6</f>
        <v>29.666666666666664</v>
      </c>
    </row>
    <row r="15" spans="2:32">
      <c r="C15" s="466">
        <f>IS!C7</f>
        <v>2001</v>
      </c>
      <c r="D15" s="466">
        <f>IS!D7</f>
        <v>2002</v>
      </c>
      <c r="E15" s="466">
        <f>IS!E7</f>
        <v>2003</v>
      </c>
      <c r="F15" s="466">
        <f>IS!F7</f>
        <v>2004</v>
      </c>
      <c r="G15" s="466">
        <f>IS!G7</f>
        <v>2005</v>
      </c>
      <c r="H15" s="466">
        <f>IS!H7</f>
        <v>2006</v>
      </c>
      <c r="I15" s="466">
        <f>IS!I7</f>
        <v>2007</v>
      </c>
      <c r="J15" s="466">
        <f>IS!J7</f>
        <v>2008</v>
      </c>
      <c r="K15" s="466">
        <f>IS!K7</f>
        <v>2009</v>
      </c>
      <c r="L15" s="466">
        <f>IS!L7</f>
        <v>2010</v>
      </c>
      <c r="M15" s="466">
        <f>IS!M7</f>
        <v>2011</v>
      </c>
      <c r="N15" s="466">
        <f>IS!N7</f>
        <v>2012</v>
      </c>
      <c r="O15" s="466">
        <f>IS!O7</f>
        <v>2013</v>
      </c>
      <c r="P15" s="466">
        <f>IS!P7</f>
        <v>2014</v>
      </c>
      <c r="Q15" s="466">
        <f>IS!Q7</f>
        <v>2015</v>
      </c>
      <c r="R15" s="466">
        <f>IS!R7</f>
        <v>2016</v>
      </c>
      <c r="S15" s="466">
        <f>IS!S7</f>
        <v>2017</v>
      </c>
      <c r="T15" s="466">
        <f>IS!T7</f>
        <v>2018</v>
      </c>
      <c r="U15" s="466">
        <f>IS!U7</f>
        <v>2019</v>
      </c>
      <c r="V15" s="466">
        <f>IS!V7</f>
        <v>2020</v>
      </c>
      <c r="W15" s="466">
        <f>IS!W7</f>
        <v>2021</v>
      </c>
      <c r="X15" s="466">
        <f>IS!X7</f>
        <v>2022</v>
      </c>
      <c r="Y15" s="466">
        <f>IS!Y7</f>
        <v>2023</v>
      </c>
      <c r="Z15" s="466">
        <f>IS!Z7</f>
        <v>2024</v>
      </c>
      <c r="AA15" s="466">
        <f>IS!AA7</f>
        <v>2025</v>
      </c>
      <c r="AB15" s="466">
        <f>IS!AB7</f>
        <v>2026</v>
      </c>
      <c r="AC15" s="466">
        <f>IS!AC7</f>
        <v>2027</v>
      </c>
      <c r="AD15" s="466">
        <f>IS!AD7</f>
        <v>2028</v>
      </c>
      <c r="AE15" s="466">
        <f>IS!AE7</f>
        <v>2029</v>
      </c>
      <c r="AF15" s="466">
        <f>IS!AF7</f>
        <v>2030</v>
      </c>
    </row>
    <row r="16" spans="2:32">
      <c r="B16" s="12" t="s">
        <v>551</v>
      </c>
      <c r="C16" s="36">
        <f>C4</f>
        <v>149462.37125278701</v>
      </c>
      <c r="D16" s="36">
        <f>C16-C19</f>
        <v>147880.1022809775</v>
      </c>
      <c r="E16" s="36">
        <f t="shared" ref="E16:V16" si="0">D16-D19</f>
        <v>146187.07448114132</v>
      </c>
      <c r="F16" s="36">
        <f t="shared" si="0"/>
        <v>144375.53473531661</v>
      </c>
      <c r="G16" s="36">
        <f t="shared" si="0"/>
        <v>142437.18720728418</v>
      </c>
      <c r="H16" s="36">
        <f t="shared" si="0"/>
        <v>140363.15535228947</v>
      </c>
      <c r="I16" s="36">
        <f t="shared" si="0"/>
        <v>138143.94126744513</v>
      </c>
      <c r="J16" s="36">
        <f t="shared" si="0"/>
        <v>135769.3821966617</v>
      </c>
      <c r="K16" s="36">
        <f t="shared" si="0"/>
        <v>133228.60399092341</v>
      </c>
      <c r="L16" s="36">
        <f t="shared" si="0"/>
        <v>130509.97131078345</v>
      </c>
      <c r="M16" s="36">
        <f t="shared" si="0"/>
        <v>127601.03434303369</v>
      </c>
      <c r="N16" s="36">
        <f t="shared" si="0"/>
        <v>124488.47178754145</v>
      </c>
      <c r="O16" s="36">
        <f t="shared" si="0"/>
        <v>121158.02985316476</v>
      </c>
      <c r="P16" s="36">
        <f t="shared" si="0"/>
        <v>117594.45698338169</v>
      </c>
      <c r="Q16" s="36">
        <f t="shared" si="0"/>
        <v>113781.43401271381</v>
      </c>
      <c r="R16" s="36">
        <f t="shared" si="0"/>
        <v>109701.49943409918</v>
      </c>
      <c r="S16" s="36">
        <f t="shared" si="0"/>
        <v>105335.96943498153</v>
      </c>
      <c r="T16" s="36">
        <f t="shared" si="0"/>
        <v>100664.85233592564</v>
      </c>
      <c r="U16" s="36">
        <f t="shared" si="0"/>
        <v>95666.757039935823</v>
      </c>
      <c r="V16" s="36">
        <f t="shared" si="0"/>
        <v>90318.795073226735</v>
      </c>
      <c r="W16" s="36">
        <f t="shared" ref="W16:AF16" si="1">V16-V19</f>
        <v>84596.475768848002</v>
      </c>
      <c r="X16" s="36">
        <f t="shared" si="1"/>
        <v>78473.594113162762</v>
      </c>
      <c r="Y16" s="36">
        <f t="shared" si="1"/>
        <v>71922.110741579556</v>
      </c>
      <c r="Z16" s="36">
        <f t="shared" si="1"/>
        <v>64912.023533985528</v>
      </c>
      <c r="AA16" s="36">
        <f t="shared" si="1"/>
        <v>57411.230221859914</v>
      </c>
      <c r="AB16" s="36">
        <f t="shared" si="1"/>
        <v>49385.381377885511</v>
      </c>
      <c r="AC16" s="36">
        <f t="shared" si="1"/>
        <v>40797.723114832901</v>
      </c>
      <c r="AD16" s="36">
        <f t="shared" si="1"/>
        <v>31608.928773366606</v>
      </c>
      <c r="AE16" s="36">
        <f t="shared" si="1"/>
        <v>21776.91882799767</v>
      </c>
      <c r="AF16" s="36">
        <f t="shared" si="1"/>
        <v>11256.668186452907</v>
      </c>
    </row>
    <row r="17" spans="2:32">
      <c r="B17" s="12" t="s">
        <v>552</v>
      </c>
      <c r="C17" s="565">
        <f>-PMT($C$8,$C$9,$C$4)</f>
        <v>12044.634959504599</v>
      </c>
      <c r="D17" s="565">
        <f t="shared" ref="D17:AF17" si="2">-PMT($C$8,$C$9,$C$4)</f>
        <v>12044.634959504599</v>
      </c>
      <c r="E17" s="565">
        <f t="shared" si="2"/>
        <v>12044.634959504599</v>
      </c>
      <c r="F17" s="565">
        <f t="shared" si="2"/>
        <v>12044.634959504599</v>
      </c>
      <c r="G17" s="565">
        <f t="shared" si="2"/>
        <v>12044.634959504599</v>
      </c>
      <c r="H17" s="565">
        <f t="shared" si="2"/>
        <v>12044.634959504599</v>
      </c>
      <c r="I17" s="565">
        <f t="shared" si="2"/>
        <v>12044.634959504599</v>
      </c>
      <c r="J17" s="565">
        <f t="shared" si="2"/>
        <v>12044.634959504599</v>
      </c>
      <c r="K17" s="565">
        <f t="shared" si="2"/>
        <v>12044.634959504599</v>
      </c>
      <c r="L17" s="565">
        <f t="shared" si="2"/>
        <v>12044.634959504599</v>
      </c>
      <c r="M17" s="565">
        <f t="shared" si="2"/>
        <v>12044.634959504599</v>
      </c>
      <c r="N17" s="565">
        <f t="shared" si="2"/>
        <v>12044.634959504599</v>
      </c>
      <c r="O17" s="565">
        <f t="shared" si="2"/>
        <v>12044.634959504599</v>
      </c>
      <c r="P17" s="565">
        <f t="shared" si="2"/>
        <v>12044.634959504599</v>
      </c>
      <c r="Q17" s="565">
        <f t="shared" si="2"/>
        <v>12044.634959504599</v>
      </c>
      <c r="R17" s="565">
        <f t="shared" si="2"/>
        <v>12044.634959504599</v>
      </c>
      <c r="S17" s="565">
        <f t="shared" si="2"/>
        <v>12044.634959504599</v>
      </c>
      <c r="T17" s="565">
        <f t="shared" si="2"/>
        <v>12044.634959504599</v>
      </c>
      <c r="U17" s="565">
        <f t="shared" si="2"/>
        <v>12044.634959504599</v>
      </c>
      <c r="V17" s="565">
        <f t="shared" si="2"/>
        <v>12044.634959504599</v>
      </c>
      <c r="W17" s="565">
        <f t="shared" si="2"/>
        <v>12044.634959504599</v>
      </c>
      <c r="X17" s="565">
        <f t="shared" si="2"/>
        <v>12044.634959504599</v>
      </c>
      <c r="Y17" s="565">
        <f t="shared" si="2"/>
        <v>12044.634959504599</v>
      </c>
      <c r="Z17" s="565">
        <f t="shared" si="2"/>
        <v>12044.634959504599</v>
      </c>
      <c r="AA17" s="565">
        <f t="shared" si="2"/>
        <v>12044.634959504599</v>
      </c>
      <c r="AB17" s="565">
        <f t="shared" si="2"/>
        <v>12044.634959504599</v>
      </c>
      <c r="AC17" s="565">
        <f t="shared" si="2"/>
        <v>12044.634959504599</v>
      </c>
      <c r="AD17" s="565">
        <f t="shared" si="2"/>
        <v>12044.634959504599</v>
      </c>
      <c r="AE17" s="565">
        <f t="shared" si="2"/>
        <v>12044.634959504599</v>
      </c>
      <c r="AF17" s="565">
        <f t="shared" si="2"/>
        <v>12044.634959504599</v>
      </c>
    </row>
    <row r="18" spans="2:32">
      <c r="B18" s="12" t="s">
        <v>553</v>
      </c>
      <c r="C18" s="567">
        <f>C16*$C$8</f>
        <v>10462.36598769509</v>
      </c>
      <c r="D18" s="567">
        <f>D16*$C$8</f>
        <v>10351.607159668423</v>
      </c>
      <c r="E18" s="567">
        <f t="shared" ref="E18:V18" si="3">E16*$C$8</f>
        <v>10233.095213679891</v>
      </c>
      <c r="F18" s="567">
        <f t="shared" si="3"/>
        <v>10106.287431472161</v>
      </c>
      <c r="G18" s="567">
        <f t="shared" si="3"/>
        <v>9970.6031045098916</v>
      </c>
      <c r="H18" s="567">
        <f t="shared" si="3"/>
        <v>9825.4208746602617</v>
      </c>
      <c r="I18" s="567">
        <f t="shared" si="3"/>
        <v>9670.0758887211578</v>
      </c>
      <c r="J18" s="567">
        <f t="shared" si="3"/>
        <v>9503.8567537663184</v>
      </c>
      <c r="K18" s="567">
        <f t="shared" si="3"/>
        <v>9326.0022793646385</v>
      </c>
      <c r="L18" s="567">
        <f t="shared" si="3"/>
        <v>9135.6979917548415</v>
      </c>
      <c r="M18" s="567">
        <f t="shared" si="3"/>
        <v>8932.0724040123569</v>
      </c>
      <c r="N18" s="567">
        <f t="shared" si="3"/>
        <v>8714.1930251279009</v>
      </c>
      <c r="O18" s="567">
        <f t="shared" si="3"/>
        <v>8481.0620897215322</v>
      </c>
      <c r="P18" s="567">
        <f t="shared" si="3"/>
        <v>8231.6119888367175</v>
      </c>
      <c r="Q18" s="567">
        <f t="shared" si="3"/>
        <v>7964.7003808899663</v>
      </c>
      <c r="R18" s="567">
        <f t="shared" si="3"/>
        <v>7679.1049603869424</v>
      </c>
      <c r="S18" s="567">
        <f t="shared" si="3"/>
        <v>7373.5178604487064</v>
      </c>
      <c r="T18" s="567">
        <f t="shared" si="3"/>
        <v>7046.5396635147936</v>
      </c>
      <c r="U18" s="567">
        <f t="shared" si="3"/>
        <v>6696.6729927955066</v>
      </c>
      <c r="V18" s="567">
        <f t="shared" si="3"/>
        <v>6322.3156551258708</v>
      </c>
      <c r="W18" s="567">
        <f t="shared" ref="W18:AF18" si="4">W16*$C$8</f>
        <v>5921.7533038193596</v>
      </c>
      <c r="X18" s="567">
        <f t="shared" si="4"/>
        <v>5493.151587921393</v>
      </c>
      <c r="Y18" s="567">
        <f t="shared" si="4"/>
        <v>5034.547751910568</v>
      </c>
      <c r="Z18" s="567">
        <f t="shared" si="4"/>
        <v>4543.8416473789866</v>
      </c>
      <c r="AA18" s="567">
        <f t="shared" si="4"/>
        <v>4018.7861155301935</v>
      </c>
      <c r="AB18" s="567">
        <f t="shared" si="4"/>
        <v>3456.9766964519854</v>
      </c>
      <c r="AC18" s="567">
        <f t="shared" si="4"/>
        <v>2855.8406180383026</v>
      </c>
      <c r="AD18" s="567">
        <f t="shared" si="4"/>
        <v>2212.6250141356622</v>
      </c>
      <c r="AE18" s="567">
        <f t="shared" si="4"/>
        <v>1524.3843179598368</v>
      </c>
      <c r="AF18" s="567">
        <f t="shared" si="4"/>
        <v>787.9667730517034</v>
      </c>
    </row>
    <row r="19" spans="2:32">
      <c r="B19" s="12" t="s">
        <v>554</v>
      </c>
      <c r="C19" s="36">
        <f>C17-C18</f>
        <v>1582.2689718095098</v>
      </c>
      <c r="D19" s="36">
        <f>D17-D18</f>
        <v>1693.0277998361762</v>
      </c>
      <c r="E19" s="36">
        <f t="shared" ref="E19:V19" si="5">E17-E18</f>
        <v>1811.539745824708</v>
      </c>
      <c r="F19" s="36">
        <f t="shared" si="5"/>
        <v>1938.3475280324383</v>
      </c>
      <c r="G19" s="36">
        <f t="shared" si="5"/>
        <v>2074.0318549947078</v>
      </c>
      <c r="H19" s="36">
        <f t="shared" si="5"/>
        <v>2219.2140848443378</v>
      </c>
      <c r="I19" s="36">
        <f t="shared" si="5"/>
        <v>2374.5590707834417</v>
      </c>
      <c r="J19" s="36">
        <f t="shared" si="5"/>
        <v>2540.778205738281</v>
      </c>
      <c r="K19" s="36">
        <f t="shared" si="5"/>
        <v>2718.6326801399609</v>
      </c>
      <c r="L19" s="36">
        <f t="shared" si="5"/>
        <v>2908.936967749758</v>
      </c>
      <c r="M19" s="36">
        <f t="shared" si="5"/>
        <v>3112.5625554922426</v>
      </c>
      <c r="N19" s="36">
        <f t="shared" si="5"/>
        <v>3330.4419343766986</v>
      </c>
      <c r="O19" s="36">
        <f t="shared" si="5"/>
        <v>3563.5728697830673</v>
      </c>
      <c r="P19" s="36">
        <f t="shared" si="5"/>
        <v>3813.022970667882</v>
      </c>
      <c r="Q19" s="36">
        <f t="shared" si="5"/>
        <v>4079.9345786146332</v>
      </c>
      <c r="R19" s="36">
        <f t="shared" si="5"/>
        <v>4365.5299991176571</v>
      </c>
      <c r="S19" s="36">
        <f t="shared" si="5"/>
        <v>4671.117099055893</v>
      </c>
      <c r="T19" s="36">
        <f t="shared" si="5"/>
        <v>4998.0952959898059</v>
      </c>
      <c r="U19" s="36">
        <f t="shared" si="5"/>
        <v>5347.9619667090928</v>
      </c>
      <c r="V19" s="36">
        <f t="shared" si="5"/>
        <v>5722.3193043787287</v>
      </c>
      <c r="W19" s="36">
        <f t="shared" ref="W19:AF19" si="6">W17-W18</f>
        <v>6122.8816556852398</v>
      </c>
      <c r="X19" s="36">
        <f t="shared" si="6"/>
        <v>6551.4833715832065</v>
      </c>
      <c r="Y19" s="36">
        <f t="shared" si="6"/>
        <v>7010.0872075940315</v>
      </c>
      <c r="Z19" s="36">
        <f t="shared" si="6"/>
        <v>7500.7933121256128</v>
      </c>
      <c r="AA19" s="36">
        <f t="shared" si="6"/>
        <v>8025.848843974406</v>
      </c>
      <c r="AB19" s="36">
        <f t="shared" si="6"/>
        <v>8587.6582630526136</v>
      </c>
      <c r="AC19" s="36">
        <f t="shared" si="6"/>
        <v>9188.7943414662968</v>
      </c>
      <c r="AD19" s="36">
        <f t="shared" si="6"/>
        <v>9832.0099453689363</v>
      </c>
      <c r="AE19" s="36">
        <f t="shared" si="6"/>
        <v>10520.250641544762</v>
      </c>
      <c r="AF19" s="36">
        <f t="shared" si="6"/>
        <v>11256.668186452896</v>
      </c>
    </row>
    <row r="21" spans="2:32">
      <c r="B21" s="12" t="s">
        <v>47</v>
      </c>
      <c r="C21" s="65">
        <f>IS!C32</f>
        <v>12560.314724126514</v>
      </c>
      <c r="D21" s="65">
        <f>IS!D32</f>
        <v>20447.775154324685</v>
      </c>
      <c r="E21" s="65">
        <f>IS!E32</f>
        <v>20406.011805124683</v>
      </c>
      <c r="F21" s="65">
        <f>IS!F32</f>
        <v>20363.413188940685</v>
      </c>
      <c r="G21" s="65">
        <f>IS!G32</f>
        <v>20319.962600433002</v>
      </c>
      <c r="H21" s="65">
        <f>IS!H32</f>
        <v>20275.643000155171</v>
      </c>
      <c r="I21" s="65">
        <f>IS!I32</f>
        <v>20230.43700787178</v>
      </c>
      <c r="J21" s="65">
        <f>IS!J32</f>
        <v>20184.326895742721</v>
      </c>
      <c r="K21" s="65">
        <f>IS!K32</f>
        <v>20137.294581371083</v>
      </c>
      <c r="L21" s="65">
        <f>IS!L32</f>
        <v>20089.321620712009</v>
      </c>
      <c r="M21" s="65">
        <f>IS!M32</f>
        <v>20040.389200839756</v>
      </c>
      <c r="N21" s="65">
        <f>IS!N32</f>
        <v>19990.478132570057</v>
      </c>
      <c r="O21" s="65">
        <f>IS!O32</f>
        <v>19939.568842934965</v>
      </c>
      <c r="P21" s="65">
        <f>IS!P32</f>
        <v>19887.641367507171</v>
      </c>
      <c r="Q21" s="65">
        <f>IS!Q32</f>
        <v>19834.675342570823</v>
      </c>
      <c r="R21" s="65">
        <f>IS!R32</f>
        <v>19780.649997135744</v>
      </c>
      <c r="S21" s="65">
        <f>IS!S32</f>
        <v>19725.544144791966</v>
      </c>
      <c r="T21" s="65">
        <f>IS!T32</f>
        <v>19669.336175401309</v>
      </c>
      <c r="U21" s="65">
        <f>IS!U32</f>
        <v>19612.004046622846</v>
      </c>
      <c r="V21" s="65">
        <f>IS!V32</f>
        <v>19553.525275268807</v>
      </c>
      <c r="W21" s="65">
        <f>IS!W32</f>
        <v>19493.876928487691</v>
      </c>
      <c r="X21" s="65">
        <f>IS!X32</f>
        <v>19433.035614770946</v>
      </c>
      <c r="Y21" s="65">
        <f>IS!Y32</f>
        <v>19370.977474779873</v>
      </c>
      <c r="Z21" s="65">
        <f>IS!Z32</f>
        <v>19307.678171988977</v>
      </c>
      <c r="AA21" s="65">
        <f>IS!AA32</f>
        <v>19243.112883142261</v>
      </c>
      <c r="AB21" s="65">
        <f>IS!AB32</f>
        <v>19177.256288518613</v>
      </c>
      <c r="AC21" s="65">
        <f>IS!AC32</f>
        <v>19110.082562002495</v>
      </c>
      <c r="AD21" s="65">
        <f>IS!AD32</f>
        <v>19041.56536095605</v>
      </c>
      <c r="AE21" s="65">
        <f>IS!AE32</f>
        <v>18971.677815888674</v>
      </c>
      <c r="AF21" s="65">
        <f>IS!AF32</f>
        <v>18900.392519919955</v>
      </c>
    </row>
    <row r="22" spans="2:32" s="562" customFormat="1">
      <c r="B22" s="562" t="s">
        <v>0</v>
      </c>
      <c r="C22" s="589">
        <f>C21/(C19+C18)</f>
        <v>1.0428140633863698</v>
      </c>
      <c r="D22" s="589">
        <f t="shared" ref="D22:AF22" si="7">D21/(D19+D18)</f>
        <v>1.6976666559901878</v>
      </c>
      <c r="E22" s="589">
        <f t="shared" si="7"/>
        <v>1.6941992740943965</v>
      </c>
      <c r="F22" s="589">
        <f t="shared" si="7"/>
        <v>1.6906625445606898</v>
      </c>
      <c r="G22" s="589">
        <f t="shared" si="7"/>
        <v>1.6870550804363083</v>
      </c>
      <c r="H22" s="589">
        <f t="shared" si="7"/>
        <v>1.6833754670294396</v>
      </c>
      <c r="I22" s="589">
        <f t="shared" si="7"/>
        <v>1.6796222613544334</v>
      </c>
      <c r="J22" s="589">
        <f t="shared" si="7"/>
        <v>1.675793991565927</v>
      </c>
      <c r="K22" s="589">
        <f t="shared" si="7"/>
        <v>1.6718891563816507</v>
      </c>
      <c r="L22" s="589">
        <f t="shared" si="7"/>
        <v>1.6679062244936886</v>
      </c>
      <c r="M22" s="589">
        <f t="shared" si="7"/>
        <v>1.6638436339679674</v>
      </c>
      <c r="N22" s="589">
        <f t="shared" si="7"/>
        <v>1.6596997916317318</v>
      </c>
      <c r="O22" s="589">
        <f t="shared" si="7"/>
        <v>1.6554730724487716</v>
      </c>
      <c r="P22" s="589">
        <f t="shared" si="7"/>
        <v>1.6511618188821522</v>
      </c>
      <c r="Q22" s="589">
        <f t="shared" si="7"/>
        <v>1.6467643402442005</v>
      </c>
      <c r="R22" s="589">
        <f t="shared" si="7"/>
        <v>1.6422789120334893</v>
      </c>
      <c r="S22" s="589">
        <f t="shared" si="7"/>
        <v>1.6377037752585641</v>
      </c>
      <c r="T22" s="589">
        <f t="shared" si="7"/>
        <v>1.6330371357481404</v>
      </c>
      <c r="U22" s="589">
        <f t="shared" si="7"/>
        <v>1.6282771634475084</v>
      </c>
      <c r="V22" s="589">
        <f t="shared" si="7"/>
        <v>1.6234219917008634</v>
      </c>
      <c r="W22" s="589">
        <f t="shared" si="7"/>
        <v>1.6184697165192861</v>
      </c>
      <c r="X22" s="589">
        <f t="shared" si="7"/>
        <v>1.6134183958340764</v>
      </c>
      <c r="Y22" s="589">
        <f t="shared" si="7"/>
        <v>1.608266048735163</v>
      </c>
      <c r="Z22" s="589">
        <f t="shared" si="7"/>
        <v>1.6030106546942713</v>
      </c>
      <c r="AA22" s="589">
        <f t="shared" si="7"/>
        <v>1.5976501527725617</v>
      </c>
      <c r="AB22" s="589">
        <f t="shared" si="7"/>
        <v>1.5921824408124179</v>
      </c>
      <c r="AC22" s="589">
        <f t="shared" si="7"/>
        <v>1.5866053746130717</v>
      </c>
      <c r="AD22" s="589">
        <f t="shared" si="7"/>
        <v>1.5809167670897384</v>
      </c>
      <c r="AE22" s="589">
        <f t="shared" si="7"/>
        <v>1.5751143874159377</v>
      </c>
      <c r="AF22" s="589">
        <f t="shared" si="7"/>
        <v>1.5691959601486616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Notes</vt:lpstr>
      <vt:lpstr>Tracking Sheet</vt:lpstr>
      <vt:lpstr>Assumptions</vt:lpstr>
      <vt:lpstr>Cost Details</vt:lpstr>
      <vt:lpstr>Price_Technical Assumption</vt:lpstr>
      <vt:lpstr>Fuel Oil Curve</vt:lpstr>
      <vt:lpstr>Summary</vt:lpstr>
      <vt:lpstr>IS</vt:lpstr>
      <vt:lpstr>Revised Debt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2000-05-03T14:10:28Z</cp:lastPrinted>
  <dcterms:created xsi:type="dcterms:W3CDTF">1999-04-02T01:38:38Z</dcterms:created>
  <dcterms:modified xsi:type="dcterms:W3CDTF">2014-09-03T11:34:58Z</dcterms:modified>
</cp:coreProperties>
</file>